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xr:revisionPtr revIDLastSave="29" documentId="8_{5DF683A5-AC8A-465E-BA6C-162E74A2AC03}" xr6:coauthVersionLast="47" xr6:coauthVersionMax="47" xr10:uidLastSave="{9C133053-3291-4679-8D23-07F237D3141C}"/>
  <bookViews>
    <workbookView xWindow="-108" yWindow="-108" windowWidth="23256" windowHeight="12576" tabRatio="843" firstSheet="2" activeTab="2" xr2:uid="{00000000-000D-0000-FFFF-FFFF00000000}"/>
  </bookViews>
  <sheets>
    <sheet name="Interface" sheetId="1" state="hidden" r:id="rId1"/>
    <sheet name="DataSetting" sheetId="2" state="hidden" r:id="rId2"/>
    <sheet name="Summary" sheetId="3" r:id="rId3"/>
    <sheet name="OSR_Summary_18VAVWG" sheetId="4" state="hidden" r:id="rId4"/>
    <sheet name="OSR_Current ...69b7dd8c_1IEQKFK" sheetId="5" state="hidden" r:id="rId5"/>
    <sheet name="OSR_Div 1_7H47HR" sheetId="7" state="hidden" r:id="rId6"/>
    <sheet name="OSR_Dept (2)_...dd5b15a0_2T6PUA" sheetId="8" state="hidden" r:id="rId7"/>
    <sheet name="OSR_Div 2_1PQ800A" sheetId="10" state="hidden" r:id="rId8"/>
    <sheet name="OSR_Div 1 (2...9b2bdc94_1Y8VZ4A" sheetId="11" state="hidden" r:id="rId9"/>
    <sheet name="OSR_Div 3_18723PH" sheetId="13" state="hidden" r:id="rId10"/>
    <sheet name="OSR_Div 1 (3...74ea2e91_1YANJVT" sheetId="14" state="hidden" r:id="rId11"/>
    <sheet name="OSR_300_IYZXI6" sheetId="16" state="hidden" r:id="rId12"/>
    <sheet name="OSR_Div 1 (4)...cdd6f638_NQSRHK" sheetId="17" state="hidden" r:id="rId13"/>
    <sheet name="OSR_300 &amp; 317_1C00ID4" sheetId="19" state="hidden" r:id="rId14"/>
    <sheet name="OSR_Div 1 (5)...14c61d9ac_RUIH7" sheetId="20" state="hidden" r:id="rId15"/>
    <sheet name="OSR_310_1CMTOSB" sheetId="22" state="hidden" r:id="rId16"/>
    <sheet name="OSR_Div 1 (6)...754b1b2a_ZV1FUK" sheetId="23" state="hidden" r:id="rId17"/>
    <sheet name="OSR_330_10VFP5Y" sheetId="25" state="hidden" r:id="rId18"/>
    <sheet name="OSR_Div 1 (7)...77c4adfc_YECVQC" sheetId="26" state="hidden" r:id="rId19"/>
    <sheet name="OSR_308_UAWDAG" sheetId="28" state="hidden" r:id="rId20"/>
    <sheet name="OSR_Div 1 (8...54681dd8_1N56J6G" sheetId="29" state="hidden" r:id="rId21"/>
    <sheet name="OSR_331_10VKQAJ" sheetId="31" state="hidden" r:id="rId22"/>
    <sheet name="OSR_Div 1 (9)...81df0cf4_TBZUNU" sheetId="32" state="hidden" r:id="rId23"/>
    <sheet name="OSR_332_6NDVBW" sheetId="34" state="hidden" r:id="rId24"/>
    <sheet name="OSR_Div 1 (10...e834aaf2_4B2R3Z" sheetId="35" state="hidden" r:id="rId25"/>
    <sheet name="OSR_Div 4_1740TMT" sheetId="37" state="hidden" r:id="rId26"/>
    <sheet name="OSR_Div 1 (1...42fef80a_1JUNUIZ" sheetId="38" state="hidden" r:id="rId27"/>
    <sheet name="OSR_310 &amp; 491_1NGRCS9" sheetId="40" state="hidden" r:id="rId28"/>
    <sheet name="OSR_Div 4 (2)...a8a8204b_XPPX5M" sheetId="41" state="hidden" r:id="rId29"/>
    <sheet name="OSR_491_9Z9JH5" sheetId="43" state="hidden" r:id="rId30"/>
    <sheet name="OSR_310 &amp; 491...c23f2d59_X1JXXU" sheetId="44" state="hidden" r:id="rId31"/>
    <sheet name="OSR_492_943FP1" sheetId="46" state="hidden" r:id="rId32"/>
    <sheet name="OSR_310 &amp; 49...76bf5af7_1A2901X" sheetId="47" state="hidden" r:id="rId33"/>
    <sheet name="OSR_Div 5_16NAZO2" sheetId="49" state="hidden" r:id="rId34"/>
    <sheet name="OSR_310 &amp; 49...7615ada9_1PJ8EDG" sheetId="50" state="hidden" r:id="rId35"/>
    <sheet name="OSR_Div 6_P37YY7" sheetId="52" state="hidden" r:id="rId36"/>
    <sheet name="OSR_Div 5 (2...bac05800_1LZIM8H" sheetId="53" state="hidden" r:id="rId37"/>
    <sheet name="Div 1" sheetId="6" r:id="rId38"/>
    <sheet name="100" sheetId="54" r:id="rId39"/>
    <sheet name="Div 2" sheetId="9" r:id="rId40"/>
    <sheet name="200" sheetId="55" r:id="rId41"/>
    <sheet name="Div 3" sheetId="12" r:id="rId42"/>
    <sheet name="201" sheetId="56" r:id="rId43"/>
    <sheet name="202" sheetId="57" r:id="rId44"/>
    <sheet name="203" sheetId="58" r:id="rId45"/>
    <sheet name="204" sheetId="59" r:id="rId46"/>
    <sheet name="205" sheetId="60" r:id="rId47"/>
    <sheet name="206" sheetId="61" r:id="rId48"/>
    <sheet name="300" sheetId="15" r:id="rId49"/>
    <sheet name="300 &amp; 317" sheetId="18" r:id="rId50"/>
    <sheet name="301" sheetId="62" r:id="rId51"/>
    <sheet name="330" sheetId="24" r:id="rId52"/>
    <sheet name="307" sheetId="63" r:id="rId53"/>
    <sheet name="308" sheetId="27" r:id="rId54"/>
    <sheet name="311" sheetId="65" r:id="rId55"/>
    <sheet name="324" sheetId="71" r:id="rId56"/>
    <sheet name="331" sheetId="30" r:id="rId57"/>
    <sheet name="315" sheetId="67" r:id="rId58"/>
    <sheet name="326" sheetId="73" r:id="rId59"/>
    <sheet name="332" sheetId="33" r:id="rId60"/>
    <sheet name="316" sheetId="68" r:id="rId61"/>
    <sheet name="Div 6" sheetId="51" r:id="rId62"/>
    <sheet name="317" sheetId="69" r:id="rId63"/>
    <sheet name="310" sheetId="21" r:id="rId64"/>
    <sheet name="309" sheetId="64" r:id="rId65"/>
    <sheet name="313" sheetId="66" r:id="rId66"/>
    <sheet name="321" sheetId="70" r:id="rId67"/>
    <sheet name="325" sheetId="72" r:id="rId68"/>
    <sheet name="327" sheetId="74" r:id="rId69"/>
    <sheet name="Div 4" sheetId="36" r:id="rId70"/>
    <sheet name="310 &amp; 491" sheetId="39" r:id="rId71"/>
    <sheet name="491" sheetId="42" r:id="rId72"/>
    <sheet name="405" sheetId="75" r:id="rId73"/>
    <sheet name="411" sheetId="76" r:id="rId74"/>
    <sheet name="412" sheetId="77" r:id="rId75"/>
    <sheet name="413" sheetId="78" r:id="rId76"/>
    <sheet name="415" sheetId="79" r:id="rId77"/>
    <sheet name="418" sheetId="80" r:id="rId78"/>
    <sheet name="423" sheetId="81" r:id="rId79"/>
    <sheet name="424" sheetId="82" r:id="rId80"/>
    <sheet name="425" sheetId="83" r:id="rId81"/>
    <sheet name="455" sheetId="88" r:id="rId82"/>
    <sheet name="492" sheetId="45" r:id="rId83"/>
    <sheet name="430" sheetId="84" r:id="rId84"/>
    <sheet name="433" sheetId="85" r:id="rId85"/>
    <sheet name="444" sheetId="86" r:id="rId86"/>
    <sheet name="450" sheetId="87" r:id="rId87"/>
    <sheet name="Div 5" sheetId="48" r:id="rId88"/>
    <sheet name="501" sheetId="89" r:id="rId89"/>
    <sheet name="Dept" sheetId="90" state="hidden" r:id="rId90"/>
    <sheet name="OSR_Dept_Y0WUKY" sheetId="91" state="hidden" r:id="rId91"/>
    <sheet name="OSR_Summary (...56e5d78f_5JEYZH" sheetId="92" state="hidden" r:id="rId92"/>
  </sheets>
  <definedNames>
    <definedName name="OSRRefD11_0x" localSheetId="48">'300'!$D$11</definedName>
    <definedName name="OSRRefD11_0x" localSheetId="49">'300 &amp; 317'!$D$11</definedName>
    <definedName name="OSRRefD11_0x" localSheetId="52">'307'!$D$11</definedName>
    <definedName name="OSRRefD11_0x" localSheetId="53">'308'!$D$11</definedName>
    <definedName name="OSRRefD11_0x" localSheetId="63">'310'!$D$11</definedName>
    <definedName name="OSRRefD11_0x" localSheetId="70">'310 &amp; 491'!$D$11</definedName>
    <definedName name="OSRRefD11_0x" localSheetId="54">'311'!$D$11</definedName>
    <definedName name="OSRRefD11_0x" localSheetId="57">'315'!$D$11</definedName>
    <definedName name="OSRRefD11_0x" localSheetId="60">'316'!$D$11</definedName>
    <definedName name="OSRRefD11_0x" localSheetId="62">'317'!$D$11</definedName>
    <definedName name="OSRRefD11_0x" localSheetId="66">'321'!$D$11</definedName>
    <definedName name="OSRRefD11_0x" localSheetId="55">'324'!$D$11</definedName>
    <definedName name="OSRRefD11_0x" localSheetId="67">'325'!$D$11</definedName>
    <definedName name="OSRRefD11_0x" localSheetId="58">'326'!$D$11</definedName>
    <definedName name="OSRRefD11_0x" localSheetId="68">'327'!$D$11</definedName>
    <definedName name="OSRRefD11_0x" localSheetId="51">'330'!$D$11</definedName>
    <definedName name="OSRRefD11_0x" localSheetId="56">'331'!$D$11</definedName>
    <definedName name="OSRRefD11_0x" localSheetId="59">'332'!$D$11</definedName>
    <definedName name="OSRRefD11_0x" localSheetId="72">'405'!$D$11</definedName>
    <definedName name="OSRRefD11_0x" localSheetId="76">'415'!$D$11</definedName>
    <definedName name="OSRRefD11_0x" localSheetId="77">'418'!$D$11</definedName>
    <definedName name="OSRRefD11_0x" localSheetId="84">'433'!$D$11</definedName>
    <definedName name="OSRRefD11_0x" localSheetId="85">'444'!$D$11</definedName>
    <definedName name="OSRRefD11_0x" localSheetId="86">'450'!$D$11</definedName>
    <definedName name="OSRRefD11_0x" localSheetId="71">'491'!$D$11</definedName>
    <definedName name="OSRRefD11_0x" localSheetId="82">'492'!$D$11</definedName>
    <definedName name="OSRRefD11_0x" localSheetId="88">'501'!$D$11</definedName>
    <definedName name="OSRRefD11_0x" localSheetId="41">'Div 3'!$D$11</definedName>
    <definedName name="OSRRefD11_0x" localSheetId="69">'Div 4'!$D$11</definedName>
    <definedName name="OSRRefD11_0x" localSheetId="87">'Div 5'!$D$11</definedName>
    <definedName name="OSRRefD11_0x" localSheetId="61">'Div 6'!$D$11</definedName>
    <definedName name="OSRRefD11_0x" localSheetId="2">Summary!$D$11</definedName>
    <definedName name="OSRRefD11_1x" localSheetId="48">'300'!$D$12</definedName>
    <definedName name="OSRRefD11_1x" localSheetId="49">'300 &amp; 317'!$D$12</definedName>
    <definedName name="OSRRefD11_1x" localSheetId="52">'307'!$D$12</definedName>
    <definedName name="OSRRefD11_1x" localSheetId="53">'308'!$D$12</definedName>
    <definedName name="OSRRefD11_1x" localSheetId="63">'310'!$D$12</definedName>
    <definedName name="OSRRefD11_1x" localSheetId="70">'310 &amp; 491'!$D$12</definedName>
    <definedName name="OSRRefD11_1x" localSheetId="54">'311'!$D$12</definedName>
    <definedName name="OSRRefD11_1x" localSheetId="57">'315'!$D$12</definedName>
    <definedName name="OSRRefD11_1x" localSheetId="60">'316'!$D$12</definedName>
    <definedName name="OSRRefD11_1x" localSheetId="62">'317'!$D$12</definedName>
    <definedName name="OSRRefD11_1x" localSheetId="66">'321'!$D$12</definedName>
    <definedName name="OSRRefD11_1x" localSheetId="55">'324'!$D$12</definedName>
    <definedName name="OSRRefD11_1x" localSheetId="67">'325'!$D$12</definedName>
    <definedName name="OSRRefD11_1x" localSheetId="58">'326'!$D$12</definedName>
    <definedName name="OSRRefD11_1x" localSheetId="51">'330'!$D$12</definedName>
    <definedName name="OSRRefD11_1x" localSheetId="56">'331'!$D$12</definedName>
    <definedName name="OSRRefD11_1x" localSheetId="59">'332'!$D$12</definedName>
    <definedName name="OSRRefD11_1x" localSheetId="72">'405'!$D$12</definedName>
    <definedName name="OSRRefD11_1x" localSheetId="76">'415'!$D$12</definedName>
    <definedName name="OSRRefD11_1x" localSheetId="77">'418'!$D$12</definedName>
    <definedName name="OSRRefD11_1x" localSheetId="85">'444'!$D$12</definedName>
    <definedName name="OSRRefD11_1x" localSheetId="71">'491'!$D$12</definedName>
    <definedName name="OSRRefD11_1x" localSheetId="82">'492'!$D$12</definedName>
    <definedName name="OSRRefD11_1x" localSheetId="41">'Div 3'!$D$12</definedName>
    <definedName name="OSRRefD11_1x" localSheetId="69">'Div 4'!$D$12</definedName>
    <definedName name="OSRRefD11_1x" localSheetId="61">'Div 6'!$D$12</definedName>
    <definedName name="OSRRefD11_1x" localSheetId="2">Summary!$D$12</definedName>
    <definedName name="OSRRefD11_2x" localSheetId="48">'300'!$D$13</definedName>
    <definedName name="OSRRefD11_2x" localSheetId="49">'300 &amp; 317'!$D$13</definedName>
    <definedName name="OSRRefD11_2x" localSheetId="53">'308'!$D$13</definedName>
    <definedName name="OSRRefD11_2x" localSheetId="70">'310 &amp; 491'!$D$13</definedName>
    <definedName name="OSRRefD11_2x" localSheetId="54">'311'!$D$13</definedName>
    <definedName name="OSRRefD11_2x" localSheetId="57">'315'!$D$13</definedName>
    <definedName name="OSRRefD11_2x" localSheetId="60">'316'!$D$13</definedName>
    <definedName name="OSRRefD11_2x" localSheetId="62">'317'!$D$13</definedName>
    <definedName name="OSRRefD11_2x" localSheetId="58">'326'!$D$13</definedName>
    <definedName name="OSRRefD11_2x" localSheetId="56">'331'!$D$13</definedName>
    <definedName name="OSRRefD11_2x" localSheetId="59">'332'!$D$13</definedName>
    <definedName name="OSRRefD11_2x" localSheetId="76">'415'!$D$13</definedName>
    <definedName name="OSRRefD11_2x" localSheetId="85">'444'!$D$13</definedName>
    <definedName name="OSRRefD11_2x" localSheetId="71">'491'!$D$13</definedName>
    <definedName name="OSRRefD11_2x" localSheetId="82">'492'!$D$13</definedName>
    <definedName name="OSRRefD11_2x" localSheetId="41">'Div 3'!$D$13</definedName>
    <definedName name="OSRRefD11_2x" localSheetId="69">'Div 4'!$D$13</definedName>
    <definedName name="OSRRefD11_2x" localSheetId="61">'Div 6'!$D$13</definedName>
    <definedName name="OSRRefD11_2x" localSheetId="2">Summary!$D$13</definedName>
    <definedName name="OSRRefD11_3x" localSheetId="48">'300'!$D$14</definedName>
    <definedName name="OSRRefD11_3x" localSheetId="49">'300 &amp; 317'!$D$14</definedName>
    <definedName name="OSRRefD11_3x" localSheetId="53">'308'!$D$14</definedName>
    <definedName name="OSRRefD11_3x" localSheetId="70">'310 &amp; 491'!$D$14</definedName>
    <definedName name="OSRRefD11_3x" localSheetId="54">'311'!$D$14</definedName>
    <definedName name="OSRRefD11_3x" localSheetId="57">'315'!$D$14</definedName>
    <definedName name="OSRRefD11_3x" localSheetId="62">'317'!$D$14</definedName>
    <definedName name="OSRRefD11_3x" localSheetId="56">'331'!$D$14</definedName>
    <definedName name="OSRRefD11_3x" localSheetId="76">'415'!$D$14</definedName>
    <definedName name="OSRRefD11_3x" localSheetId="85">'444'!$D$14</definedName>
    <definedName name="OSRRefD11_3x" localSheetId="71">'491'!$D$14</definedName>
    <definedName name="OSRRefD11_3x" localSheetId="82">'492'!$D$14</definedName>
    <definedName name="OSRRefD11_3x" localSheetId="41">'Div 3'!$D$14</definedName>
    <definedName name="OSRRefD11_3x" localSheetId="69">'Div 4'!$D$14</definedName>
    <definedName name="OSRRefD11_3x" localSheetId="61">'Div 6'!$D$14</definedName>
    <definedName name="OSRRefD11_3x" localSheetId="2">Summary!$D$14</definedName>
    <definedName name="OSRRefD11_4x" localSheetId="48">'300'!$D$15</definedName>
    <definedName name="OSRRefD11_4x" localSheetId="49">'300 &amp; 317'!$D$15</definedName>
    <definedName name="OSRRefD11_4x" localSheetId="41">'Div 3'!$D$15</definedName>
    <definedName name="OSRRefD11_4x" localSheetId="69">'Div 4'!$D$15</definedName>
    <definedName name="OSRRefD11_4x" localSheetId="2">Summary!$D$15</definedName>
    <definedName name="OSRRefD11_5x" localSheetId="69">'Div 4'!$D$16</definedName>
    <definedName name="OSRRefD11_5x" localSheetId="2">Summary!$D$16</definedName>
    <definedName name="OSRRefD11_6x" localSheetId="2">Summary!$D$17</definedName>
    <definedName name="OSRRefD11_7x" localSheetId="2">Summary!$D$18</definedName>
    <definedName name="OSRRefD11_8x" localSheetId="2">Summary!$D$19</definedName>
    <definedName name="OSRRefD11x_0" localSheetId="48">'300'!$D$11:$D$15</definedName>
    <definedName name="OSRRefD11x_0" localSheetId="49">'300 &amp; 317'!$D$11:$D$15</definedName>
    <definedName name="OSRRefD11x_0" localSheetId="52">'307'!$D$11:$D$12</definedName>
    <definedName name="OSRRefD11x_0" localSheetId="53">'308'!$D$11:$D$14</definedName>
    <definedName name="OSRRefD11x_0" localSheetId="63">'310'!$D$11:$D$12</definedName>
    <definedName name="OSRRefD11x_0" localSheetId="70">'310 &amp; 491'!$D$11:$D$14</definedName>
    <definedName name="OSRRefD11x_0" localSheetId="54">'311'!$D$11:$D$14</definedName>
    <definedName name="OSRRefD11x_0" localSheetId="57">'315'!$D$11:$D$14</definedName>
    <definedName name="OSRRefD11x_0" localSheetId="60">'316'!$D$11:$D$13</definedName>
    <definedName name="OSRRefD11x_0" localSheetId="62">'317'!$D$11:$D$14</definedName>
    <definedName name="OSRRefD11x_0" localSheetId="66">'321'!$D$11:$D$12</definedName>
    <definedName name="OSRRefD11x_0" localSheetId="55">'324'!$D$11:$D$12</definedName>
    <definedName name="OSRRefD11x_0" localSheetId="67">'325'!$D$11:$D$12</definedName>
    <definedName name="OSRRefD11x_0" localSheetId="58">'326'!$D$11:$D$13</definedName>
    <definedName name="OSRRefD11x_0" localSheetId="68">'327'!$D$11</definedName>
    <definedName name="OSRRefD11x_0" localSheetId="51">'330'!$D$11:$D$12</definedName>
    <definedName name="OSRRefD11x_0" localSheetId="56">'331'!$D$11:$D$14</definedName>
    <definedName name="OSRRefD11x_0" localSheetId="59">'332'!$D$11:$D$13</definedName>
    <definedName name="OSRRefD11x_0" localSheetId="72">'405'!$D$11:$D$12</definedName>
    <definedName name="OSRRefD11x_0" localSheetId="76">'415'!$D$11:$D$14</definedName>
    <definedName name="OSRRefD11x_0" localSheetId="77">'418'!$D$11:$D$12</definedName>
    <definedName name="OSRRefD11x_0" localSheetId="84">'433'!$D$11</definedName>
    <definedName name="OSRRefD11x_0" localSheetId="85">'444'!$D$11:$D$14</definedName>
    <definedName name="OSRRefD11x_0" localSheetId="86">'450'!$D$11</definedName>
    <definedName name="OSRRefD11x_0" localSheetId="71">'491'!$D$11:$D$14</definedName>
    <definedName name="OSRRefD11x_0" localSheetId="82">'492'!$D$11:$D$14</definedName>
    <definedName name="OSRRefD11x_0" localSheetId="88">'501'!$D$11</definedName>
    <definedName name="OSRRefD11x_0" localSheetId="41">'Div 3'!$D$11:$D$15</definedName>
    <definedName name="OSRRefD11x_0" localSheetId="69">'Div 4'!$D$11:$D$16</definedName>
    <definedName name="OSRRefD11x_0" localSheetId="87">'Div 5'!$D$11</definedName>
    <definedName name="OSRRefD11x_0" localSheetId="61">'Div 6'!$D$11:$D$14</definedName>
    <definedName name="OSRRefD11x_0" localSheetId="2">Summary!$D$11:$D$19</definedName>
    <definedName name="OSRRefD14_0x" localSheetId="48">'300'!$D$18</definedName>
    <definedName name="OSRRefD14_0x" localSheetId="49">'300 &amp; 317'!$D$18</definedName>
    <definedName name="OSRRefD14_0x" localSheetId="52">'307'!$D$15</definedName>
    <definedName name="OSRRefD14_0x" localSheetId="53">'308'!$D$17</definedName>
    <definedName name="OSRRefD14_0x" localSheetId="63">'310'!$D$15</definedName>
    <definedName name="OSRRefD14_0x" localSheetId="70">'310 &amp; 491'!$D$17</definedName>
    <definedName name="OSRRefD14_0x" localSheetId="54">'311'!$D$17</definedName>
    <definedName name="OSRRefD14_0x" localSheetId="57">'315'!$D$17</definedName>
    <definedName name="OSRRefD14_0x" localSheetId="60">'316'!$D$16</definedName>
    <definedName name="OSRRefD14_0x" localSheetId="62">'317'!$D$17</definedName>
    <definedName name="OSRRefD14_0x" localSheetId="66">'321'!$D$15</definedName>
    <definedName name="OSRRefD14_0x" localSheetId="55">'324'!$D$15</definedName>
    <definedName name="OSRRefD14_0x" localSheetId="67">'325'!$D$15</definedName>
    <definedName name="OSRRefD14_0x" localSheetId="58">'326'!$D$16</definedName>
    <definedName name="OSRRefD14_0x" localSheetId="68">'327'!$D$14</definedName>
    <definedName name="OSRRefD14_0x" localSheetId="51">'330'!$D$15</definedName>
    <definedName name="OSRRefD14_0x" localSheetId="56">'331'!$D$17</definedName>
    <definedName name="OSRRefD14_0x" localSheetId="59">'332'!$D$16</definedName>
    <definedName name="OSRRefD14_0x" localSheetId="72">'405'!$D$15</definedName>
    <definedName name="OSRRefD14_0x" localSheetId="76">'415'!$D$17</definedName>
    <definedName name="OSRRefD14_0x" localSheetId="77">'418'!$D$15</definedName>
    <definedName name="OSRRefD14_0x" localSheetId="80">'425'!$D$13</definedName>
    <definedName name="OSRRefD14_0x" localSheetId="84">'433'!$D$14</definedName>
    <definedName name="OSRRefD14_0x" localSheetId="85">'444'!$D$17</definedName>
    <definedName name="OSRRefD14_0x" localSheetId="86">'450'!$D$14</definedName>
    <definedName name="OSRRefD14_0x" localSheetId="71">'491'!$D$17</definedName>
    <definedName name="OSRRefD14_0x" localSheetId="82">'492'!$D$17</definedName>
    <definedName name="OSRRefD14_0x" localSheetId="41">'Div 3'!$D$18</definedName>
    <definedName name="OSRRefD14_0x" localSheetId="69">'Div 4'!$D$19</definedName>
    <definedName name="OSRRefD14_0x" localSheetId="61">'Div 6'!$D$17</definedName>
    <definedName name="OSRRefD14_0x" localSheetId="2">Summary!$D$22</definedName>
    <definedName name="OSRRefD14_10x" localSheetId="48">'300'!$D$28</definedName>
    <definedName name="OSRRefD14_10x" localSheetId="49">'300 &amp; 317'!$D$28</definedName>
    <definedName name="OSRRefD14_10x" localSheetId="57">'315'!$D$27</definedName>
    <definedName name="OSRRefD14_10x" localSheetId="56">'331'!$D$27</definedName>
    <definedName name="OSRRefD14_10x" localSheetId="41">'Div 3'!$D$28</definedName>
    <definedName name="OSRRefD14_10x" localSheetId="2">Summary!$D$32</definedName>
    <definedName name="OSRRefD14_11x" localSheetId="48">'300'!$D$29</definedName>
    <definedName name="OSRRefD14_11x" localSheetId="49">'300 &amp; 317'!$D$29</definedName>
    <definedName name="OSRRefD14_11x" localSheetId="57">'315'!$D$28</definedName>
    <definedName name="OSRRefD14_11x" localSheetId="56">'331'!$D$28</definedName>
    <definedName name="OSRRefD14_11x" localSheetId="41">'Div 3'!$D$29</definedName>
    <definedName name="OSRRefD14_11x" localSheetId="2">Summary!$D$33</definedName>
    <definedName name="OSRRefD14_12x" localSheetId="48">'300'!$D$30</definedName>
    <definedName name="OSRRefD14_12x" localSheetId="49">'300 &amp; 317'!$D$30</definedName>
    <definedName name="OSRRefD14_12x" localSheetId="57">'315'!$D$29</definedName>
    <definedName name="OSRRefD14_12x" localSheetId="56">'331'!$D$29</definedName>
    <definedName name="OSRRefD14_12x" localSheetId="41">'Div 3'!$D$30</definedName>
    <definedName name="OSRRefD14_12x" localSheetId="2">Summary!$D$34</definedName>
    <definedName name="OSRRefD14_13x" localSheetId="48">'300'!$D$31</definedName>
    <definedName name="OSRRefD14_13x" localSheetId="49">'300 &amp; 317'!$D$31</definedName>
    <definedName name="OSRRefD14_13x" localSheetId="57">'315'!$D$30</definedName>
    <definedName name="OSRRefD14_13x" localSheetId="56">'331'!$D$30</definedName>
    <definedName name="OSRRefD14_13x" localSheetId="41">'Div 3'!$D$31</definedName>
    <definedName name="OSRRefD14_13x" localSheetId="2">Summary!$D$35</definedName>
    <definedName name="OSRRefD14_14x" localSheetId="48">'300'!$D$32</definedName>
    <definedName name="OSRRefD14_14x" localSheetId="49">'300 &amp; 317'!$D$32</definedName>
    <definedName name="OSRRefD14_14x" localSheetId="57">'315'!$D$31</definedName>
    <definedName name="OSRRefD14_14x" localSheetId="56">'331'!$D$31</definedName>
    <definedName name="OSRRefD14_14x" localSheetId="41">'Div 3'!$D$32</definedName>
    <definedName name="OSRRefD14_14x" localSheetId="2">Summary!$D$36</definedName>
    <definedName name="OSRRefD14_15x" localSheetId="48">'300'!$D$33</definedName>
    <definedName name="OSRRefD14_15x" localSheetId="49">'300 &amp; 317'!$D$33</definedName>
    <definedName name="OSRRefD14_15x" localSheetId="41">'Div 3'!$D$33</definedName>
    <definedName name="OSRRefD14_15x" localSheetId="2">Summary!$D$37</definedName>
    <definedName name="OSRRefD14_16x" localSheetId="48">'300'!$D$34</definedName>
    <definedName name="OSRRefD14_16x" localSheetId="49">'300 &amp; 317'!$D$34</definedName>
    <definedName name="OSRRefD14_16x" localSheetId="41">'Div 3'!$D$34</definedName>
    <definedName name="OSRRefD14_16x" localSheetId="2">Summary!$D$38</definedName>
    <definedName name="OSRRefD14_17x" localSheetId="48">'300'!$D$35</definedName>
    <definedName name="OSRRefD14_17x" localSheetId="49">'300 &amp; 317'!$D$35</definedName>
    <definedName name="OSRRefD14_17x" localSheetId="41">'Div 3'!$D$35</definedName>
    <definedName name="OSRRefD14_17x" localSheetId="2">Summary!$D$39</definedName>
    <definedName name="OSRRefD14_18x" localSheetId="48">'300'!$D$36</definedName>
    <definedName name="OSRRefD14_18x" localSheetId="49">'300 &amp; 317'!$D$36</definedName>
    <definedName name="OSRRefD14_18x" localSheetId="41">'Div 3'!$D$36</definedName>
    <definedName name="OSRRefD14_18x" localSheetId="2">Summary!$D$40</definedName>
    <definedName name="OSRRefD14_19x" localSheetId="48">'300'!$D$37</definedName>
    <definedName name="OSRRefD14_19x" localSheetId="49">'300 &amp; 317'!$D$37</definedName>
    <definedName name="OSRRefD14_19x" localSheetId="41">'Div 3'!$D$37</definedName>
    <definedName name="OSRRefD14_19x" localSheetId="2">Summary!$D$41</definedName>
    <definedName name="OSRRefD14_1x" localSheetId="48">'300'!$D$19</definedName>
    <definedName name="OSRRefD14_1x" localSheetId="49">'300 &amp; 317'!$D$19</definedName>
    <definedName name="OSRRefD14_1x" localSheetId="53">'308'!$D$18</definedName>
    <definedName name="OSRRefD14_1x" localSheetId="63">'310'!$D$16</definedName>
    <definedName name="OSRRefD14_1x" localSheetId="70">'310 &amp; 491'!$D$18</definedName>
    <definedName name="OSRRefD14_1x" localSheetId="54">'311'!$D$18</definedName>
    <definedName name="OSRRefD14_1x" localSheetId="57">'315'!$D$18</definedName>
    <definedName name="OSRRefD14_1x" localSheetId="62">'317'!$D$18</definedName>
    <definedName name="OSRRefD14_1x" localSheetId="67">'325'!$D$16</definedName>
    <definedName name="OSRRefD14_1x" localSheetId="58">'326'!$D$17</definedName>
    <definedName name="OSRRefD14_1x" localSheetId="56">'331'!$D$18</definedName>
    <definedName name="OSRRefD14_1x" localSheetId="76">'415'!$D$18</definedName>
    <definedName name="OSRRefD14_1x" localSheetId="85">'444'!$D$18</definedName>
    <definedName name="OSRRefD14_1x" localSheetId="71">'491'!$D$18</definedName>
    <definedName name="OSRRefD14_1x" localSheetId="82">'492'!$D$18</definedName>
    <definedName name="OSRRefD14_1x" localSheetId="41">'Div 3'!$D$19</definedName>
    <definedName name="OSRRefD14_1x" localSheetId="69">'Div 4'!$D$20</definedName>
    <definedName name="OSRRefD14_1x" localSheetId="61">'Div 6'!$D$18</definedName>
    <definedName name="OSRRefD14_1x" localSheetId="2">Summary!$D$23</definedName>
    <definedName name="OSRRefD14_20x" localSheetId="48">'300'!$D$38</definedName>
    <definedName name="OSRRefD14_20x" localSheetId="49">'300 &amp; 317'!$D$38</definedName>
    <definedName name="OSRRefD14_20x" localSheetId="41">'Div 3'!$D$38</definedName>
    <definedName name="OSRRefD14_20x" localSheetId="2">Summary!$D$42</definedName>
    <definedName name="OSRRefD14_21x" localSheetId="49">'300 &amp; 317'!$D$39</definedName>
    <definedName name="OSRRefD14_21x" localSheetId="41">'Div 3'!$D$39</definedName>
    <definedName name="OSRRefD14_21x" localSheetId="2">Summary!$D$43</definedName>
    <definedName name="OSRRefD14_22x" localSheetId="49">'300 &amp; 317'!$D$40</definedName>
    <definedName name="OSRRefD14_22x" localSheetId="2">Summary!$D$44</definedName>
    <definedName name="OSRRefD14_23x" localSheetId="49">'300 &amp; 317'!$D$41</definedName>
    <definedName name="OSRRefD14_23x" localSheetId="2">Summary!$D$45</definedName>
    <definedName name="OSRRefD14_24x" localSheetId="49">'300 &amp; 317'!$D$42</definedName>
    <definedName name="OSRRefD14_24x" localSheetId="2">Summary!$D$46</definedName>
    <definedName name="OSRRefD14_25x" localSheetId="49">'300 &amp; 317'!$D$43</definedName>
    <definedName name="OSRRefD14_25x" localSheetId="2">Summary!$D$47</definedName>
    <definedName name="OSRRefD14_26x" localSheetId="49">'300 &amp; 317'!$D$44</definedName>
    <definedName name="OSRRefD14_26x" localSheetId="2">Summary!$D$48</definedName>
    <definedName name="OSRRefD14_27x" localSheetId="2">Summary!$D$49</definedName>
    <definedName name="OSRRefD14_28x" localSheetId="2">Summary!$D$50</definedName>
    <definedName name="OSRRefD14_2x" localSheetId="48">'300'!$D$20</definedName>
    <definedName name="OSRRefD14_2x" localSheetId="49">'300 &amp; 317'!$D$20</definedName>
    <definedName name="OSRRefD14_2x" localSheetId="53">'308'!$D$19</definedName>
    <definedName name="OSRRefD14_2x" localSheetId="70">'310 &amp; 491'!$D$19</definedName>
    <definedName name="OSRRefD14_2x" localSheetId="54">'311'!$D$19</definedName>
    <definedName name="OSRRefD14_2x" localSheetId="57">'315'!$D$19</definedName>
    <definedName name="OSRRefD14_2x" localSheetId="62">'317'!$D$19</definedName>
    <definedName name="OSRRefD14_2x" localSheetId="56">'331'!$D$19</definedName>
    <definedName name="OSRRefD14_2x" localSheetId="76">'415'!$D$19</definedName>
    <definedName name="OSRRefD14_2x" localSheetId="85">'444'!$D$19</definedName>
    <definedName name="OSRRefD14_2x" localSheetId="71">'491'!$D$19</definedName>
    <definedName name="OSRRefD14_2x" localSheetId="82">'492'!$D$19</definedName>
    <definedName name="OSRRefD14_2x" localSheetId="41">'Div 3'!$D$20</definedName>
    <definedName name="OSRRefD14_2x" localSheetId="69">'Div 4'!$D$21</definedName>
    <definedName name="OSRRefD14_2x" localSheetId="61">'Div 6'!$D$19</definedName>
    <definedName name="OSRRefD14_2x" localSheetId="2">Summary!$D$24</definedName>
    <definedName name="OSRRefD14_3x" localSheetId="48">'300'!$D$21</definedName>
    <definedName name="OSRRefD14_3x" localSheetId="49">'300 &amp; 317'!$D$21</definedName>
    <definedName name="OSRRefD14_3x" localSheetId="53">'308'!$D$20</definedName>
    <definedName name="OSRRefD14_3x" localSheetId="54">'311'!$D$20</definedName>
    <definedName name="OSRRefD14_3x" localSheetId="57">'315'!$D$20</definedName>
    <definedName name="OSRRefD14_3x" localSheetId="62">'317'!$D$20</definedName>
    <definedName name="OSRRefD14_3x" localSheetId="56">'331'!$D$20</definedName>
    <definedName name="OSRRefD14_3x" localSheetId="41">'Div 3'!$D$21</definedName>
    <definedName name="OSRRefD14_3x" localSheetId="61">'Div 6'!$D$20</definedName>
    <definedName name="OSRRefD14_3x" localSheetId="2">Summary!$D$25</definedName>
    <definedName name="OSRRefD14_4x" localSheetId="48">'300'!$D$22</definedName>
    <definedName name="OSRRefD14_4x" localSheetId="49">'300 &amp; 317'!$D$22</definedName>
    <definedName name="OSRRefD14_4x" localSheetId="53">'308'!$D$21</definedName>
    <definedName name="OSRRefD14_4x" localSheetId="54">'311'!$D$21</definedName>
    <definedName name="OSRRefD14_4x" localSheetId="57">'315'!$D$21</definedName>
    <definedName name="OSRRefD14_4x" localSheetId="62">'317'!$D$21</definedName>
    <definedName name="OSRRefD14_4x" localSheetId="56">'331'!$D$21</definedName>
    <definedName name="OSRRefD14_4x" localSheetId="41">'Div 3'!$D$22</definedName>
    <definedName name="OSRRefD14_4x" localSheetId="61">'Div 6'!$D$21</definedName>
    <definedName name="OSRRefD14_4x" localSheetId="2">Summary!$D$26</definedName>
    <definedName name="OSRRefD14_5x" localSheetId="48">'300'!$D$23</definedName>
    <definedName name="OSRRefD14_5x" localSheetId="49">'300 &amp; 317'!$D$23</definedName>
    <definedName name="OSRRefD14_5x" localSheetId="53">'308'!$D$22</definedName>
    <definedName name="OSRRefD14_5x" localSheetId="54">'311'!$D$22</definedName>
    <definedName name="OSRRefD14_5x" localSheetId="57">'315'!$D$22</definedName>
    <definedName name="OSRRefD14_5x" localSheetId="62">'317'!$D$22</definedName>
    <definedName name="OSRRefD14_5x" localSheetId="56">'331'!$D$22</definedName>
    <definedName name="OSRRefD14_5x" localSheetId="41">'Div 3'!$D$23</definedName>
    <definedName name="OSRRefD14_5x" localSheetId="61">'Div 6'!$D$22</definedName>
    <definedName name="OSRRefD14_5x" localSheetId="2">Summary!$D$27</definedName>
    <definedName name="OSRRefD14_6x" localSheetId="48">'300'!$D$24</definedName>
    <definedName name="OSRRefD14_6x" localSheetId="49">'300 &amp; 317'!$D$24</definedName>
    <definedName name="OSRRefD14_6x" localSheetId="53">'308'!$D$23</definedName>
    <definedName name="OSRRefD14_6x" localSheetId="54">'311'!$D$23</definedName>
    <definedName name="OSRRefD14_6x" localSheetId="57">'315'!$D$23</definedName>
    <definedName name="OSRRefD14_6x" localSheetId="62">'317'!$D$23</definedName>
    <definedName name="OSRRefD14_6x" localSheetId="56">'331'!$D$23</definedName>
    <definedName name="OSRRefD14_6x" localSheetId="41">'Div 3'!$D$24</definedName>
    <definedName name="OSRRefD14_6x" localSheetId="61">'Div 6'!$D$23</definedName>
    <definedName name="OSRRefD14_6x" localSheetId="2">Summary!$D$28</definedName>
    <definedName name="OSRRefD14_7x" localSheetId="48">'300'!$D$25</definedName>
    <definedName name="OSRRefD14_7x" localSheetId="49">'300 &amp; 317'!$D$25</definedName>
    <definedName name="OSRRefD14_7x" localSheetId="53">'308'!$D$24</definedName>
    <definedName name="OSRRefD14_7x" localSheetId="54">'311'!$D$24</definedName>
    <definedName name="OSRRefD14_7x" localSheetId="57">'315'!$D$24</definedName>
    <definedName name="OSRRefD14_7x" localSheetId="62">'317'!$D$24</definedName>
    <definedName name="OSRRefD14_7x" localSheetId="56">'331'!$D$24</definedName>
    <definedName name="OSRRefD14_7x" localSheetId="41">'Div 3'!$D$25</definedName>
    <definedName name="OSRRefD14_7x" localSheetId="61">'Div 6'!$D$24</definedName>
    <definedName name="OSRRefD14_7x" localSheetId="2">Summary!$D$29</definedName>
    <definedName name="OSRRefD14_8x" localSheetId="48">'300'!$D$26</definedName>
    <definedName name="OSRRefD14_8x" localSheetId="49">'300 &amp; 317'!$D$26</definedName>
    <definedName name="OSRRefD14_8x" localSheetId="53">'308'!$D$25</definedName>
    <definedName name="OSRRefD14_8x" localSheetId="54">'311'!$D$25</definedName>
    <definedName name="OSRRefD14_8x" localSheetId="57">'315'!$D$25</definedName>
    <definedName name="OSRRefD14_8x" localSheetId="62">'317'!$D$25</definedName>
    <definedName name="OSRRefD14_8x" localSheetId="56">'331'!$D$25</definedName>
    <definedName name="OSRRefD14_8x" localSheetId="41">'Div 3'!$D$26</definedName>
    <definedName name="OSRRefD14_8x" localSheetId="61">'Div 6'!$D$25</definedName>
    <definedName name="OSRRefD14_8x" localSheetId="2">Summary!$D$30</definedName>
    <definedName name="OSRRefD14_9x" localSheetId="48">'300'!$D$27</definedName>
    <definedName name="OSRRefD14_9x" localSheetId="49">'300 &amp; 317'!$D$27</definedName>
    <definedName name="OSRRefD14_9x" localSheetId="53">'308'!$D$26</definedName>
    <definedName name="OSRRefD14_9x" localSheetId="54">'311'!$D$26</definedName>
    <definedName name="OSRRefD14_9x" localSheetId="57">'315'!$D$26</definedName>
    <definedName name="OSRRefD14_9x" localSheetId="62">'317'!$D$26</definedName>
    <definedName name="OSRRefD14_9x" localSheetId="56">'331'!$D$26</definedName>
    <definedName name="OSRRefD14_9x" localSheetId="41">'Div 3'!$D$27</definedName>
    <definedName name="OSRRefD14_9x" localSheetId="61">'Div 6'!$D$26</definedName>
    <definedName name="OSRRefD14_9x" localSheetId="2">Summary!$D$31</definedName>
    <definedName name="OSRRefD14x_0" localSheetId="48">'300'!$D$18:$D$38</definedName>
    <definedName name="OSRRefD14x_0" localSheetId="49">'300 &amp; 317'!$D$18:$D$44</definedName>
    <definedName name="OSRRefD14x_0" localSheetId="52">'307'!$D$15</definedName>
    <definedName name="OSRRefD14x_0" localSheetId="53">'308'!$D$17:$D$26</definedName>
    <definedName name="OSRRefD14x_0" localSheetId="63">'310'!$D$15:$D$16</definedName>
    <definedName name="OSRRefD14x_0" localSheetId="70">'310 &amp; 491'!$D$17:$D$19</definedName>
    <definedName name="OSRRefD14x_0" localSheetId="54">'311'!$D$17:$D$26</definedName>
    <definedName name="OSRRefD14x_0" localSheetId="57">'315'!$D$17:$D$31</definedName>
    <definedName name="OSRRefD14x_0" localSheetId="60">'316'!$D$16</definedName>
    <definedName name="OSRRefD14x_0" localSheetId="62">'317'!$D$17:$D$26</definedName>
    <definedName name="OSRRefD14x_0" localSheetId="66">'321'!$D$15</definedName>
    <definedName name="OSRRefD14x_0" localSheetId="55">'324'!$D$15</definedName>
    <definedName name="OSRRefD14x_0" localSheetId="67">'325'!$D$15:$D$16</definedName>
    <definedName name="OSRRefD14x_0" localSheetId="58">'326'!$D$16:$D$17</definedName>
    <definedName name="OSRRefD14x_0" localSheetId="68">'327'!$D$14</definedName>
    <definedName name="OSRRefD14x_0" localSheetId="51">'330'!$D$15</definedName>
    <definedName name="OSRRefD14x_0" localSheetId="56">'331'!$D$17:$D$31</definedName>
    <definedName name="OSRRefD14x_0" localSheetId="59">'332'!$D$16</definedName>
    <definedName name="OSRRefD14x_0" localSheetId="72">'405'!$D$15</definedName>
    <definedName name="OSRRefD14x_0" localSheetId="76">'415'!$D$17:$D$19</definedName>
    <definedName name="OSRRefD14x_0" localSheetId="77">'418'!$D$15</definedName>
    <definedName name="OSRRefD14x_0" localSheetId="80">'425'!$D$13</definedName>
    <definedName name="OSRRefD14x_0" localSheetId="84">'433'!$D$14</definedName>
    <definedName name="OSRRefD14x_0" localSheetId="85">'444'!$D$17:$D$19</definedName>
    <definedName name="OSRRefD14x_0" localSheetId="86">'450'!$D$14</definedName>
    <definedName name="OSRRefD14x_0" localSheetId="71">'491'!$D$17:$D$19</definedName>
    <definedName name="OSRRefD14x_0" localSheetId="82">'492'!$D$17:$D$19</definedName>
    <definedName name="OSRRefD14x_0" localSheetId="41">'Div 3'!$D$18:$D$39</definedName>
    <definedName name="OSRRefD14x_0" localSheetId="69">'Div 4'!$D$19:$D$21</definedName>
    <definedName name="OSRRefD14x_0" localSheetId="61">'Div 6'!$D$17:$D$26</definedName>
    <definedName name="OSRRefD14x_0" localSheetId="2">Summary!$D$22:$D$50</definedName>
    <definedName name="OSRRefD20_0x" localSheetId="40">'200'!$D$18</definedName>
    <definedName name="OSRRefD20_0x" localSheetId="42">'201'!$D$18</definedName>
    <definedName name="OSRRefD20_0x" localSheetId="43">'202'!$D$18</definedName>
    <definedName name="OSRRefD20_0x" localSheetId="44">'203'!$D$18</definedName>
    <definedName name="OSRRefD20_0x" localSheetId="45">'204'!$D$18</definedName>
    <definedName name="OSRRefD20_0x" localSheetId="46">'205'!$D$18</definedName>
    <definedName name="OSRRefD20_0x" localSheetId="47">'206'!$D$18</definedName>
    <definedName name="OSRRefD20_0x" localSheetId="48">'300'!$D$44</definedName>
    <definedName name="OSRRefD20_0x" localSheetId="49">'300 &amp; 317'!$D$50</definedName>
    <definedName name="OSRRefD20_0x" localSheetId="50">'301'!$D$18</definedName>
    <definedName name="OSRRefD20_0x" localSheetId="52">'307'!$D$21</definedName>
    <definedName name="OSRRefD20_0x" localSheetId="53">'308'!$D$32</definedName>
    <definedName name="OSRRefD20_0x" localSheetId="64">'309'!$D$18</definedName>
    <definedName name="OSRRefD20_0x" localSheetId="63">'310'!$D$22</definedName>
    <definedName name="OSRRefD20_0x" localSheetId="70">'310 &amp; 491'!$D$25</definedName>
    <definedName name="OSRRefD20_0x" localSheetId="54">'311'!$D$32</definedName>
    <definedName name="OSRRefD20_0x" localSheetId="65">'313'!$D$18</definedName>
    <definedName name="OSRRefD20_0x" localSheetId="57">'315'!$D$37</definedName>
    <definedName name="OSRRefD20_0x" localSheetId="60">'316'!$D$22</definedName>
    <definedName name="OSRRefD20_0x" localSheetId="62">'317'!$D$32</definedName>
    <definedName name="OSRRefD20_0x" localSheetId="66">'321'!$D$21</definedName>
    <definedName name="OSRRefD20_0x" localSheetId="67">'325'!$D$22</definedName>
    <definedName name="OSRRefD20_0x" localSheetId="58">'326'!$D$23</definedName>
    <definedName name="OSRRefD20_0x" localSheetId="68">'327'!$D$20</definedName>
    <definedName name="OSRRefD20_0x" localSheetId="51">'330'!$D$21</definedName>
    <definedName name="OSRRefD20_0x" localSheetId="56">'331'!$D$37</definedName>
    <definedName name="OSRRefD20_0x" localSheetId="59">'332'!$D$22</definedName>
    <definedName name="OSRRefD20_0x" localSheetId="72">'405'!$D$21</definedName>
    <definedName name="OSRRefD20_0x" localSheetId="73">'411'!$D$18</definedName>
    <definedName name="OSRRefD20_0x" localSheetId="74">'412'!$D$18</definedName>
    <definedName name="OSRRefD20_0x" localSheetId="75">'413'!$D$18</definedName>
    <definedName name="OSRRefD20_0x" localSheetId="76">'415'!$D$25</definedName>
    <definedName name="OSRRefD20_0x" localSheetId="77">'418'!$D$21</definedName>
    <definedName name="OSRRefD20_0x" localSheetId="78">'423'!$D$18</definedName>
    <definedName name="OSRRefD20_0x" localSheetId="79">'424'!$D$18</definedName>
    <definedName name="OSRRefD20_0x" localSheetId="80">'425'!$D$19</definedName>
    <definedName name="OSRRefD20_0x" localSheetId="83">'430'!$D$18</definedName>
    <definedName name="OSRRefD20_0x" localSheetId="84">'433'!$D$20</definedName>
    <definedName name="OSRRefD20_0x" localSheetId="85">'444'!$D$25</definedName>
    <definedName name="OSRRefD20_0x" localSheetId="86">'450'!$D$20</definedName>
    <definedName name="OSRRefD20_0x" localSheetId="71">'491'!$D$25</definedName>
    <definedName name="OSRRefD20_0x" localSheetId="82">'492'!$D$25</definedName>
    <definedName name="OSRRefD20_0x" localSheetId="88">'501'!$D$19</definedName>
    <definedName name="OSRRefD20_0x" localSheetId="39">'Div 2'!$D$18</definedName>
    <definedName name="OSRRefD20_0x" localSheetId="41">'Div 3'!$D$45</definedName>
    <definedName name="OSRRefD20_0x" localSheetId="69">'Div 4'!$D$27</definedName>
    <definedName name="OSRRefD20_0x" localSheetId="87">'Div 5'!$D$19</definedName>
    <definedName name="OSRRefD20_0x" localSheetId="61">'Div 6'!$D$32</definedName>
    <definedName name="OSRRefD20_0x" localSheetId="2">Summary!$D$56</definedName>
    <definedName name="OSRRefD20_10x" localSheetId="42">'201'!$D$57</definedName>
    <definedName name="OSRRefD20_10x" localSheetId="43">'202'!$D$57</definedName>
    <definedName name="OSRRefD20_10x" localSheetId="44">'203'!$D$58</definedName>
    <definedName name="OSRRefD20_10x" localSheetId="48">'300'!$D$84</definedName>
    <definedName name="OSRRefD20_10x" localSheetId="49">'300 &amp; 317'!$D$90</definedName>
    <definedName name="OSRRefD20_10x" localSheetId="50">'301'!$D$57</definedName>
    <definedName name="OSRRefD20_10x" localSheetId="53">'308'!$D$73</definedName>
    <definedName name="OSRRefD20_10x" localSheetId="63">'310'!$D$59</definedName>
    <definedName name="OSRRefD20_10x" localSheetId="70">'310 &amp; 491'!$D$64</definedName>
    <definedName name="OSRRefD20_10x" localSheetId="54">'311'!$D$73</definedName>
    <definedName name="OSRRefD20_10x" localSheetId="57">'315'!$D$75</definedName>
    <definedName name="OSRRefD20_10x" localSheetId="66">'321'!$D$59</definedName>
    <definedName name="OSRRefD20_10x" localSheetId="67">'325'!$D$59</definedName>
    <definedName name="OSRRefD20_10x" localSheetId="58">'326'!$D$60</definedName>
    <definedName name="OSRRefD20_10x" localSheetId="56">'331'!$D$76</definedName>
    <definedName name="OSRRefD20_10x" localSheetId="72">'405'!$D$62</definedName>
    <definedName name="OSRRefD20_10x" localSheetId="73">'411'!$D$59</definedName>
    <definedName name="OSRRefD20_10x" localSheetId="76">'415'!$D$63</definedName>
    <definedName name="OSRRefD20_10x" localSheetId="77">'418'!$D$63</definedName>
    <definedName name="OSRRefD20_10x" localSheetId="84">'433'!$D$58</definedName>
    <definedName name="OSRRefD20_10x" localSheetId="85">'444'!$D$63</definedName>
    <definedName name="OSRRefD20_10x" localSheetId="86">'450'!$D$58</definedName>
    <definedName name="OSRRefD20_10x" localSheetId="71">'491'!$D$64</definedName>
    <definedName name="OSRRefD20_10x" localSheetId="82">'492'!$D$63</definedName>
    <definedName name="OSRRefD20_10x" localSheetId="88">'501'!$D$58</definedName>
    <definedName name="OSRRefD20_10x" localSheetId="39">'Div 2'!$D$58</definedName>
    <definedName name="OSRRefD20_10x" localSheetId="41">'Div 3'!$D$85</definedName>
    <definedName name="OSRRefD20_10x" localSheetId="69">'Div 4'!$D$67</definedName>
    <definedName name="OSRRefD20_10x" localSheetId="87">'Div 5'!$D$58</definedName>
    <definedName name="OSRRefD20_10x" localSheetId="2">Summary!$D$96</definedName>
    <definedName name="OSRRefD20_11x" localSheetId="42">'201'!$D$59</definedName>
    <definedName name="OSRRefD20_11x" localSheetId="43">'202'!$D$59</definedName>
    <definedName name="OSRRefD20_11x" localSheetId="44">'203'!$D$60</definedName>
    <definedName name="OSRRefD20_11x" localSheetId="48">'300'!$D$87</definedName>
    <definedName name="OSRRefD20_11x" localSheetId="49">'300 &amp; 317'!$D$93</definedName>
    <definedName name="OSRRefD20_11x" localSheetId="50">'301'!$D$59</definedName>
    <definedName name="OSRRefD20_11x" localSheetId="53">'308'!$D$76</definedName>
    <definedName name="OSRRefD20_11x" localSheetId="63">'310'!$D$61</definedName>
    <definedName name="OSRRefD20_11x" localSheetId="70">'310 &amp; 491'!$D$66</definedName>
    <definedName name="OSRRefD20_11x" localSheetId="54">'311'!$D$76</definedName>
    <definedName name="OSRRefD20_11x" localSheetId="57">'315'!$D$77</definedName>
    <definedName name="OSRRefD20_11x" localSheetId="66">'321'!$D$61</definedName>
    <definedName name="OSRRefD20_11x" localSheetId="67">'325'!$D$62</definedName>
    <definedName name="OSRRefD20_11x" localSheetId="58">'326'!$D$63</definedName>
    <definedName name="OSRRefD20_11x" localSheetId="56">'331'!$D$78</definedName>
    <definedName name="OSRRefD20_11x" localSheetId="72">'405'!$D$64</definedName>
    <definedName name="OSRRefD20_11x" localSheetId="73">'411'!$D$61</definedName>
    <definedName name="OSRRefD20_11x" localSheetId="76">'415'!$D$65</definedName>
    <definedName name="OSRRefD20_11x" localSheetId="77">'418'!$D$65</definedName>
    <definedName name="OSRRefD20_11x" localSheetId="84">'433'!$D$60</definedName>
    <definedName name="OSRRefD20_11x" localSheetId="85">'444'!$D$65</definedName>
    <definedName name="OSRRefD20_11x" localSheetId="86">'450'!$D$60</definedName>
    <definedName name="OSRRefD20_11x" localSheetId="71">'491'!$D$66</definedName>
    <definedName name="OSRRefD20_11x" localSheetId="82">'492'!$D$65</definedName>
    <definedName name="OSRRefD20_11x" localSheetId="88">'501'!$D$60</definedName>
    <definedName name="OSRRefD20_11x" localSheetId="39">'Div 2'!$D$60</definedName>
    <definedName name="OSRRefD20_11x" localSheetId="41">'Div 3'!$D$88</definedName>
    <definedName name="OSRRefD20_11x" localSheetId="69">'Div 4'!$D$69</definedName>
    <definedName name="OSRRefD20_11x" localSheetId="87">'Div 5'!$D$60</definedName>
    <definedName name="OSRRefD20_11x" localSheetId="2">Summary!$D$99</definedName>
    <definedName name="OSRRefD20_12x" localSheetId="42">'201'!$D$61</definedName>
    <definedName name="OSRRefD20_12x" localSheetId="44">'203'!$D$65</definedName>
    <definedName name="OSRRefD20_12x" localSheetId="48">'300'!$D$90</definedName>
    <definedName name="OSRRefD20_12x" localSheetId="49">'300 &amp; 317'!$D$96</definedName>
    <definedName name="OSRRefD20_12x" localSheetId="50">'301'!$D$61</definedName>
    <definedName name="OSRRefD20_12x" localSheetId="53">'308'!$D$79</definedName>
    <definedName name="OSRRefD20_12x" localSheetId="63">'310'!$D$65</definedName>
    <definedName name="OSRRefD20_12x" localSheetId="70">'310 &amp; 491'!$D$68</definedName>
    <definedName name="OSRRefD20_12x" localSheetId="54">'311'!$D$79</definedName>
    <definedName name="OSRRefD20_12x" localSheetId="57">'315'!$D$81</definedName>
    <definedName name="OSRRefD20_12x" localSheetId="67">'325'!$D$65</definedName>
    <definedName name="OSRRefD20_12x" localSheetId="58">'326'!$D$66</definedName>
    <definedName name="OSRRefD20_12x" localSheetId="56">'331'!$D$80</definedName>
    <definedName name="OSRRefD20_12x" localSheetId="72">'405'!$D$72</definedName>
    <definedName name="OSRRefD20_12x" localSheetId="73">'411'!$D$63</definedName>
    <definedName name="OSRRefD20_12x" localSheetId="76">'415'!$D$68</definedName>
    <definedName name="OSRRefD20_12x" localSheetId="77">'418'!$D$73</definedName>
    <definedName name="OSRRefD20_12x" localSheetId="84">'433'!$D$64</definedName>
    <definedName name="OSRRefD20_12x" localSheetId="85">'444'!$D$68</definedName>
    <definedName name="OSRRefD20_12x" localSheetId="86">'450'!$D$63</definedName>
    <definedName name="OSRRefD20_12x" localSheetId="71">'491'!$D$68</definedName>
    <definedName name="OSRRefD20_12x" localSheetId="82">'492'!$D$67</definedName>
    <definedName name="OSRRefD20_12x" localSheetId="88">'501'!$D$63</definedName>
    <definedName name="OSRRefD20_12x" localSheetId="39">'Div 2'!$D$62</definedName>
    <definedName name="OSRRefD20_12x" localSheetId="41">'Div 3'!$D$91</definedName>
    <definedName name="OSRRefD20_12x" localSheetId="69">'Div 4'!$D$71</definedName>
    <definedName name="OSRRefD20_12x" localSheetId="87">'Div 5'!$D$63</definedName>
    <definedName name="OSRRefD20_12x" localSheetId="2">Summary!$D$103</definedName>
    <definedName name="OSRRefD20_13x" localSheetId="42">'201'!$D$64</definedName>
    <definedName name="OSRRefD20_13x" localSheetId="44">'203'!$D$67</definedName>
    <definedName name="OSRRefD20_13x" localSheetId="48">'300'!$D$92</definedName>
    <definedName name="OSRRefD20_13x" localSheetId="49">'300 &amp; 317'!$D$98</definedName>
    <definedName name="OSRRefD20_13x" localSheetId="50">'301'!$D$63</definedName>
    <definedName name="OSRRefD20_13x" localSheetId="63">'310'!$D$67</definedName>
    <definedName name="OSRRefD20_13x" localSheetId="70">'310 &amp; 491'!$D$73</definedName>
    <definedName name="OSRRefD20_13x" localSheetId="57">'315'!$D$84</definedName>
    <definedName name="OSRRefD20_13x" localSheetId="67">'325'!$D$71</definedName>
    <definedName name="OSRRefD20_13x" localSheetId="58">'326'!$D$69</definedName>
    <definedName name="OSRRefD20_13x" localSheetId="56">'331'!$D$83</definedName>
    <definedName name="OSRRefD20_13x" localSheetId="72">'405'!$D$74</definedName>
    <definedName name="OSRRefD20_13x" localSheetId="76">'415'!$D$73</definedName>
    <definedName name="OSRRefD20_13x" localSheetId="77">'418'!$D$76</definedName>
    <definedName name="OSRRefD20_13x" localSheetId="84">'433'!$D$69</definedName>
    <definedName name="OSRRefD20_13x" localSheetId="85">'444'!$D$73</definedName>
    <definedName name="OSRRefD20_13x" localSheetId="86">'450'!$D$68</definedName>
    <definedName name="OSRRefD20_13x" localSheetId="71">'491'!$D$72</definedName>
    <definedName name="OSRRefD20_13x" localSheetId="82">'492'!$D$71</definedName>
    <definedName name="OSRRefD20_13x" localSheetId="88">'501'!$D$65</definedName>
    <definedName name="OSRRefD20_13x" localSheetId="39">'Div 2'!$D$67</definedName>
    <definedName name="OSRRefD20_13x" localSheetId="41">'Div 3'!$D$93</definedName>
    <definedName name="OSRRefD20_13x" localSheetId="69">'Div 4'!$D$73</definedName>
    <definedName name="OSRRefD20_13x" localSheetId="87">'Div 5'!$D$65</definedName>
    <definedName name="OSRRefD20_13x" localSheetId="2">Summary!$D$105</definedName>
    <definedName name="OSRRefD20_14x" localSheetId="42">'201'!$D$66</definedName>
    <definedName name="OSRRefD20_14x" localSheetId="44">'203'!$D$69</definedName>
    <definedName name="OSRRefD20_14x" localSheetId="48">'300'!$D$94</definedName>
    <definedName name="OSRRefD20_14x" localSheetId="49">'300 &amp; 317'!$D$100</definedName>
    <definedName name="OSRRefD20_14x" localSheetId="50">'301'!$D$68</definedName>
    <definedName name="OSRRefD20_14x" localSheetId="63">'310'!$D$70</definedName>
    <definedName name="OSRRefD20_14x" localSheetId="70">'310 &amp; 491'!$D$75</definedName>
    <definedName name="OSRRefD20_14x" localSheetId="57">'315'!$D$88</definedName>
    <definedName name="OSRRefD20_14x" localSheetId="67">'325'!$D$74</definedName>
    <definedName name="OSRRefD20_14x" localSheetId="58">'326'!$D$73</definedName>
    <definedName name="OSRRefD20_14x" localSheetId="56">'331'!$D$87</definedName>
    <definedName name="OSRRefD20_14x" localSheetId="72">'405'!$D$76</definedName>
    <definedName name="OSRRefD20_14x" localSheetId="76">'415'!$D$75</definedName>
    <definedName name="OSRRefD20_14x" localSheetId="77">'418'!$D$78</definedName>
    <definedName name="OSRRefD20_14x" localSheetId="84">'433'!$D$76</definedName>
    <definedName name="OSRRefD20_14x" localSheetId="85">'444'!$D$75</definedName>
    <definedName name="OSRRefD20_14x" localSheetId="86">'450'!$D$75</definedName>
    <definedName name="OSRRefD20_14x" localSheetId="71">'491'!$D$78</definedName>
    <definedName name="OSRRefD20_14x" localSheetId="82">'492'!$D$76</definedName>
    <definedName name="OSRRefD20_14x" localSheetId="39">'Div 2'!$D$72</definedName>
    <definedName name="OSRRefD20_14x" localSheetId="41">'Div 3'!$D$95</definedName>
    <definedName name="OSRRefD20_14x" localSheetId="69">'Div 4'!$D$75</definedName>
    <definedName name="OSRRefD20_14x" localSheetId="2">Summary!$D$107</definedName>
    <definedName name="OSRRefD20_15x" localSheetId="42">'201'!$D$68</definedName>
    <definedName name="OSRRefD20_15x" localSheetId="48">'300'!$D$96</definedName>
    <definedName name="OSRRefD20_15x" localSheetId="49">'300 &amp; 317'!$D$102</definedName>
    <definedName name="OSRRefD20_15x" localSheetId="50">'301'!$D$71</definedName>
    <definedName name="OSRRefD20_15x" localSheetId="63">'310'!$D$76</definedName>
    <definedName name="OSRRefD20_15x" localSheetId="70">'310 &amp; 491'!$D$81</definedName>
    <definedName name="OSRRefD20_15x" localSheetId="57">'315'!$D$90</definedName>
    <definedName name="OSRRefD20_15x" localSheetId="58">'326'!$D$75</definedName>
    <definedName name="OSRRefD20_15x" localSheetId="56">'331'!$D$90</definedName>
    <definedName name="OSRRefD20_15x" localSheetId="72">'405'!$D$78</definedName>
    <definedName name="OSRRefD20_15x" localSheetId="76">'415'!$D$82</definedName>
    <definedName name="OSRRefD20_15x" localSheetId="77">'418'!$D$80</definedName>
    <definedName name="OSRRefD20_15x" localSheetId="84">'433'!$D$78</definedName>
    <definedName name="OSRRefD20_15x" localSheetId="85">'444'!$D$82</definedName>
    <definedName name="OSRRefD20_15x" localSheetId="86">'450'!$D$77</definedName>
    <definedName name="OSRRefD20_15x" localSheetId="71">'491'!$D$80</definedName>
    <definedName name="OSRRefD20_15x" localSheetId="82">'492'!$D$78</definedName>
    <definedName name="OSRRefD20_15x" localSheetId="39">'Div 2'!$D$75</definedName>
    <definedName name="OSRRefD20_15x" localSheetId="41">'Div 3'!$D$97</definedName>
    <definedName name="OSRRefD20_15x" localSheetId="69">'Div 4'!$D$80</definedName>
    <definedName name="OSRRefD20_15x" localSheetId="2">Summary!$D$109</definedName>
    <definedName name="OSRRefD20_16x" localSheetId="48">'300'!$D$98</definedName>
    <definedName name="OSRRefD20_16x" localSheetId="49">'300 &amp; 317'!$D$104</definedName>
    <definedName name="OSRRefD20_16x" localSheetId="50">'301'!$D$73</definedName>
    <definedName name="OSRRefD20_16x" localSheetId="63">'310'!$D$79</definedName>
    <definedName name="OSRRefD20_16x" localSheetId="70">'310 &amp; 491'!$D$83</definedName>
    <definedName name="OSRRefD20_16x" localSheetId="58">'326'!$D$78</definedName>
    <definedName name="OSRRefD20_16x" localSheetId="56">'331'!$D$93</definedName>
    <definedName name="OSRRefD20_16x" localSheetId="76">'415'!$D$85</definedName>
    <definedName name="OSRRefD20_16x" localSheetId="85">'444'!$D$84</definedName>
    <definedName name="OSRRefD20_16x" localSheetId="71">'491'!$D$90</definedName>
    <definedName name="OSRRefD20_16x" localSheetId="82">'492'!$D$86</definedName>
    <definedName name="OSRRefD20_16x" localSheetId="39">'Div 2'!$D$78</definedName>
    <definedName name="OSRRefD20_16x" localSheetId="41">'Div 3'!$D$99</definedName>
    <definedName name="OSRRefD20_16x" localSheetId="69">'Div 4'!$D$86</definedName>
    <definedName name="OSRRefD20_16x" localSheetId="2">Summary!$D$111</definedName>
    <definedName name="OSRRefD20_17x" localSheetId="48">'300'!$D$103</definedName>
    <definedName name="OSRRefD20_17x" localSheetId="49">'300 &amp; 317'!$D$109</definedName>
    <definedName name="OSRRefD20_17x" localSheetId="50">'301'!$D$79</definedName>
    <definedName name="OSRRefD20_17x" localSheetId="63">'310'!$D$81</definedName>
    <definedName name="OSRRefD20_17x" localSheetId="70">'310 &amp; 491'!$D$94</definedName>
    <definedName name="OSRRefD20_17x" localSheetId="56">'331'!$D$98</definedName>
    <definedName name="OSRRefD20_17x" localSheetId="76">'415'!$D$87</definedName>
    <definedName name="OSRRefD20_17x" localSheetId="71">'491'!$D$93</definedName>
    <definedName name="OSRRefD20_17x" localSheetId="82">'492'!$D$89</definedName>
    <definedName name="OSRRefD20_17x" localSheetId="39">'Div 2'!$D$84</definedName>
    <definedName name="OSRRefD20_17x" localSheetId="41">'Div 3'!$D$101</definedName>
    <definedName name="OSRRefD20_17x" localSheetId="69">'Div 4'!$D$89</definedName>
    <definedName name="OSRRefD20_17x" localSheetId="2">Summary!$D$113</definedName>
    <definedName name="OSRRefD20_18x" localSheetId="48">'300'!$D$108</definedName>
    <definedName name="OSRRefD20_18x" localSheetId="49">'300 &amp; 317'!$D$114</definedName>
    <definedName name="OSRRefD20_18x" localSheetId="50">'301'!$D$81</definedName>
    <definedName name="OSRRefD20_18x" localSheetId="70">'310 &amp; 491'!$D$97</definedName>
    <definedName name="OSRRefD20_18x" localSheetId="56">'331'!$D$100</definedName>
    <definedName name="OSRRefD20_18x" localSheetId="71">'491'!$D$95</definedName>
    <definedName name="OSRRefD20_18x" localSheetId="39">'Div 2'!$D$87</definedName>
    <definedName name="OSRRefD20_18x" localSheetId="41">'Div 3'!$D$106</definedName>
    <definedName name="OSRRefD20_18x" localSheetId="69">'Div 4'!$D$100</definedName>
    <definedName name="OSRRefD20_18x" localSheetId="2">Summary!$D$115</definedName>
    <definedName name="OSRRefD20_19x" localSheetId="48">'300'!$D$112</definedName>
    <definedName name="OSRRefD20_19x" localSheetId="49">'300 &amp; 317'!$D$118</definedName>
    <definedName name="OSRRefD20_19x" localSheetId="50">'301'!$D$83</definedName>
    <definedName name="OSRRefD20_19x" localSheetId="70">'310 &amp; 491'!$D$99</definedName>
    <definedName name="OSRRefD20_19x" localSheetId="56">'331'!$D$103</definedName>
    <definedName name="OSRRefD20_19x" localSheetId="71">'491'!$D$97</definedName>
    <definedName name="OSRRefD20_19x" localSheetId="39">'Div 2'!$D$89</definedName>
    <definedName name="OSRRefD20_19x" localSheetId="41">'Div 3'!$D$111</definedName>
    <definedName name="OSRRefD20_19x" localSheetId="69">'Div 4'!$D$103</definedName>
    <definedName name="OSRRefD20_19x" localSheetId="2">Summary!$D$120</definedName>
    <definedName name="OSRRefD20_1x" localSheetId="40">'200'!$D$20</definedName>
    <definedName name="OSRRefD20_1x" localSheetId="42">'201'!$D$28</definedName>
    <definedName name="OSRRefD20_1x" localSheetId="43">'202'!$D$28</definedName>
    <definedName name="OSRRefD20_1x" localSheetId="44">'203'!$D$29</definedName>
    <definedName name="OSRRefD20_1x" localSheetId="45">'204'!$D$28</definedName>
    <definedName name="OSRRefD20_1x" localSheetId="46">'205'!$D$28</definedName>
    <definedName name="OSRRefD20_1x" localSheetId="47">'206'!$D$28</definedName>
    <definedName name="OSRRefD20_1x" localSheetId="48">'300'!$D$55</definedName>
    <definedName name="OSRRefD20_1x" localSheetId="49">'300 &amp; 317'!$D$61</definedName>
    <definedName name="OSRRefD20_1x" localSheetId="50">'301'!$D$29</definedName>
    <definedName name="OSRRefD20_1x" localSheetId="52">'307'!$D$30</definedName>
    <definedName name="OSRRefD20_1x" localSheetId="53">'308'!$D$43</definedName>
    <definedName name="OSRRefD20_1x" localSheetId="64">'309'!$D$20</definedName>
    <definedName name="OSRRefD20_1x" localSheetId="63">'310'!$D$31</definedName>
    <definedName name="OSRRefD20_1x" localSheetId="70">'310 &amp; 491'!$D$35</definedName>
    <definedName name="OSRRefD20_1x" localSheetId="54">'311'!$D$43</definedName>
    <definedName name="OSRRefD20_1x" localSheetId="57">'315'!$D$47</definedName>
    <definedName name="OSRRefD20_1x" localSheetId="60">'316'!$D$32</definedName>
    <definedName name="OSRRefD20_1x" localSheetId="62">'317'!$D$43</definedName>
    <definedName name="OSRRefD20_1x" localSheetId="66">'321'!$D$30</definedName>
    <definedName name="OSRRefD20_1x" localSheetId="67">'325'!$D$31</definedName>
    <definedName name="OSRRefD20_1x" localSheetId="58">'326'!$D$33</definedName>
    <definedName name="OSRRefD20_1x" localSheetId="51">'330'!$D$30</definedName>
    <definedName name="OSRRefD20_1x" localSheetId="56">'331'!$D$47</definedName>
    <definedName name="OSRRefD20_1x" localSheetId="59">'332'!$D$32</definedName>
    <definedName name="OSRRefD20_1x" localSheetId="72">'405'!$D$31</definedName>
    <definedName name="OSRRefD20_1x" localSheetId="73">'411'!$D$28</definedName>
    <definedName name="OSRRefD20_1x" localSheetId="74">'412'!$D$20</definedName>
    <definedName name="OSRRefD20_1x" localSheetId="76">'415'!$D$35</definedName>
    <definedName name="OSRRefD20_1x" localSheetId="77">'418'!$D$31</definedName>
    <definedName name="OSRRefD20_1x" localSheetId="78">'423'!$D$27</definedName>
    <definedName name="OSRRefD20_1x" localSheetId="83">'430'!$D$28</definedName>
    <definedName name="OSRRefD20_1x" localSheetId="84">'433'!$D$31</definedName>
    <definedName name="OSRRefD20_1x" localSheetId="85">'444'!$D$36</definedName>
    <definedName name="OSRRefD20_1x" localSheetId="86">'450'!$D$31</definedName>
    <definedName name="OSRRefD20_1x" localSheetId="71">'491'!$D$35</definedName>
    <definedName name="OSRRefD20_1x" localSheetId="82">'492'!$D$36</definedName>
    <definedName name="OSRRefD20_1x" localSheetId="88">'501'!$D$29</definedName>
    <definedName name="OSRRefD20_1x" localSheetId="39">'Div 2'!$D$30</definedName>
    <definedName name="OSRRefD20_1x" localSheetId="41">'Div 3'!$D$56</definedName>
    <definedName name="OSRRefD20_1x" localSheetId="69">'Div 4'!$D$38</definedName>
    <definedName name="OSRRefD20_1x" localSheetId="87">'Div 5'!$D$29</definedName>
    <definedName name="OSRRefD20_1x" localSheetId="61">'Div 6'!$D$43</definedName>
    <definedName name="OSRRefD20_1x" localSheetId="2">Summary!$D$67</definedName>
    <definedName name="OSRRefD20_20x" localSheetId="48">'300'!$D$115</definedName>
    <definedName name="OSRRefD20_20x" localSheetId="49">'300 &amp; 317'!$D$121</definedName>
    <definedName name="OSRRefD20_20x" localSheetId="50">'301'!$D$85</definedName>
    <definedName name="OSRRefD20_20x" localSheetId="70">'310 &amp; 491'!$D$101</definedName>
    <definedName name="OSRRefD20_20x" localSheetId="41">'Div 3'!$D$116</definedName>
    <definedName name="OSRRefD20_20x" localSheetId="69">'Div 4'!$D$105</definedName>
    <definedName name="OSRRefD20_20x" localSheetId="2">Summary!$D$125</definedName>
    <definedName name="OSRRefD20_21x" localSheetId="48">'300'!$D$123</definedName>
    <definedName name="OSRRefD20_21x" localSheetId="49">'300 &amp; 317'!$D$129</definedName>
    <definedName name="OSRRefD20_21x" localSheetId="41">'Div 3'!$D$119</definedName>
    <definedName name="OSRRefD20_21x" localSheetId="69">'Div 4'!$D$107</definedName>
    <definedName name="OSRRefD20_21x" localSheetId="2">Summary!$D$131</definedName>
    <definedName name="OSRRefD20_22x" localSheetId="48">'300'!$D$126</definedName>
    <definedName name="OSRRefD20_22x" localSheetId="49">'300 &amp; 317'!$D$132</definedName>
    <definedName name="OSRRefD20_22x" localSheetId="41">'Div 3'!$D$127</definedName>
    <definedName name="OSRRefD20_22x" localSheetId="2">Summary!$D$134</definedName>
    <definedName name="OSRRefD20_23x" localSheetId="48">'300'!$D$128</definedName>
    <definedName name="OSRRefD20_23x" localSheetId="49">'300 &amp; 317'!$D$134</definedName>
    <definedName name="OSRRefD20_23x" localSheetId="41">'Div 3'!$D$130</definedName>
    <definedName name="OSRRefD20_23x" localSheetId="2">Summary!$D$145</definedName>
    <definedName name="OSRRefD20_24x" localSheetId="48">'300'!$D$132</definedName>
    <definedName name="OSRRefD20_24x" localSheetId="49">'300 &amp; 317'!$D$138</definedName>
    <definedName name="OSRRefD20_24x" localSheetId="41">'Div 3'!$D$132</definedName>
    <definedName name="OSRRefD20_24x" localSheetId="2">Summary!$D$148</definedName>
    <definedName name="OSRRefD20_25x" localSheetId="41">'Div 3'!$D$136</definedName>
    <definedName name="OSRRefD20_25x" localSheetId="2">Summary!$D$150</definedName>
    <definedName name="OSRRefD20_26x" localSheetId="2">Summary!$D$154</definedName>
    <definedName name="OSRRefD20_2x" localSheetId="40">'200'!$D$22</definedName>
    <definedName name="OSRRefD20_2x" localSheetId="42">'201'!$D$39</definedName>
    <definedName name="OSRRefD20_2x" localSheetId="43">'202'!$D$39</definedName>
    <definedName name="OSRRefD20_2x" localSheetId="44">'203'!$D$40</definedName>
    <definedName name="OSRRefD20_2x" localSheetId="45">'204'!$D$39</definedName>
    <definedName name="OSRRefD20_2x" localSheetId="46">'205'!$D$39</definedName>
    <definedName name="OSRRefD20_2x" localSheetId="47">'206'!$D$39</definedName>
    <definedName name="OSRRefD20_2x" localSheetId="48">'300'!$D$66</definedName>
    <definedName name="OSRRefD20_2x" localSheetId="49">'300 &amp; 317'!$D$72</definedName>
    <definedName name="OSRRefD20_2x" localSheetId="50">'301'!$D$40</definedName>
    <definedName name="OSRRefD20_2x" localSheetId="52">'307'!$D$41</definedName>
    <definedName name="OSRRefD20_2x" localSheetId="53">'308'!$D$54</definedName>
    <definedName name="OSRRefD20_2x" localSheetId="64">'309'!$D$22</definedName>
    <definedName name="OSRRefD20_2x" localSheetId="63">'310'!$D$42</definedName>
    <definedName name="OSRRefD20_2x" localSheetId="70">'310 &amp; 491'!$D$46</definedName>
    <definedName name="OSRRefD20_2x" localSheetId="54">'311'!$D$54</definedName>
    <definedName name="OSRRefD20_2x" localSheetId="57">'315'!$D$58</definedName>
    <definedName name="OSRRefD20_2x" localSheetId="60">'316'!$D$43</definedName>
    <definedName name="OSRRefD20_2x" localSheetId="62">'317'!$D$54</definedName>
    <definedName name="OSRRefD20_2x" localSheetId="66">'321'!$D$41</definedName>
    <definedName name="OSRRefD20_2x" localSheetId="67">'325'!$D$42</definedName>
    <definedName name="OSRRefD20_2x" localSheetId="58">'326'!$D$44</definedName>
    <definedName name="OSRRefD20_2x" localSheetId="51">'330'!$D$41</definedName>
    <definedName name="OSRRefD20_2x" localSheetId="56">'331'!$D$58</definedName>
    <definedName name="OSRRefD20_2x" localSheetId="59">'332'!$D$43</definedName>
    <definedName name="OSRRefD20_2x" localSheetId="72">'405'!$D$42</definedName>
    <definedName name="OSRRefD20_2x" localSheetId="73">'411'!$D$39</definedName>
    <definedName name="OSRRefD20_2x" localSheetId="76">'415'!$D$46</definedName>
    <definedName name="OSRRefD20_2x" localSheetId="77">'418'!$D$42</definedName>
    <definedName name="OSRRefD20_2x" localSheetId="78">'423'!$D$38</definedName>
    <definedName name="OSRRefD20_2x" localSheetId="83">'430'!$D$39</definedName>
    <definedName name="OSRRefD20_2x" localSheetId="84">'433'!$D$42</definedName>
    <definedName name="OSRRefD20_2x" localSheetId="85">'444'!$D$47</definedName>
    <definedName name="OSRRefD20_2x" localSheetId="86">'450'!$D$42</definedName>
    <definedName name="OSRRefD20_2x" localSheetId="71">'491'!$D$46</definedName>
    <definedName name="OSRRefD20_2x" localSheetId="82">'492'!$D$47</definedName>
    <definedName name="OSRRefD20_2x" localSheetId="88">'501'!$D$40</definedName>
    <definedName name="OSRRefD20_2x" localSheetId="39">'Div 2'!$D$41</definedName>
    <definedName name="OSRRefD20_2x" localSheetId="41">'Div 3'!$D$67</definedName>
    <definedName name="OSRRefD20_2x" localSheetId="69">'Div 4'!$D$49</definedName>
    <definedName name="OSRRefD20_2x" localSheetId="87">'Div 5'!$D$40</definedName>
    <definedName name="OSRRefD20_2x" localSheetId="61">'Div 6'!$D$54</definedName>
    <definedName name="OSRRefD20_2x" localSheetId="2">Summary!$D$78</definedName>
    <definedName name="OSRRefD20_3x" localSheetId="40">'200'!$D$24</definedName>
    <definedName name="OSRRefD20_3x" localSheetId="42">'201'!$D$41</definedName>
    <definedName name="OSRRefD20_3x" localSheetId="43">'202'!$D$41</definedName>
    <definedName name="OSRRefD20_3x" localSheetId="44">'203'!$D$42</definedName>
    <definedName name="OSRRefD20_3x" localSheetId="45">'204'!$D$42</definedName>
    <definedName name="OSRRefD20_3x" localSheetId="46">'205'!$D$41</definedName>
    <definedName name="OSRRefD20_3x" localSheetId="47">'206'!$D$41</definedName>
    <definedName name="OSRRefD20_3x" localSheetId="48">'300'!$D$68</definedName>
    <definedName name="OSRRefD20_3x" localSheetId="49">'300 &amp; 317'!$D$74</definedName>
    <definedName name="OSRRefD20_3x" localSheetId="50">'301'!$D$42</definedName>
    <definedName name="OSRRefD20_3x" localSheetId="52">'307'!$D$43</definedName>
    <definedName name="OSRRefD20_3x" localSheetId="53">'308'!$D$56</definedName>
    <definedName name="OSRRefD20_3x" localSheetId="63">'310'!$D$44</definedName>
    <definedName name="OSRRefD20_3x" localSheetId="70">'310 &amp; 491'!$D$48</definedName>
    <definedName name="OSRRefD20_3x" localSheetId="54">'311'!$D$56</definedName>
    <definedName name="OSRRefD20_3x" localSheetId="57">'315'!$D$60</definedName>
    <definedName name="OSRRefD20_3x" localSheetId="60">'316'!$D$45</definedName>
    <definedName name="OSRRefD20_3x" localSheetId="62">'317'!$D$56</definedName>
    <definedName name="OSRRefD20_3x" localSheetId="66">'321'!$D$43</definedName>
    <definedName name="OSRRefD20_3x" localSheetId="67">'325'!$D$44</definedName>
    <definedName name="OSRRefD20_3x" localSheetId="58">'326'!$D$46</definedName>
    <definedName name="OSRRefD20_3x" localSheetId="51">'330'!$D$43</definedName>
    <definedName name="OSRRefD20_3x" localSheetId="56">'331'!$D$60</definedName>
    <definedName name="OSRRefD20_3x" localSheetId="59">'332'!$D$45</definedName>
    <definedName name="OSRRefD20_3x" localSheetId="72">'405'!$D$44</definedName>
    <definedName name="OSRRefD20_3x" localSheetId="73">'411'!$D$41</definedName>
    <definedName name="OSRRefD20_3x" localSheetId="76">'415'!$D$48</definedName>
    <definedName name="OSRRefD20_3x" localSheetId="77">'418'!$D$44</definedName>
    <definedName name="OSRRefD20_3x" localSheetId="78">'423'!$D$40</definedName>
    <definedName name="OSRRefD20_3x" localSheetId="83">'430'!$D$41</definedName>
    <definedName name="OSRRefD20_3x" localSheetId="84">'433'!$D$44</definedName>
    <definedName name="OSRRefD20_3x" localSheetId="85">'444'!$D$49</definedName>
    <definedName name="OSRRefD20_3x" localSheetId="86">'450'!$D$44</definedName>
    <definedName name="OSRRefD20_3x" localSheetId="71">'491'!$D$48</definedName>
    <definedName name="OSRRefD20_3x" localSheetId="82">'492'!$D$49</definedName>
    <definedName name="OSRRefD20_3x" localSheetId="88">'501'!$D$42</definedName>
    <definedName name="OSRRefD20_3x" localSheetId="39">'Div 2'!$D$43</definedName>
    <definedName name="OSRRefD20_3x" localSheetId="41">'Div 3'!$D$69</definedName>
    <definedName name="OSRRefD20_3x" localSheetId="69">'Div 4'!$D$51</definedName>
    <definedName name="OSRRefD20_3x" localSheetId="87">'Div 5'!$D$42</definedName>
    <definedName name="OSRRefD20_3x" localSheetId="61">'Div 6'!$D$56</definedName>
    <definedName name="OSRRefD20_3x" localSheetId="2">Summary!$D$80</definedName>
    <definedName name="OSRRefD20_4x" localSheetId="42">'201'!$D$43</definedName>
    <definedName name="OSRRefD20_4x" localSheetId="43">'202'!$D$43</definedName>
    <definedName name="OSRRefD20_4x" localSheetId="44">'203'!$D$44</definedName>
    <definedName name="OSRRefD20_4x" localSheetId="45">'204'!$D$44</definedName>
    <definedName name="OSRRefD20_4x" localSheetId="46">'205'!$D$43</definedName>
    <definedName name="OSRRefD20_4x" localSheetId="47">'206'!$D$43</definedName>
    <definedName name="OSRRefD20_4x" localSheetId="48">'300'!$D$70</definedName>
    <definedName name="OSRRefD20_4x" localSheetId="49">'300 &amp; 317'!$D$76</definedName>
    <definedName name="OSRRefD20_4x" localSheetId="50">'301'!$D$44</definedName>
    <definedName name="OSRRefD20_4x" localSheetId="52">'307'!$D$45</definedName>
    <definedName name="OSRRefD20_4x" localSheetId="53">'308'!$D$58</definedName>
    <definedName name="OSRRefD20_4x" localSheetId="63">'310'!$D$46</definedName>
    <definedName name="OSRRefD20_4x" localSheetId="70">'310 &amp; 491'!$D$50</definedName>
    <definedName name="OSRRefD20_4x" localSheetId="54">'311'!$D$58</definedName>
    <definedName name="OSRRefD20_4x" localSheetId="57">'315'!$D$62</definedName>
    <definedName name="OSRRefD20_4x" localSheetId="60">'316'!$D$47</definedName>
    <definedName name="OSRRefD20_4x" localSheetId="62">'317'!$D$58</definedName>
    <definedName name="OSRRefD20_4x" localSheetId="66">'321'!$D$45</definedName>
    <definedName name="OSRRefD20_4x" localSheetId="67">'325'!$D$46</definedName>
    <definedName name="OSRRefD20_4x" localSheetId="58">'326'!$D$48</definedName>
    <definedName name="OSRRefD20_4x" localSheetId="51">'330'!$D$45</definedName>
    <definedName name="OSRRefD20_4x" localSheetId="56">'331'!$D$62</definedName>
    <definedName name="OSRRefD20_4x" localSheetId="59">'332'!$D$47</definedName>
    <definedName name="OSRRefD20_4x" localSheetId="72">'405'!$D$46</definedName>
    <definedName name="OSRRefD20_4x" localSheetId="73">'411'!$D$44</definedName>
    <definedName name="OSRRefD20_4x" localSheetId="76">'415'!$D$50</definedName>
    <definedName name="OSRRefD20_4x" localSheetId="77">'418'!$D$46</definedName>
    <definedName name="OSRRefD20_4x" localSheetId="83">'430'!$D$43</definedName>
    <definedName name="OSRRefD20_4x" localSheetId="84">'433'!$D$46</definedName>
    <definedName name="OSRRefD20_4x" localSheetId="85">'444'!$D$51</definedName>
    <definedName name="OSRRefD20_4x" localSheetId="86">'450'!$D$46</definedName>
    <definedName name="OSRRefD20_4x" localSheetId="71">'491'!$D$50</definedName>
    <definedName name="OSRRefD20_4x" localSheetId="82">'492'!$D$51</definedName>
    <definedName name="OSRRefD20_4x" localSheetId="88">'501'!$D$44</definedName>
    <definedName name="OSRRefD20_4x" localSheetId="39">'Div 2'!$D$45</definedName>
    <definedName name="OSRRefD20_4x" localSheetId="41">'Div 3'!$D$71</definedName>
    <definedName name="OSRRefD20_4x" localSheetId="69">'Div 4'!$D$53</definedName>
    <definedName name="OSRRefD20_4x" localSheetId="87">'Div 5'!$D$44</definedName>
    <definedName name="OSRRefD20_4x" localSheetId="61">'Div 6'!$D$58</definedName>
    <definedName name="OSRRefD20_4x" localSheetId="2">Summary!$D$82</definedName>
    <definedName name="OSRRefD20_5x" localSheetId="42">'201'!$D$45</definedName>
    <definedName name="OSRRefD20_5x" localSheetId="43">'202'!$D$45</definedName>
    <definedName name="OSRRefD20_5x" localSheetId="44">'203'!$D$46</definedName>
    <definedName name="OSRRefD20_5x" localSheetId="45">'204'!$D$48</definedName>
    <definedName name="OSRRefD20_5x" localSheetId="46">'205'!$D$47</definedName>
    <definedName name="OSRRefD20_5x" localSheetId="47">'206'!$D$45</definedName>
    <definedName name="OSRRefD20_5x" localSheetId="48">'300'!$D$72</definedName>
    <definedName name="OSRRefD20_5x" localSheetId="49">'300 &amp; 317'!$D$78</definedName>
    <definedName name="OSRRefD20_5x" localSheetId="50">'301'!$D$47</definedName>
    <definedName name="OSRRefD20_5x" localSheetId="52">'307'!$D$47</definedName>
    <definedName name="OSRRefD20_5x" localSheetId="53">'308'!$D$60</definedName>
    <definedName name="OSRRefD20_5x" localSheetId="63">'310'!$D$48</definedName>
    <definedName name="OSRRefD20_5x" localSheetId="70">'310 &amp; 491'!$D$52</definedName>
    <definedName name="OSRRefD20_5x" localSheetId="54">'311'!$D$60</definedName>
    <definedName name="OSRRefD20_5x" localSheetId="57">'315'!$D$64</definedName>
    <definedName name="OSRRefD20_5x" localSheetId="60">'316'!$D$49</definedName>
    <definedName name="OSRRefD20_5x" localSheetId="62">'317'!$D$60</definedName>
    <definedName name="OSRRefD20_5x" localSheetId="66">'321'!$D$47</definedName>
    <definedName name="OSRRefD20_5x" localSheetId="67">'325'!$D$49</definedName>
    <definedName name="OSRRefD20_5x" localSheetId="58">'326'!$D$50</definedName>
    <definedName name="OSRRefD20_5x" localSheetId="51">'330'!$D$47</definedName>
    <definedName name="OSRRefD20_5x" localSheetId="56">'331'!$D$64</definedName>
    <definedName name="OSRRefD20_5x" localSheetId="59">'332'!$D$49</definedName>
    <definedName name="OSRRefD20_5x" localSheetId="72">'405'!$D$49</definedName>
    <definedName name="OSRRefD20_5x" localSheetId="73">'411'!$D$46</definedName>
    <definedName name="OSRRefD20_5x" localSheetId="76">'415'!$D$52</definedName>
    <definedName name="OSRRefD20_5x" localSheetId="77">'418'!$D$49</definedName>
    <definedName name="OSRRefD20_5x" localSheetId="83">'430'!$D$45</definedName>
    <definedName name="OSRRefD20_5x" localSheetId="84">'433'!$D$48</definedName>
    <definedName name="OSRRefD20_5x" localSheetId="85">'444'!$D$53</definedName>
    <definedName name="OSRRefD20_5x" localSheetId="86">'450'!$D$48</definedName>
    <definedName name="OSRRefD20_5x" localSheetId="71">'491'!$D$52</definedName>
    <definedName name="OSRRefD20_5x" localSheetId="82">'492'!$D$53</definedName>
    <definedName name="OSRRefD20_5x" localSheetId="88">'501'!$D$46</definedName>
    <definedName name="OSRRefD20_5x" localSheetId="39">'Div 2'!$D$47</definedName>
    <definedName name="OSRRefD20_5x" localSheetId="41">'Div 3'!$D$73</definedName>
    <definedName name="OSRRefD20_5x" localSheetId="69">'Div 4'!$D$55</definedName>
    <definedName name="OSRRefD20_5x" localSheetId="87">'Div 5'!$D$46</definedName>
    <definedName name="OSRRefD20_5x" localSheetId="61">'Div 6'!$D$60</definedName>
    <definedName name="OSRRefD20_5x" localSheetId="2">Summary!$D$84</definedName>
    <definedName name="OSRRefD20_6x" localSheetId="42">'201'!$D$47</definedName>
    <definedName name="OSRRefD20_6x" localSheetId="43">'202'!$D$47</definedName>
    <definedName name="OSRRefD20_6x" localSheetId="44">'203'!$D$48</definedName>
    <definedName name="OSRRefD20_6x" localSheetId="45">'204'!$D$51</definedName>
    <definedName name="OSRRefD20_6x" localSheetId="46">'205'!$D$49</definedName>
    <definedName name="OSRRefD20_6x" localSheetId="48">'300'!$D$75</definedName>
    <definedName name="OSRRefD20_6x" localSheetId="49">'300 &amp; 317'!$D$81</definedName>
    <definedName name="OSRRefD20_6x" localSheetId="50">'301'!$D$49</definedName>
    <definedName name="OSRRefD20_6x" localSheetId="52">'307'!$D$49</definedName>
    <definedName name="OSRRefD20_6x" localSheetId="53">'308'!$D$62</definedName>
    <definedName name="OSRRefD20_6x" localSheetId="63">'310'!$D$51</definedName>
    <definedName name="OSRRefD20_6x" localSheetId="70">'310 &amp; 491'!$D$55</definedName>
    <definedName name="OSRRefD20_6x" localSheetId="54">'311'!$D$62</definedName>
    <definedName name="OSRRefD20_6x" localSheetId="57">'315'!$D$66</definedName>
    <definedName name="OSRRefD20_6x" localSheetId="60">'316'!$D$52</definedName>
    <definedName name="OSRRefD20_6x" localSheetId="62">'317'!$D$62</definedName>
    <definedName name="OSRRefD20_6x" localSheetId="66">'321'!$D$49</definedName>
    <definedName name="OSRRefD20_6x" localSheetId="67">'325'!$D$51</definedName>
    <definedName name="OSRRefD20_6x" localSheetId="58">'326'!$D$52</definedName>
    <definedName name="OSRRefD20_6x" localSheetId="51">'330'!$D$49</definedName>
    <definedName name="OSRRefD20_6x" localSheetId="56">'331'!$D$66</definedName>
    <definedName name="OSRRefD20_6x" localSheetId="59">'332'!$D$52</definedName>
    <definedName name="OSRRefD20_6x" localSheetId="72">'405'!$D$51</definedName>
    <definedName name="OSRRefD20_6x" localSheetId="73">'411'!$D$48</definedName>
    <definedName name="OSRRefD20_6x" localSheetId="76">'415'!$D$55</definedName>
    <definedName name="OSRRefD20_6x" localSheetId="77">'418'!$D$51</definedName>
    <definedName name="OSRRefD20_6x" localSheetId="83">'430'!$D$48</definedName>
    <definedName name="OSRRefD20_6x" localSheetId="84">'433'!$D$50</definedName>
    <definedName name="OSRRefD20_6x" localSheetId="85">'444'!$D$55</definedName>
    <definedName name="OSRRefD20_6x" localSheetId="86">'450'!$D$50</definedName>
    <definedName name="OSRRefD20_6x" localSheetId="71">'491'!$D$55</definedName>
    <definedName name="OSRRefD20_6x" localSheetId="82">'492'!$D$55</definedName>
    <definedName name="OSRRefD20_6x" localSheetId="88">'501'!$D$48</definedName>
    <definedName name="OSRRefD20_6x" localSheetId="39">'Div 2'!$D$50</definedName>
    <definedName name="OSRRefD20_6x" localSheetId="41">'Div 3'!$D$76</definedName>
    <definedName name="OSRRefD20_6x" localSheetId="69">'Div 4'!$D$58</definedName>
    <definedName name="OSRRefD20_6x" localSheetId="87">'Div 5'!$D$48</definedName>
    <definedName name="OSRRefD20_6x" localSheetId="61">'Div 6'!$D$62</definedName>
    <definedName name="OSRRefD20_6x" localSheetId="2">Summary!$D$87</definedName>
    <definedName name="OSRRefD20_7x" localSheetId="42">'201'!$D$49</definedName>
    <definedName name="OSRRefD20_7x" localSheetId="43">'202'!$D$51</definedName>
    <definedName name="OSRRefD20_7x" localSheetId="44">'203'!$D$50</definedName>
    <definedName name="OSRRefD20_7x" localSheetId="45">'204'!$D$53</definedName>
    <definedName name="OSRRefD20_7x" localSheetId="46">'205'!$D$51</definedName>
    <definedName name="OSRRefD20_7x" localSheetId="48">'300'!$D$78</definedName>
    <definedName name="OSRRefD20_7x" localSheetId="49">'300 &amp; 317'!$D$84</definedName>
    <definedName name="OSRRefD20_7x" localSheetId="50">'301'!$D$51</definedName>
    <definedName name="OSRRefD20_7x" localSheetId="52">'307'!$D$51</definedName>
    <definedName name="OSRRefD20_7x" localSheetId="53">'308'!$D$64</definedName>
    <definedName name="OSRRefD20_7x" localSheetId="63">'310'!$D$53</definedName>
    <definedName name="OSRRefD20_7x" localSheetId="70">'310 &amp; 491'!$D$57</definedName>
    <definedName name="OSRRefD20_7x" localSheetId="54">'311'!$D$64</definedName>
    <definedName name="OSRRefD20_7x" localSheetId="57">'315'!$D$69</definedName>
    <definedName name="OSRRefD20_7x" localSheetId="60">'316'!$D$56</definedName>
    <definedName name="OSRRefD20_7x" localSheetId="62">'317'!$D$64</definedName>
    <definedName name="OSRRefD20_7x" localSheetId="66">'321'!$D$52</definedName>
    <definedName name="OSRRefD20_7x" localSheetId="67">'325'!$D$53</definedName>
    <definedName name="OSRRefD20_7x" localSheetId="58">'326'!$D$54</definedName>
    <definedName name="OSRRefD20_7x" localSheetId="51">'330'!$D$51</definedName>
    <definedName name="OSRRefD20_7x" localSheetId="56">'331'!$D$69</definedName>
    <definedName name="OSRRefD20_7x" localSheetId="59">'332'!$D$56</definedName>
    <definedName name="OSRRefD20_7x" localSheetId="72">'405'!$D$53</definedName>
    <definedName name="OSRRefD20_7x" localSheetId="73">'411'!$D$50</definedName>
    <definedName name="OSRRefD20_7x" localSheetId="76">'415'!$D$57</definedName>
    <definedName name="OSRRefD20_7x" localSheetId="77">'418'!$D$53</definedName>
    <definedName name="OSRRefD20_7x" localSheetId="84">'433'!$D$52</definedName>
    <definedName name="OSRRefD20_7x" localSheetId="85">'444'!$D$57</definedName>
    <definedName name="OSRRefD20_7x" localSheetId="86">'450'!$D$52</definedName>
    <definedName name="OSRRefD20_7x" localSheetId="71">'491'!$D$57</definedName>
    <definedName name="OSRRefD20_7x" localSheetId="82">'492'!$D$57</definedName>
    <definedName name="OSRRefD20_7x" localSheetId="88">'501'!$D$50</definedName>
    <definedName name="OSRRefD20_7x" localSheetId="39">'Div 2'!$D$52</definedName>
    <definedName name="OSRRefD20_7x" localSheetId="41">'Div 3'!$D$79</definedName>
    <definedName name="OSRRefD20_7x" localSheetId="69">'Div 4'!$D$60</definedName>
    <definedName name="OSRRefD20_7x" localSheetId="87">'Div 5'!$D$50</definedName>
    <definedName name="OSRRefD20_7x" localSheetId="61">'Div 6'!$D$64</definedName>
    <definedName name="OSRRefD20_7x" localSheetId="2">Summary!$D$90</definedName>
    <definedName name="OSRRefD20_8x" localSheetId="42">'201'!$D$51</definedName>
    <definedName name="OSRRefD20_8x" localSheetId="43">'202'!$D$53</definedName>
    <definedName name="OSRRefD20_8x" localSheetId="44">'203'!$D$52</definedName>
    <definedName name="OSRRefD20_8x" localSheetId="45">'204'!$D$56</definedName>
    <definedName name="OSRRefD20_8x" localSheetId="48">'300'!$D$80</definedName>
    <definedName name="OSRRefD20_8x" localSheetId="49">'300 &amp; 317'!$D$86</definedName>
    <definedName name="OSRRefD20_8x" localSheetId="50">'301'!$D$53</definedName>
    <definedName name="OSRRefD20_8x" localSheetId="52">'307'!$D$53</definedName>
    <definedName name="OSRRefD20_8x" localSheetId="53">'308'!$D$66</definedName>
    <definedName name="OSRRefD20_8x" localSheetId="63">'310'!$D$55</definedName>
    <definedName name="OSRRefD20_8x" localSheetId="70">'310 &amp; 491'!$D$59</definedName>
    <definedName name="OSRRefD20_8x" localSheetId="54">'311'!$D$66</definedName>
    <definedName name="OSRRefD20_8x" localSheetId="57">'315'!$D$71</definedName>
    <definedName name="OSRRefD20_8x" localSheetId="60">'316'!$D$58</definedName>
    <definedName name="OSRRefD20_8x" localSheetId="62">'317'!$D$66</definedName>
    <definedName name="OSRRefD20_8x" localSheetId="66">'321'!$D$54</definedName>
    <definedName name="OSRRefD20_8x" localSheetId="67">'325'!$D$55</definedName>
    <definedName name="OSRRefD20_8x" localSheetId="58">'326'!$D$56</definedName>
    <definedName name="OSRRefD20_8x" localSheetId="51">'330'!$D$53</definedName>
    <definedName name="OSRRefD20_8x" localSheetId="56">'331'!$D$72</definedName>
    <definedName name="OSRRefD20_8x" localSheetId="59">'332'!$D$58</definedName>
    <definedName name="OSRRefD20_8x" localSheetId="72">'405'!$D$55</definedName>
    <definedName name="OSRRefD20_8x" localSheetId="73">'411'!$D$54</definedName>
    <definedName name="OSRRefD20_8x" localSheetId="76">'415'!$D$59</definedName>
    <definedName name="OSRRefD20_8x" localSheetId="77">'418'!$D$56</definedName>
    <definedName name="OSRRefD20_8x" localSheetId="84">'433'!$D$54</definedName>
    <definedName name="OSRRefD20_8x" localSheetId="85">'444'!$D$59</definedName>
    <definedName name="OSRRefD20_8x" localSheetId="86">'450'!$D$54</definedName>
    <definedName name="OSRRefD20_8x" localSheetId="71">'491'!$D$59</definedName>
    <definedName name="OSRRefD20_8x" localSheetId="82">'492'!$D$59</definedName>
    <definedName name="OSRRefD20_8x" localSheetId="88">'501'!$D$52</definedName>
    <definedName name="OSRRefD20_8x" localSheetId="39">'Div 2'!$D$54</definedName>
    <definedName name="OSRRefD20_8x" localSheetId="41">'Div 3'!$D$81</definedName>
    <definedName name="OSRRefD20_8x" localSheetId="69">'Div 4'!$D$62</definedName>
    <definedName name="OSRRefD20_8x" localSheetId="87">'Div 5'!$D$52</definedName>
    <definedName name="OSRRefD20_8x" localSheetId="61">'Div 6'!$D$66</definedName>
    <definedName name="OSRRefD20_8x" localSheetId="2">Summary!$D$92</definedName>
    <definedName name="OSRRefD20_9x" localSheetId="42">'201'!$D$53</definedName>
    <definedName name="OSRRefD20_9x" localSheetId="43">'202'!$D$55</definedName>
    <definedName name="OSRRefD20_9x" localSheetId="44">'203'!$D$56</definedName>
    <definedName name="OSRRefD20_9x" localSheetId="48">'300'!$D$82</definedName>
    <definedName name="OSRRefD20_9x" localSheetId="49">'300 &amp; 317'!$D$88</definedName>
    <definedName name="OSRRefD20_9x" localSheetId="50">'301'!$D$55</definedName>
    <definedName name="OSRRefD20_9x" localSheetId="52">'307'!$D$57</definedName>
    <definedName name="OSRRefD20_9x" localSheetId="53">'308'!$D$70</definedName>
    <definedName name="OSRRefD20_9x" localSheetId="63">'310'!$D$57</definedName>
    <definedName name="OSRRefD20_9x" localSheetId="70">'310 &amp; 491'!$D$62</definedName>
    <definedName name="OSRRefD20_9x" localSheetId="54">'311'!$D$70</definedName>
    <definedName name="OSRRefD20_9x" localSheetId="57">'315'!$D$73</definedName>
    <definedName name="OSRRefD20_9x" localSheetId="60">'316'!$D$63</definedName>
    <definedName name="OSRRefD20_9x" localSheetId="62">'317'!$D$69</definedName>
    <definedName name="OSRRefD20_9x" localSheetId="66">'321'!$D$56</definedName>
    <definedName name="OSRRefD20_9x" localSheetId="67">'325'!$D$57</definedName>
    <definedName name="OSRRefD20_9x" localSheetId="58">'326'!$D$58</definedName>
    <definedName name="OSRRefD20_9x" localSheetId="51">'330'!$D$57</definedName>
    <definedName name="OSRRefD20_9x" localSheetId="56">'331'!$D$74</definedName>
    <definedName name="OSRRefD20_9x" localSheetId="59">'332'!$D$63</definedName>
    <definedName name="OSRRefD20_9x" localSheetId="72">'405'!$D$58</definedName>
    <definedName name="OSRRefD20_9x" localSheetId="73">'411'!$D$57</definedName>
    <definedName name="OSRRefD20_9x" localSheetId="76">'415'!$D$61</definedName>
    <definedName name="OSRRefD20_9x" localSheetId="77">'418'!$D$59</definedName>
    <definedName name="OSRRefD20_9x" localSheetId="84">'433'!$D$56</definedName>
    <definedName name="OSRRefD20_9x" localSheetId="85">'444'!$D$61</definedName>
    <definedName name="OSRRefD20_9x" localSheetId="86">'450'!$D$56</definedName>
    <definedName name="OSRRefD20_9x" localSheetId="71">'491'!$D$62</definedName>
    <definedName name="OSRRefD20_9x" localSheetId="82">'492'!$D$61</definedName>
    <definedName name="OSRRefD20_9x" localSheetId="88">'501'!$D$54</definedName>
    <definedName name="OSRRefD20_9x" localSheetId="39">'Div 2'!$D$56</definedName>
    <definedName name="OSRRefD20_9x" localSheetId="41">'Div 3'!$D$83</definedName>
    <definedName name="OSRRefD20_9x" localSheetId="69">'Div 4'!$D$64</definedName>
    <definedName name="OSRRefD20_9x" localSheetId="87">'Div 5'!$D$54</definedName>
    <definedName name="OSRRefD20_9x" localSheetId="61">'Div 6'!$D$69</definedName>
    <definedName name="OSRRefD20_9x" localSheetId="2">Summary!$D$94</definedName>
    <definedName name="OSRRefD20x_0" localSheetId="40">'200'!$D$18,'200'!$D$20,'200'!$D$22,'200'!$D$24</definedName>
    <definedName name="OSRRefD20x_0" localSheetId="42">'201'!$D$18,'201'!$D$28,'201'!$D$39,'201'!$D$41,'201'!$D$43,'201'!$D$45,'201'!$D$47,'201'!$D$49,'201'!$D$51,'201'!$D$53,'201'!$D$57,'201'!$D$59,'201'!$D$61,'201'!$D$64,'201'!$D$66,'201'!$D$68</definedName>
    <definedName name="OSRRefD20x_0" localSheetId="43">'202'!$D$18,'202'!$D$28,'202'!$D$39,'202'!$D$41,'202'!$D$43,'202'!$D$45,'202'!$D$47,'202'!$D$51,'202'!$D$53,'202'!$D$55,'202'!$D$57,'202'!$D$59</definedName>
    <definedName name="OSRRefD20x_0" localSheetId="44">'203'!$D$18,'203'!$D$29,'203'!$D$40,'203'!$D$42,'203'!$D$44,'203'!$D$46,'203'!$D$48,'203'!$D$50,'203'!$D$52,'203'!$D$56,'203'!$D$58,'203'!$D$60,'203'!$D$65,'203'!$D$67,'203'!$D$69</definedName>
    <definedName name="OSRRefD20x_0" localSheetId="45">'204'!$D$18,'204'!$D$28,'204'!$D$39,'204'!$D$42,'204'!$D$44,'204'!$D$48,'204'!$D$51,'204'!$D$53,'204'!$D$56</definedName>
    <definedName name="OSRRefD20x_0" localSheetId="46">'205'!$D$18,'205'!$D$28,'205'!$D$39,'205'!$D$41,'205'!$D$43,'205'!$D$47,'205'!$D$49,'205'!$D$51</definedName>
    <definedName name="OSRRefD20x_0" localSheetId="47">'206'!$D$18,'206'!$D$28,'206'!$D$39,'206'!$D$41,'206'!$D$43,'206'!$D$45</definedName>
    <definedName name="OSRRefD20x_0" localSheetId="48">'300'!$D$44,'300'!$D$55,'300'!$D$66,'300'!$D$68,'300'!$D$70,'300'!$D$72,'300'!$D$75,'300'!$D$78,'300'!$D$80,'300'!$D$82,'300'!$D$84,'300'!$D$87,'300'!$D$90,'300'!$D$92,'300'!$D$94,'300'!$D$96,'300'!$D$98,'300'!$D$103,'300'!$D$108,'300'!$D$112,'300'!$D$115,'300'!$D$123,'300'!$D$126,'300'!$D$128,'300'!$D$132</definedName>
    <definedName name="OSRRefD20x_0" localSheetId="49">'300 &amp; 317'!$D$50,'300 &amp; 317'!$D$61,'300 &amp; 317'!$D$72,'300 &amp; 317'!$D$74,'300 &amp; 317'!$D$76,'300 &amp; 317'!$D$78,'300 &amp; 317'!$D$81,'300 &amp; 317'!$D$84,'300 &amp; 317'!$D$86,'300 &amp; 317'!$D$88,'300 &amp; 317'!$D$90,'300 &amp; 317'!$D$93,'300 &amp; 317'!$D$96,'300 &amp; 317'!$D$98,'300 &amp; 317'!$D$100,'300 &amp; 317'!$D$102,'300 &amp; 317'!$D$104,'300 &amp; 317'!$D$109,'300 &amp; 317'!$D$114,'300 &amp; 317'!$D$118,'300 &amp; 317'!$D$121,'300 &amp; 317'!$D$129,'300 &amp; 317'!$D$132,'300 &amp; 317'!$D$134,'300 &amp; 317'!$D$138</definedName>
    <definedName name="OSRRefD20x_0" localSheetId="50">'301'!$D$18,'301'!$D$29,'301'!$D$40,'301'!$D$42,'301'!$D$44,'301'!$D$47,'301'!$D$49,'301'!$D$51,'301'!$D$53,'301'!$D$55,'301'!$D$57,'301'!$D$59,'301'!$D$61,'301'!$D$63,'301'!$D$68,'301'!$D$71,'301'!$D$73,'301'!$D$79,'301'!$D$81,'301'!$D$83,'301'!$D$85</definedName>
    <definedName name="OSRRefD20x_0" localSheetId="52">'307'!$D$21,'307'!$D$30,'307'!$D$41,'307'!$D$43,'307'!$D$45,'307'!$D$47,'307'!$D$49,'307'!$D$51,'307'!$D$53,'307'!$D$57</definedName>
    <definedName name="OSRRefD20x_0" localSheetId="53">'308'!$D$32,'308'!$D$43,'308'!$D$54,'308'!$D$56,'308'!$D$58,'308'!$D$60,'308'!$D$62,'308'!$D$64,'308'!$D$66,'308'!$D$70,'308'!$D$73,'308'!$D$76,'308'!$D$79</definedName>
    <definedName name="OSRRefD20x_0" localSheetId="64">'309'!$D$18,'309'!$D$20,'309'!$D$22</definedName>
    <definedName name="OSRRefD20x_0" localSheetId="63">'310'!$D$22,'310'!$D$31,'310'!$D$42,'310'!$D$44,'310'!$D$46,'310'!$D$48,'310'!$D$51,'310'!$D$53,'310'!$D$55,'310'!$D$57,'310'!$D$59,'310'!$D$61,'310'!$D$65,'310'!$D$67,'310'!$D$70,'310'!$D$76,'310'!$D$79,'310'!$D$81</definedName>
    <definedName name="OSRRefD20x_0" localSheetId="70">'310 &amp; 491'!$D$25,'310 &amp; 491'!$D$35,'310 &amp; 491'!$D$46,'310 &amp; 491'!$D$48,'310 &amp; 491'!$D$50,'310 &amp; 491'!$D$52,'310 &amp; 491'!$D$55,'310 &amp; 491'!$D$57,'310 &amp; 491'!$D$59,'310 &amp; 491'!$D$62,'310 &amp; 491'!$D$64,'310 &amp; 491'!$D$66,'310 &amp; 491'!$D$68,'310 &amp; 491'!$D$73,'310 &amp; 491'!$D$75,'310 &amp; 491'!$D$81,'310 &amp; 491'!$D$83,'310 &amp; 491'!$D$94,'310 &amp; 491'!$D$97,'310 &amp; 491'!$D$99,'310 &amp; 491'!$D$101</definedName>
    <definedName name="OSRRefD20x_0" localSheetId="54">'311'!$D$32,'311'!$D$43,'311'!$D$54,'311'!$D$56,'311'!$D$58,'311'!$D$60,'311'!$D$62,'311'!$D$64,'311'!$D$66,'311'!$D$70,'311'!$D$73,'311'!$D$76,'311'!$D$79</definedName>
    <definedName name="OSRRefD20x_0" localSheetId="65">'313'!$D$18</definedName>
    <definedName name="OSRRefD20x_0" localSheetId="57">'315'!$D$37,'315'!$D$47,'315'!$D$58,'315'!$D$60,'315'!$D$62,'315'!$D$64,'315'!$D$66,'315'!$D$69,'315'!$D$71,'315'!$D$73,'315'!$D$75,'315'!$D$77,'315'!$D$81,'315'!$D$84,'315'!$D$88,'315'!$D$90</definedName>
    <definedName name="OSRRefD20x_0" localSheetId="60">'316'!$D$22,'316'!$D$32,'316'!$D$43,'316'!$D$45,'316'!$D$47,'316'!$D$49,'316'!$D$52,'316'!$D$56,'316'!$D$58,'316'!$D$63</definedName>
    <definedName name="OSRRefD20x_0" localSheetId="62">'317'!$D$32,'317'!$D$43,'317'!$D$54,'317'!$D$56,'317'!$D$58,'317'!$D$60,'317'!$D$62,'317'!$D$64,'317'!$D$66,'317'!$D$69</definedName>
    <definedName name="OSRRefD20x_0" localSheetId="66">'321'!$D$21,'321'!$D$30,'321'!$D$41,'321'!$D$43,'321'!$D$45,'321'!$D$47,'321'!$D$49,'321'!$D$52,'321'!$D$54,'321'!$D$56,'321'!$D$59,'321'!$D$61</definedName>
    <definedName name="OSRRefD20x_0" localSheetId="67">'325'!$D$22,'325'!$D$31,'325'!$D$42,'325'!$D$44,'325'!$D$46,'325'!$D$49,'325'!$D$51,'325'!$D$53,'325'!$D$55,'325'!$D$57,'325'!$D$59,'325'!$D$62,'325'!$D$65,'325'!$D$71,'325'!$D$74</definedName>
    <definedName name="OSRRefD20x_0" localSheetId="58">'326'!$D$23,'326'!$D$33,'326'!$D$44,'326'!$D$46,'326'!$D$48,'326'!$D$50,'326'!$D$52,'326'!$D$54,'326'!$D$56,'326'!$D$58,'326'!$D$60,'326'!$D$63,'326'!$D$66,'326'!$D$69,'326'!$D$73,'326'!$D$75,'326'!$D$78</definedName>
    <definedName name="OSRRefD20x_0" localSheetId="68">'327'!$D$20</definedName>
    <definedName name="OSRRefD20x_0" localSheetId="51">'330'!$D$21,'330'!$D$30,'330'!$D$41,'330'!$D$43,'330'!$D$45,'330'!$D$47,'330'!$D$49,'330'!$D$51,'330'!$D$53,'330'!$D$57</definedName>
    <definedName name="OSRRefD20x_0" localSheetId="56">'331'!$D$37,'331'!$D$47,'331'!$D$58,'331'!$D$60,'331'!$D$62,'331'!$D$64,'331'!$D$66,'331'!$D$69,'331'!$D$72,'331'!$D$74,'331'!$D$76,'331'!$D$78,'331'!$D$80,'331'!$D$83,'331'!$D$87,'331'!$D$90,'331'!$D$93,'331'!$D$98,'331'!$D$100,'331'!$D$103</definedName>
    <definedName name="OSRRefD20x_0" localSheetId="59">'332'!$D$22,'332'!$D$32,'332'!$D$43,'332'!$D$45,'332'!$D$47,'332'!$D$49,'332'!$D$52,'332'!$D$56,'332'!$D$58,'332'!$D$63</definedName>
    <definedName name="OSRRefD20x_0" localSheetId="72">'405'!$D$21,'405'!$D$31,'405'!$D$42,'405'!$D$44,'405'!$D$46,'405'!$D$49,'405'!$D$51,'405'!$D$53,'405'!$D$55,'405'!$D$58,'405'!$D$62,'405'!$D$64,'405'!$D$72,'405'!$D$74,'405'!$D$76,'405'!$D$78</definedName>
    <definedName name="OSRRefD20x_0" localSheetId="73">'411'!$D$18,'411'!$D$28,'411'!$D$39,'411'!$D$41,'411'!$D$44,'411'!$D$46,'411'!$D$48,'411'!$D$50,'411'!$D$54,'411'!$D$57,'411'!$D$59,'411'!$D$61,'411'!$D$63</definedName>
    <definedName name="OSRRefD20x_0" localSheetId="74">'412'!$D$18,'412'!$D$20</definedName>
    <definedName name="OSRRefD20x_0" localSheetId="75">'413'!$D$18</definedName>
    <definedName name="OSRRefD20x_0" localSheetId="76">'415'!$D$25,'415'!$D$35,'415'!$D$46,'415'!$D$48,'415'!$D$50,'415'!$D$52,'415'!$D$55,'415'!$D$57,'415'!$D$59,'415'!$D$61,'415'!$D$63,'415'!$D$65,'415'!$D$68,'415'!$D$73,'415'!$D$75,'415'!$D$82,'415'!$D$85,'415'!$D$87</definedName>
    <definedName name="OSRRefD20x_0" localSheetId="77">'418'!$D$21,'418'!$D$31,'418'!$D$42,'418'!$D$44,'418'!$D$46,'418'!$D$49,'418'!$D$51,'418'!$D$53,'418'!$D$56,'418'!$D$59,'418'!$D$63,'418'!$D$65,'418'!$D$73,'418'!$D$76,'418'!$D$78,'418'!$D$80</definedName>
    <definedName name="OSRRefD20x_0" localSheetId="78">'423'!$D$18,'423'!$D$27,'423'!$D$38,'423'!$D$40</definedName>
    <definedName name="OSRRefD20x_0" localSheetId="79">'424'!$D$18</definedName>
    <definedName name="OSRRefD20x_0" localSheetId="80">'425'!$D$19</definedName>
    <definedName name="OSRRefD20x_0" localSheetId="83">'430'!$D$18,'430'!$D$28,'430'!$D$39,'430'!$D$41,'430'!$D$43,'430'!$D$45,'430'!$D$48</definedName>
    <definedName name="OSRRefD20x_0" localSheetId="84">'433'!$D$20,'433'!$D$31,'433'!$D$42,'433'!$D$44,'433'!$D$46,'433'!$D$48,'433'!$D$50,'433'!$D$52,'433'!$D$54,'433'!$D$56,'433'!$D$58,'433'!$D$60,'433'!$D$64,'433'!$D$69,'433'!$D$76,'433'!$D$78</definedName>
    <definedName name="OSRRefD20x_0" localSheetId="85">'444'!$D$25,'444'!$D$36,'444'!$D$47,'444'!$D$49,'444'!$D$51,'444'!$D$53,'444'!$D$55,'444'!$D$57,'444'!$D$59,'444'!$D$61,'444'!$D$63,'444'!$D$65,'444'!$D$68,'444'!$D$73,'444'!$D$75,'444'!$D$82,'444'!$D$84</definedName>
    <definedName name="OSRRefD20x_0" localSheetId="86">'450'!$D$20,'450'!$D$31,'450'!$D$42,'450'!$D$44,'450'!$D$46,'450'!$D$48,'450'!$D$50,'450'!$D$52,'450'!$D$54,'450'!$D$56,'450'!$D$58,'450'!$D$60,'450'!$D$63,'450'!$D$68,'450'!$D$75,'450'!$D$77</definedName>
    <definedName name="OSRRefD20x_0" localSheetId="71">'491'!$D$25,'491'!$D$35,'491'!$D$46,'491'!$D$48,'491'!$D$50,'491'!$D$52,'491'!$D$55,'491'!$D$57,'491'!$D$59,'491'!$D$62,'491'!$D$64,'491'!$D$66,'491'!$D$68,'491'!$D$72,'491'!$D$78,'491'!$D$80,'491'!$D$90,'491'!$D$93,'491'!$D$95,'491'!$D$97</definedName>
    <definedName name="OSRRefD20x_0" localSheetId="82">'492'!$D$25,'492'!$D$36,'492'!$D$47,'492'!$D$49,'492'!$D$51,'492'!$D$53,'492'!$D$55,'492'!$D$57,'492'!$D$59,'492'!$D$61,'492'!$D$63,'492'!$D$65,'492'!$D$67,'492'!$D$71,'492'!$D$76,'492'!$D$78,'492'!$D$86,'492'!$D$89</definedName>
    <definedName name="OSRRefD20x_0" localSheetId="88">'501'!$D$19,'501'!$D$29,'501'!$D$40,'501'!$D$42,'501'!$D$44,'501'!$D$46,'501'!$D$48,'501'!$D$50,'501'!$D$52,'501'!$D$54,'501'!$D$58,'501'!$D$60,'501'!$D$63,'501'!$D$65</definedName>
    <definedName name="OSRRefD20x_0" localSheetId="39">'Div 2'!$D$18,'Div 2'!$D$30,'Div 2'!$D$41,'Div 2'!$D$43,'Div 2'!$D$45,'Div 2'!$D$47,'Div 2'!$D$50,'Div 2'!$D$52,'Div 2'!$D$54,'Div 2'!$D$56,'Div 2'!$D$58,'Div 2'!$D$60,'Div 2'!$D$62,'Div 2'!$D$67,'Div 2'!$D$72,'Div 2'!$D$75,'Div 2'!$D$78,'Div 2'!$D$84,'Div 2'!$D$87,'Div 2'!$D$89</definedName>
    <definedName name="OSRRefD20x_0" localSheetId="41">'Div 3'!$D$45,'Div 3'!$D$56,'Div 3'!$D$67,'Div 3'!$D$69,'Div 3'!$D$71,'Div 3'!$D$73,'Div 3'!$D$76,'Div 3'!$D$79,'Div 3'!$D$81,'Div 3'!$D$83,'Div 3'!$D$85,'Div 3'!$D$88,'Div 3'!$D$91,'Div 3'!$D$93,'Div 3'!$D$95,'Div 3'!$D$97,'Div 3'!$D$99,'Div 3'!$D$101,'Div 3'!$D$106,'Div 3'!$D$111,'Div 3'!$D$116,'Div 3'!$D$119,'Div 3'!$D$127,'Div 3'!$D$130,'Div 3'!$D$132,'Div 3'!$D$136</definedName>
    <definedName name="OSRRefD20x_0" localSheetId="69">'Div 4'!$D$27,'Div 4'!$D$38,'Div 4'!$D$49,'Div 4'!$D$51,'Div 4'!$D$53,'Div 4'!$D$55,'Div 4'!$D$58,'Div 4'!$D$60,'Div 4'!$D$62,'Div 4'!$D$64,'Div 4'!$D$67,'Div 4'!$D$69,'Div 4'!$D$71,'Div 4'!$D$73,'Div 4'!$D$75,'Div 4'!$D$80,'Div 4'!$D$86,'Div 4'!$D$89,'Div 4'!$D$100,'Div 4'!$D$103,'Div 4'!$D$105,'Div 4'!$D$107</definedName>
    <definedName name="OSRRefD20x_0" localSheetId="87">'Div 5'!$D$19,'Div 5'!$D$29,'Div 5'!$D$40,'Div 5'!$D$42,'Div 5'!$D$44,'Div 5'!$D$46,'Div 5'!$D$48,'Div 5'!$D$50,'Div 5'!$D$52,'Div 5'!$D$54,'Div 5'!$D$58,'Div 5'!$D$60,'Div 5'!$D$63,'Div 5'!$D$65</definedName>
    <definedName name="OSRRefD20x_0" localSheetId="61">'Div 6'!$D$32,'Div 6'!$D$43,'Div 6'!$D$54,'Div 6'!$D$56,'Div 6'!$D$58,'Div 6'!$D$60,'Div 6'!$D$62,'Div 6'!$D$64,'Div 6'!$D$66,'Div 6'!$D$69</definedName>
    <definedName name="OSRRefD20x_0" localSheetId="2">Summary!$D$56,Summary!$D$67,Summary!$D$78,Summary!$D$80,Summary!$D$82,Summary!$D$84,Summary!$D$87,Summary!$D$90,Summary!$D$92,Summary!$D$94,Summary!$D$96,Summary!$D$99,Summary!$D$103,Summary!$D$105,Summary!$D$107,Summary!$D$109,Summary!$D$111,Summary!$D$113,Summary!$D$115,Summary!$D$120,Summary!$D$125,Summary!$D$131,Summary!$D$134,Summary!$D$145,Summary!$D$148,Summary!$D$150,Summary!$D$154</definedName>
    <definedName name="OSRRefD21_0_0x" localSheetId="40">'200'!$D$19</definedName>
    <definedName name="OSRRefD21_0_0x" localSheetId="42">'201'!$D$19</definedName>
    <definedName name="OSRRefD21_0_0x" localSheetId="43">'202'!$D$19</definedName>
    <definedName name="OSRRefD21_0_0x" localSheetId="44">'203'!$D$19</definedName>
    <definedName name="OSRRefD21_0_0x" localSheetId="45">'204'!$D$19</definedName>
    <definedName name="OSRRefD21_0_0x" localSheetId="46">'205'!$D$19</definedName>
    <definedName name="OSRRefD21_0_0x" localSheetId="47">'206'!$D$19</definedName>
    <definedName name="OSRRefD21_0_0x" localSheetId="48">'300'!$D$45</definedName>
    <definedName name="OSRRefD21_0_0x" localSheetId="49">'300 &amp; 317'!$D$51</definedName>
    <definedName name="OSRRefD21_0_0x" localSheetId="50">'301'!$D$19</definedName>
    <definedName name="OSRRefD21_0_0x" localSheetId="52">'307'!$D$22</definedName>
    <definedName name="OSRRefD21_0_0x" localSheetId="53">'308'!$D$33</definedName>
    <definedName name="OSRRefD21_0_0x" localSheetId="64">'309'!$D$19</definedName>
    <definedName name="OSRRefD21_0_0x" localSheetId="63">'310'!$D$23</definedName>
    <definedName name="OSRRefD21_0_0x" localSheetId="70">'310 &amp; 491'!$D$26</definedName>
    <definedName name="OSRRefD21_0_0x" localSheetId="54">'311'!$D$33</definedName>
    <definedName name="OSRRefD21_0_0x" localSheetId="65">'313'!$D$19</definedName>
    <definedName name="OSRRefD21_0_0x" localSheetId="57">'315'!$D$38</definedName>
    <definedName name="OSRRefD21_0_0x" localSheetId="60">'316'!$D$23</definedName>
    <definedName name="OSRRefD21_0_0x" localSheetId="62">'317'!$D$33</definedName>
    <definedName name="OSRRefD21_0_0x" localSheetId="66">'321'!$D$22</definedName>
    <definedName name="OSRRefD21_0_0x" localSheetId="67">'325'!$D$23</definedName>
    <definedName name="OSRRefD21_0_0x" localSheetId="58">'326'!$D$24</definedName>
    <definedName name="OSRRefD21_0_0x" localSheetId="68">'327'!$D$21</definedName>
    <definedName name="OSRRefD21_0_0x" localSheetId="51">'330'!$D$22</definedName>
    <definedName name="OSRRefD21_0_0x" localSheetId="56">'331'!$D$38</definedName>
    <definedName name="OSRRefD21_0_0x" localSheetId="59">'332'!$D$23</definedName>
    <definedName name="OSRRefD21_0_0x" localSheetId="72">'405'!$D$22</definedName>
    <definedName name="OSRRefD21_0_0x" localSheetId="73">'411'!$D$19</definedName>
    <definedName name="OSRRefD21_0_0x" localSheetId="74">'412'!$D$19</definedName>
    <definedName name="OSRRefD21_0_0x" localSheetId="75">'413'!$D$19</definedName>
    <definedName name="OSRRefD21_0_0x" localSheetId="76">'415'!$D$26</definedName>
    <definedName name="OSRRefD21_0_0x" localSheetId="77">'418'!$D$22</definedName>
    <definedName name="OSRRefD21_0_0x" localSheetId="78">'423'!$D$19</definedName>
    <definedName name="OSRRefD21_0_0x" localSheetId="79">'424'!$D$19</definedName>
    <definedName name="OSRRefD21_0_0x" localSheetId="80">'425'!$D$20</definedName>
    <definedName name="OSRRefD21_0_0x" localSheetId="83">'430'!$D$19</definedName>
    <definedName name="OSRRefD21_0_0x" localSheetId="84">'433'!$D$21</definedName>
    <definedName name="OSRRefD21_0_0x" localSheetId="85">'444'!$D$26</definedName>
    <definedName name="OSRRefD21_0_0x" localSheetId="86">'450'!$D$21</definedName>
    <definedName name="OSRRefD21_0_0x" localSheetId="71">'491'!$D$26</definedName>
    <definedName name="OSRRefD21_0_0x" localSheetId="82">'492'!$D$26</definedName>
    <definedName name="OSRRefD21_0_0x" localSheetId="88">'501'!$D$20</definedName>
    <definedName name="OSRRefD21_0_0x" localSheetId="39">'Div 2'!$D$19</definedName>
    <definedName name="OSRRefD21_0_0x" localSheetId="41">'Div 3'!$D$46</definedName>
    <definedName name="OSRRefD21_0_0x" localSheetId="69">'Div 4'!$D$28</definedName>
    <definedName name="OSRRefD21_0_0x" localSheetId="87">'Div 5'!$D$20</definedName>
    <definedName name="OSRRefD21_0_0x" localSheetId="61">'Div 6'!$D$33</definedName>
    <definedName name="OSRRefD21_0_0x" localSheetId="2">Summary!$D$57</definedName>
    <definedName name="OSRRefD21_0_10x" localSheetId="39">'Div 2'!$D$29</definedName>
    <definedName name="OSRRefD21_0_1x" localSheetId="42">'201'!$D$20</definedName>
    <definedName name="OSRRefD21_0_1x" localSheetId="43">'202'!$D$20</definedName>
    <definedName name="OSRRefD21_0_1x" localSheetId="44">'203'!$D$20</definedName>
    <definedName name="OSRRefD21_0_1x" localSheetId="45">'204'!$D$20</definedName>
    <definedName name="OSRRefD21_0_1x" localSheetId="46">'205'!$D$20</definedName>
    <definedName name="OSRRefD21_0_1x" localSheetId="47">'206'!$D$20</definedName>
    <definedName name="OSRRefD21_0_1x" localSheetId="48">'300'!$D$46</definedName>
    <definedName name="OSRRefD21_0_1x" localSheetId="49">'300 &amp; 317'!$D$52</definedName>
    <definedName name="OSRRefD21_0_1x" localSheetId="50">'301'!$D$20</definedName>
    <definedName name="OSRRefD21_0_1x" localSheetId="52">'307'!$D$23</definedName>
    <definedName name="OSRRefD21_0_1x" localSheetId="53">'308'!$D$34</definedName>
    <definedName name="OSRRefD21_0_1x" localSheetId="63">'310'!$D$24</definedName>
    <definedName name="OSRRefD21_0_1x" localSheetId="70">'310 &amp; 491'!$D$27</definedName>
    <definedName name="OSRRefD21_0_1x" localSheetId="54">'311'!$D$34</definedName>
    <definedName name="OSRRefD21_0_1x" localSheetId="57">'315'!$D$39</definedName>
    <definedName name="OSRRefD21_0_1x" localSheetId="60">'316'!$D$24</definedName>
    <definedName name="OSRRefD21_0_1x" localSheetId="62">'317'!$D$34</definedName>
    <definedName name="OSRRefD21_0_1x" localSheetId="66">'321'!$D$23</definedName>
    <definedName name="OSRRefD21_0_1x" localSheetId="67">'325'!$D$24</definedName>
    <definedName name="OSRRefD21_0_1x" localSheetId="58">'326'!$D$25</definedName>
    <definedName name="OSRRefD21_0_1x" localSheetId="51">'330'!$D$23</definedName>
    <definedName name="OSRRefD21_0_1x" localSheetId="56">'331'!$D$39</definedName>
    <definedName name="OSRRefD21_0_1x" localSheetId="59">'332'!$D$24</definedName>
    <definedName name="OSRRefD21_0_1x" localSheetId="72">'405'!$D$23</definedName>
    <definedName name="OSRRefD21_0_1x" localSheetId="73">'411'!$D$20</definedName>
    <definedName name="OSRRefD21_0_1x" localSheetId="76">'415'!$D$27</definedName>
    <definedName name="OSRRefD21_0_1x" localSheetId="77">'418'!$D$23</definedName>
    <definedName name="OSRRefD21_0_1x" localSheetId="78">'423'!$D$20</definedName>
    <definedName name="OSRRefD21_0_1x" localSheetId="83">'430'!$D$20</definedName>
    <definedName name="OSRRefD21_0_1x" localSheetId="84">'433'!$D$22</definedName>
    <definedName name="OSRRefD21_0_1x" localSheetId="85">'444'!$D$27</definedName>
    <definedName name="OSRRefD21_0_1x" localSheetId="86">'450'!$D$22</definedName>
    <definedName name="OSRRefD21_0_1x" localSheetId="71">'491'!$D$27</definedName>
    <definedName name="OSRRefD21_0_1x" localSheetId="82">'492'!$D$27</definedName>
    <definedName name="OSRRefD21_0_1x" localSheetId="88">'501'!$D$21</definedName>
    <definedName name="OSRRefD21_0_1x" localSheetId="39">'Div 2'!$D$20</definedName>
    <definedName name="OSRRefD21_0_1x" localSheetId="41">'Div 3'!$D$47</definedName>
    <definedName name="OSRRefD21_0_1x" localSheetId="69">'Div 4'!$D$29</definedName>
    <definedName name="OSRRefD21_0_1x" localSheetId="87">'Div 5'!$D$21</definedName>
    <definedName name="OSRRefD21_0_1x" localSheetId="61">'Div 6'!$D$34</definedName>
    <definedName name="OSRRefD21_0_1x" localSheetId="2">Summary!$D$58</definedName>
    <definedName name="OSRRefD21_0_2x" localSheetId="42">'201'!$D$21</definedName>
    <definedName name="OSRRefD21_0_2x" localSheetId="43">'202'!$D$21</definedName>
    <definedName name="OSRRefD21_0_2x" localSheetId="44">'203'!$D$21</definedName>
    <definedName name="OSRRefD21_0_2x" localSheetId="45">'204'!$D$21</definedName>
    <definedName name="OSRRefD21_0_2x" localSheetId="46">'205'!$D$21</definedName>
    <definedName name="OSRRefD21_0_2x" localSheetId="47">'206'!$D$21</definedName>
    <definedName name="OSRRefD21_0_2x" localSheetId="48">'300'!$D$47</definedName>
    <definedName name="OSRRefD21_0_2x" localSheetId="49">'300 &amp; 317'!$D$53</definedName>
    <definedName name="OSRRefD21_0_2x" localSheetId="50">'301'!$D$21</definedName>
    <definedName name="OSRRefD21_0_2x" localSheetId="52">'307'!$D$24</definedName>
    <definedName name="OSRRefD21_0_2x" localSheetId="53">'308'!$D$35</definedName>
    <definedName name="OSRRefD21_0_2x" localSheetId="63">'310'!$D$25</definedName>
    <definedName name="OSRRefD21_0_2x" localSheetId="70">'310 &amp; 491'!$D$28</definedName>
    <definedName name="OSRRefD21_0_2x" localSheetId="54">'311'!$D$35</definedName>
    <definedName name="OSRRefD21_0_2x" localSheetId="57">'315'!$D$40</definedName>
    <definedName name="OSRRefD21_0_2x" localSheetId="60">'316'!$D$25</definedName>
    <definedName name="OSRRefD21_0_2x" localSheetId="62">'317'!$D$35</definedName>
    <definedName name="OSRRefD21_0_2x" localSheetId="66">'321'!$D$24</definedName>
    <definedName name="OSRRefD21_0_2x" localSheetId="67">'325'!$D$25</definedName>
    <definedName name="OSRRefD21_0_2x" localSheetId="58">'326'!$D$26</definedName>
    <definedName name="OSRRefD21_0_2x" localSheetId="51">'330'!$D$24</definedName>
    <definedName name="OSRRefD21_0_2x" localSheetId="56">'331'!$D$40</definedName>
    <definedName name="OSRRefD21_0_2x" localSheetId="59">'332'!$D$25</definedName>
    <definedName name="OSRRefD21_0_2x" localSheetId="72">'405'!$D$24</definedName>
    <definedName name="OSRRefD21_0_2x" localSheetId="73">'411'!$D$21</definedName>
    <definedName name="OSRRefD21_0_2x" localSheetId="76">'415'!$D$28</definedName>
    <definedName name="OSRRefD21_0_2x" localSheetId="77">'418'!$D$24</definedName>
    <definedName name="OSRRefD21_0_2x" localSheetId="78">'423'!$D$21</definedName>
    <definedName name="OSRRefD21_0_2x" localSheetId="83">'430'!$D$21</definedName>
    <definedName name="OSRRefD21_0_2x" localSheetId="84">'433'!$D$23</definedName>
    <definedName name="OSRRefD21_0_2x" localSheetId="85">'444'!$D$28</definedName>
    <definedName name="OSRRefD21_0_2x" localSheetId="86">'450'!$D$23</definedName>
    <definedName name="OSRRefD21_0_2x" localSheetId="71">'491'!$D$28</definedName>
    <definedName name="OSRRefD21_0_2x" localSheetId="82">'492'!$D$28</definedName>
    <definedName name="OSRRefD21_0_2x" localSheetId="88">'501'!$D$22</definedName>
    <definedName name="OSRRefD21_0_2x" localSheetId="39">'Div 2'!$D$21</definedName>
    <definedName name="OSRRefD21_0_2x" localSheetId="41">'Div 3'!$D$48</definedName>
    <definedName name="OSRRefD21_0_2x" localSheetId="69">'Div 4'!$D$30</definedName>
    <definedName name="OSRRefD21_0_2x" localSheetId="87">'Div 5'!$D$22</definedName>
    <definedName name="OSRRefD21_0_2x" localSheetId="61">'Div 6'!$D$35</definedName>
    <definedName name="OSRRefD21_0_2x" localSheetId="2">Summary!$D$59</definedName>
    <definedName name="OSRRefD21_0_3x" localSheetId="42">'201'!$D$22</definedName>
    <definedName name="OSRRefD21_0_3x" localSheetId="43">'202'!$D$22</definedName>
    <definedName name="OSRRefD21_0_3x" localSheetId="44">'203'!$D$22</definedName>
    <definedName name="OSRRefD21_0_3x" localSheetId="45">'204'!$D$22</definedName>
    <definedName name="OSRRefD21_0_3x" localSheetId="46">'205'!$D$22</definedName>
    <definedName name="OSRRefD21_0_3x" localSheetId="47">'206'!$D$22</definedName>
    <definedName name="OSRRefD21_0_3x" localSheetId="48">'300'!$D$48</definedName>
    <definedName name="OSRRefD21_0_3x" localSheetId="49">'300 &amp; 317'!$D$54</definedName>
    <definedName name="OSRRefD21_0_3x" localSheetId="50">'301'!$D$22</definedName>
    <definedName name="OSRRefD21_0_3x" localSheetId="52">'307'!$D$25</definedName>
    <definedName name="OSRRefD21_0_3x" localSheetId="53">'308'!$D$36</definedName>
    <definedName name="OSRRefD21_0_3x" localSheetId="63">'310'!$D$26</definedName>
    <definedName name="OSRRefD21_0_3x" localSheetId="70">'310 &amp; 491'!$D$29</definedName>
    <definedName name="OSRRefD21_0_3x" localSheetId="54">'311'!$D$36</definedName>
    <definedName name="OSRRefD21_0_3x" localSheetId="57">'315'!$D$41</definedName>
    <definedName name="OSRRefD21_0_3x" localSheetId="60">'316'!$D$26</definedName>
    <definedName name="OSRRefD21_0_3x" localSheetId="62">'317'!$D$36</definedName>
    <definedName name="OSRRefD21_0_3x" localSheetId="66">'321'!$D$25</definedName>
    <definedName name="OSRRefD21_0_3x" localSheetId="67">'325'!$D$26</definedName>
    <definedName name="OSRRefD21_0_3x" localSheetId="58">'326'!$D$27</definedName>
    <definedName name="OSRRefD21_0_3x" localSheetId="51">'330'!$D$25</definedName>
    <definedName name="OSRRefD21_0_3x" localSheetId="56">'331'!$D$41</definedName>
    <definedName name="OSRRefD21_0_3x" localSheetId="59">'332'!$D$26</definedName>
    <definedName name="OSRRefD21_0_3x" localSheetId="72">'405'!$D$25</definedName>
    <definedName name="OSRRefD21_0_3x" localSheetId="73">'411'!$D$22</definedName>
    <definedName name="OSRRefD21_0_3x" localSheetId="76">'415'!$D$29</definedName>
    <definedName name="OSRRefD21_0_3x" localSheetId="77">'418'!$D$25</definedName>
    <definedName name="OSRRefD21_0_3x" localSheetId="78">'423'!$D$22</definedName>
    <definedName name="OSRRefD21_0_3x" localSheetId="83">'430'!$D$22</definedName>
    <definedName name="OSRRefD21_0_3x" localSheetId="84">'433'!$D$24</definedName>
    <definedName name="OSRRefD21_0_3x" localSheetId="85">'444'!$D$29</definedName>
    <definedName name="OSRRefD21_0_3x" localSheetId="86">'450'!$D$24</definedName>
    <definedName name="OSRRefD21_0_3x" localSheetId="71">'491'!$D$29</definedName>
    <definedName name="OSRRefD21_0_3x" localSheetId="82">'492'!$D$29</definedName>
    <definedName name="OSRRefD21_0_3x" localSheetId="88">'501'!$D$23</definedName>
    <definedName name="OSRRefD21_0_3x" localSheetId="39">'Div 2'!$D$22</definedName>
    <definedName name="OSRRefD21_0_3x" localSheetId="41">'Div 3'!$D$49</definedName>
    <definedName name="OSRRefD21_0_3x" localSheetId="69">'Div 4'!$D$31</definedName>
    <definedName name="OSRRefD21_0_3x" localSheetId="87">'Div 5'!$D$23</definedName>
    <definedName name="OSRRefD21_0_3x" localSheetId="61">'Div 6'!$D$36</definedName>
    <definedName name="OSRRefD21_0_3x" localSheetId="2">Summary!$D$60</definedName>
    <definedName name="OSRRefD21_0_4x" localSheetId="42">'201'!$D$23</definedName>
    <definedName name="OSRRefD21_0_4x" localSheetId="43">'202'!$D$23</definedName>
    <definedName name="OSRRefD21_0_4x" localSheetId="44">'203'!$D$23</definedName>
    <definedName name="OSRRefD21_0_4x" localSheetId="45">'204'!$D$23</definedName>
    <definedName name="OSRRefD21_0_4x" localSheetId="46">'205'!$D$23</definedName>
    <definedName name="OSRRefD21_0_4x" localSheetId="47">'206'!$D$23</definedName>
    <definedName name="OSRRefD21_0_4x" localSheetId="48">'300'!$D$49</definedName>
    <definedName name="OSRRefD21_0_4x" localSheetId="49">'300 &amp; 317'!$D$55</definedName>
    <definedName name="OSRRefD21_0_4x" localSheetId="50">'301'!$D$23</definedName>
    <definedName name="OSRRefD21_0_4x" localSheetId="52">'307'!$D$26</definedName>
    <definedName name="OSRRefD21_0_4x" localSheetId="53">'308'!$D$37</definedName>
    <definedName name="OSRRefD21_0_4x" localSheetId="63">'310'!$D$27</definedName>
    <definedName name="OSRRefD21_0_4x" localSheetId="70">'310 &amp; 491'!$D$30</definedName>
    <definedName name="OSRRefD21_0_4x" localSheetId="54">'311'!$D$37</definedName>
    <definedName name="OSRRefD21_0_4x" localSheetId="57">'315'!$D$42</definedName>
    <definedName name="OSRRefD21_0_4x" localSheetId="60">'316'!$D$27</definedName>
    <definedName name="OSRRefD21_0_4x" localSheetId="62">'317'!$D$37</definedName>
    <definedName name="OSRRefD21_0_4x" localSheetId="66">'321'!$D$26</definedName>
    <definedName name="OSRRefD21_0_4x" localSheetId="67">'325'!$D$27</definedName>
    <definedName name="OSRRefD21_0_4x" localSheetId="58">'326'!$D$28</definedName>
    <definedName name="OSRRefD21_0_4x" localSheetId="51">'330'!$D$26</definedName>
    <definedName name="OSRRefD21_0_4x" localSheetId="56">'331'!$D$42</definedName>
    <definedName name="OSRRefD21_0_4x" localSheetId="59">'332'!$D$27</definedName>
    <definedName name="OSRRefD21_0_4x" localSheetId="72">'405'!$D$26</definedName>
    <definedName name="OSRRefD21_0_4x" localSheetId="73">'411'!$D$23</definedName>
    <definedName name="OSRRefD21_0_4x" localSheetId="76">'415'!$D$30</definedName>
    <definedName name="OSRRefD21_0_4x" localSheetId="77">'418'!$D$26</definedName>
    <definedName name="OSRRefD21_0_4x" localSheetId="78">'423'!$D$23</definedName>
    <definedName name="OSRRefD21_0_4x" localSheetId="83">'430'!$D$23</definedName>
    <definedName name="OSRRefD21_0_4x" localSheetId="84">'433'!$D$25</definedName>
    <definedName name="OSRRefD21_0_4x" localSheetId="85">'444'!$D$30</definedName>
    <definedName name="OSRRefD21_0_4x" localSheetId="86">'450'!$D$25</definedName>
    <definedName name="OSRRefD21_0_4x" localSheetId="71">'491'!$D$30</definedName>
    <definedName name="OSRRefD21_0_4x" localSheetId="82">'492'!$D$30</definedName>
    <definedName name="OSRRefD21_0_4x" localSheetId="88">'501'!$D$24</definedName>
    <definedName name="OSRRefD21_0_4x" localSheetId="39">'Div 2'!$D$23</definedName>
    <definedName name="OSRRefD21_0_4x" localSheetId="41">'Div 3'!$D$50</definedName>
    <definedName name="OSRRefD21_0_4x" localSheetId="69">'Div 4'!$D$32</definedName>
    <definedName name="OSRRefD21_0_4x" localSheetId="87">'Div 5'!$D$24</definedName>
    <definedName name="OSRRefD21_0_4x" localSheetId="61">'Div 6'!$D$37</definedName>
    <definedName name="OSRRefD21_0_4x" localSheetId="2">Summary!$D$61</definedName>
    <definedName name="OSRRefD21_0_5x" localSheetId="42">'201'!$D$24</definedName>
    <definedName name="OSRRefD21_0_5x" localSheetId="43">'202'!$D$24</definedName>
    <definedName name="OSRRefD21_0_5x" localSheetId="44">'203'!$D$24</definedName>
    <definedName name="OSRRefD21_0_5x" localSheetId="45">'204'!$D$24</definedName>
    <definedName name="OSRRefD21_0_5x" localSheetId="46">'205'!$D$24</definedName>
    <definedName name="OSRRefD21_0_5x" localSheetId="47">'206'!$D$24</definedName>
    <definedName name="OSRRefD21_0_5x" localSheetId="48">'300'!$D$50</definedName>
    <definedName name="OSRRefD21_0_5x" localSheetId="49">'300 &amp; 317'!$D$56</definedName>
    <definedName name="OSRRefD21_0_5x" localSheetId="50">'301'!$D$24</definedName>
    <definedName name="OSRRefD21_0_5x" localSheetId="52">'307'!$D$27</definedName>
    <definedName name="OSRRefD21_0_5x" localSheetId="53">'308'!$D$38</definedName>
    <definedName name="OSRRefD21_0_5x" localSheetId="63">'310'!$D$28</definedName>
    <definedName name="OSRRefD21_0_5x" localSheetId="70">'310 &amp; 491'!$D$31</definedName>
    <definedName name="OSRRefD21_0_5x" localSheetId="54">'311'!$D$38</definedName>
    <definedName name="OSRRefD21_0_5x" localSheetId="57">'315'!$D$43</definedName>
    <definedName name="OSRRefD21_0_5x" localSheetId="60">'316'!$D$28</definedName>
    <definedName name="OSRRefD21_0_5x" localSheetId="62">'317'!$D$38</definedName>
    <definedName name="OSRRefD21_0_5x" localSheetId="66">'321'!$D$27</definedName>
    <definedName name="OSRRefD21_0_5x" localSheetId="67">'325'!$D$28</definedName>
    <definedName name="OSRRefD21_0_5x" localSheetId="58">'326'!$D$29</definedName>
    <definedName name="OSRRefD21_0_5x" localSheetId="51">'330'!$D$27</definedName>
    <definedName name="OSRRefD21_0_5x" localSheetId="56">'331'!$D$43</definedName>
    <definedName name="OSRRefD21_0_5x" localSheetId="59">'332'!$D$28</definedName>
    <definedName name="OSRRefD21_0_5x" localSheetId="72">'405'!$D$27</definedName>
    <definedName name="OSRRefD21_0_5x" localSheetId="73">'411'!$D$24</definedName>
    <definedName name="OSRRefD21_0_5x" localSheetId="76">'415'!$D$31</definedName>
    <definedName name="OSRRefD21_0_5x" localSheetId="77">'418'!$D$27</definedName>
    <definedName name="OSRRefD21_0_5x" localSheetId="78">'423'!$D$24</definedName>
    <definedName name="OSRRefD21_0_5x" localSheetId="83">'430'!$D$24</definedName>
    <definedName name="OSRRefD21_0_5x" localSheetId="84">'433'!$D$26</definedName>
    <definedName name="OSRRefD21_0_5x" localSheetId="85">'444'!$D$31</definedName>
    <definedName name="OSRRefD21_0_5x" localSheetId="86">'450'!$D$26</definedName>
    <definedName name="OSRRefD21_0_5x" localSheetId="71">'491'!$D$31</definedName>
    <definedName name="OSRRefD21_0_5x" localSheetId="82">'492'!$D$31</definedName>
    <definedName name="OSRRefD21_0_5x" localSheetId="88">'501'!$D$25</definedName>
    <definedName name="OSRRefD21_0_5x" localSheetId="39">'Div 2'!$D$24</definedName>
    <definedName name="OSRRefD21_0_5x" localSheetId="41">'Div 3'!$D$51</definedName>
    <definedName name="OSRRefD21_0_5x" localSheetId="69">'Div 4'!$D$33</definedName>
    <definedName name="OSRRefD21_0_5x" localSheetId="87">'Div 5'!$D$25</definedName>
    <definedName name="OSRRefD21_0_5x" localSheetId="61">'Div 6'!$D$38</definedName>
    <definedName name="OSRRefD21_0_5x" localSheetId="2">Summary!$D$62</definedName>
    <definedName name="OSRRefD21_0_6x" localSheetId="42">'201'!$D$25</definedName>
    <definedName name="OSRRefD21_0_6x" localSheetId="43">'202'!$D$25</definedName>
    <definedName name="OSRRefD21_0_6x" localSheetId="44">'203'!$D$25</definedName>
    <definedName name="OSRRefD21_0_6x" localSheetId="45">'204'!$D$25</definedName>
    <definedName name="OSRRefD21_0_6x" localSheetId="46">'205'!$D$25</definedName>
    <definedName name="OSRRefD21_0_6x" localSheetId="47">'206'!$D$25</definedName>
    <definedName name="OSRRefD21_0_6x" localSheetId="48">'300'!$D$51</definedName>
    <definedName name="OSRRefD21_0_6x" localSheetId="49">'300 &amp; 317'!$D$57</definedName>
    <definedName name="OSRRefD21_0_6x" localSheetId="50">'301'!$D$25</definedName>
    <definedName name="OSRRefD21_0_6x" localSheetId="52">'307'!$D$28</definedName>
    <definedName name="OSRRefD21_0_6x" localSheetId="53">'308'!$D$39</definedName>
    <definedName name="OSRRefD21_0_6x" localSheetId="63">'310'!$D$29</definedName>
    <definedName name="OSRRefD21_0_6x" localSheetId="70">'310 &amp; 491'!$D$32</definedName>
    <definedName name="OSRRefD21_0_6x" localSheetId="54">'311'!$D$39</definedName>
    <definedName name="OSRRefD21_0_6x" localSheetId="57">'315'!$D$44</definedName>
    <definedName name="OSRRefD21_0_6x" localSheetId="60">'316'!$D$29</definedName>
    <definedName name="OSRRefD21_0_6x" localSheetId="62">'317'!$D$39</definedName>
    <definedName name="OSRRefD21_0_6x" localSheetId="66">'321'!$D$28</definedName>
    <definedName name="OSRRefD21_0_6x" localSheetId="67">'325'!$D$29</definedName>
    <definedName name="OSRRefD21_0_6x" localSheetId="58">'326'!$D$30</definedName>
    <definedName name="OSRRefD21_0_6x" localSheetId="51">'330'!$D$28</definedName>
    <definedName name="OSRRefD21_0_6x" localSheetId="56">'331'!$D$44</definedName>
    <definedName name="OSRRefD21_0_6x" localSheetId="59">'332'!$D$29</definedName>
    <definedName name="OSRRefD21_0_6x" localSheetId="72">'405'!$D$28</definedName>
    <definedName name="OSRRefD21_0_6x" localSheetId="73">'411'!$D$25</definedName>
    <definedName name="OSRRefD21_0_6x" localSheetId="76">'415'!$D$32</definedName>
    <definedName name="OSRRefD21_0_6x" localSheetId="77">'418'!$D$28</definedName>
    <definedName name="OSRRefD21_0_6x" localSheetId="78">'423'!$D$25</definedName>
    <definedName name="OSRRefD21_0_6x" localSheetId="83">'430'!$D$25</definedName>
    <definedName name="OSRRefD21_0_6x" localSheetId="84">'433'!$D$27</definedName>
    <definedName name="OSRRefD21_0_6x" localSheetId="85">'444'!$D$32</definedName>
    <definedName name="OSRRefD21_0_6x" localSheetId="86">'450'!$D$27</definedName>
    <definedName name="OSRRefD21_0_6x" localSheetId="71">'491'!$D$32</definedName>
    <definedName name="OSRRefD21_0_6x" localSheetId="82">'492'!$D$32</definedName>
    <definedName name="OSRRefD21_0_6x" localSheetId="88">'501'!$D$26</definedName>
    <definedName name="OSRRefD21_0_6x" localSheetId="39">'Div 2'!$D$25</definedName>
    <definedName name="OSRRefD21_0_6x" localSheetId="41">'Div 3'!$D$52</definedName>
    <definedName name="OSRRefD21_0_6x" localSheetId="69">'Div 4'!$D$34</definedName>
    <definedName name="OSRRefD21_0_6x" localSheetId="87">'Div 5'!$D$26</definedName>
    <definedName name="OSRRefD21_0_6x" localSheetId="61">'Div 6'!$D$39</definedName>
    <definedName name="OSRRefD21_0_6x" localSheetId="2">Summary!$D$63</definedName>
    <definedName name="OSRRefD21_0_7x" localSheetId="42">'201'!$D$26</definedName>
    <definedName name="OSRRefD21_0_7x" localSheetId="43">'202'!$D$26</definedName>
    <definedName name="OSRRefD21_0_7x" localSheetId="44">'203'!$D$26</definedName>
    <definedName name="OSRRefD21_0_7x" localSheetId="45">'204'!$D$26</definedName>
    <definedName name="OSRRefD21_0_7x" localSheetId="46">'205'!$D$26</definedName>
    <definedName name="OSRRefD21_0_7x" localSheetId="47">'206'!$D$26</definedName>
    <definedName name="OSRRefD21_0_7x" localSheetId="48">'300'!$D$52</definedName>
    <definedName name="OSRRefD21_0_7x" localSheetId="49">'300 &amp; 317'!$D$58</definedName>
    <definedName name="OSRRefD21_0_7x" localSheetId="50">'301'!$D$26</definedName>
    <definedName name="OSRRefD21_0_7x" localSheetId="52">'307'!$D$29</definedName>
    <definedName name="OSRRefD21_0_7x" localSheetId="53">'308'!$D$40</definedName>
    <definedName name="OSRRefD21_0_7x" localSheetId="63">'310'!$D$30</definedName>
    <definedName name="OSRRefD21_0_7x" localSheetId="70">'310 &amp; 491'!$D$33</definedName>
    <definedName name="OSRRefD21_0_7x" localSheetId="54">'311'!$D$40</definedName>
    <definedName name="OSRRefD21_0_7x" localSheetId="57">'315'!$D$45</definedName>
    <definedName name="OSRRefD21_0_7x" localSheetId="60">'316'!$D$30</definedName>
    <definedName name="OSRRefD21_0_7x" localSheetId="62">'317'!$D$40</definedName>
    <definedName name="OSRRefD21_0_7x" localSheetId="66">'321'!$D$29</definedName>
    <definedName name="OSRRefD21_0_7x" localSheetId="67">'325'!$D$30</definedName>
    <definedName name="OSRRefD21_0_7x" localSheetId="58">'326'!$D$31</definedName>
    <definedName name="OSRRefD21_0_7x" localSheetId="51">'330'!$D$29</definedName>
    <definedName name="OSRRefD21_0_7x" localSheetId="56">'331'!$D$45</definedName>
    <definedName name="OSRRefD21_0_7x" localSheetId="59">'332'!$D$30</definedName>
    <definedName name="OSRRefD21_0_7x" localSheetId="72">'405'!$D$29</definedName>
    <definedName name="OSRRefD21_0_7x" localSheetId="73">'411'!$D$26</definedName>
    <definedName name="OSRRefD21_0_7x" localSheetId="76">'415'!$D$33</definedName>
    <definedName name="OSRRefD21_0_7x" localSheetId="77">'418'!$D$29</definedName>
    <definedName name="OSRRefD21_0_7x" localSheetId="78">'423'!$D$26</definedName>
    <definedName name="OSRRefD21_0_7x" localSheetId="83">'430'!$D$26</definedName>
    <definedName name="OSRRefD21_0_7x" localSheetId="84">'433'!$D$28</definedName>
    <definedName name="OSRRefD21_0_7x" localSheetId="85">'444'!$D$33</definedName>
    <definedName name="OSRRefD21_0_7x" localSheetId="86">'450'!$D$28</definedName>
    <definedName name="OSRRefD21_0_7x" localSheetId="71">'491'!$D$33</definedName>
    <definedName name="OSRRefD21_0_7x" localSheetId="82">'492'!$D$33</definedName>
    <definedName name="OSRRefD21_0_7x" localSheetId="88">'501'!$D$27</definedName>
    <definedName name="OSRRefD21_0_7x" localSheetId="39">'Div 2'!$D$26</definedName>
    <definedName name="OSRRefD21_0_7x" localSheetId="41">'Div 3'!$D$53</definedName>
    <definedName name="OSRRefD21_0_7x" localSheetId="69">'Div 4'!$D$35</definedName>
    <definedName name="OSRRefD21_0_7x" localSheetId="87">'Div 5'!$D$27</definedName>
    <definedName name="OSRRefD21_0_7x" localSheetId="61">'Div 6'!$D$40</definedName>
    <definedName name="OSRRefD21_0_7x" localSheetId="2">Summary!$D$64</definedName>
    <definedName name="OSRRefD21_0_8x" localSheetId="42">'201'!$D$27</definedName>
    <definedName name="OSRRefD21_0_8x" localSheetId="43">'202'!$D$27</definedName>
    <definedName name="OSRRefD21_0_8x" localSheetId="44">'203'!$D$27</definedName>
    <definedName name="OSRRefD21_0_8x" localSheetId="45">'204'!$D$27</definedName>
    <definedName name="OSRRefD21_0_8x" localSheetId="46">'205'!$D$27</definedName>
    <definedName name="OSRRefD21_0_8x" localSheetId="47">'206'!$D$27</definedName>
    <definedName name="OSRRefD21_0_8x" localSheetId="48">'300'!$D$53</definedName>
    <definedName name="OSRRefD21_0_8x" localSheetId="49">'300 &amp; 317'!$D$59</definedName>
    <definedName name="OSRRefD21_0_8x" localSheetId="50">'301'!$D$27</definedName>
    <definedName name="OSRRefD21_0_8x" localSheetId="53">'308'!$D$41</definedName>
    <definedName name="OSRRefD21_0_8x" localSheetId="70">'310 &amp; 491'!$D$34</definedName>
    <definedName name="OSRRefD21_0_8x" localSheetId="54">'311'!$D$41</definedName>
    <definedName name="OSRRefD21_0_8x" localSheetId="57">'315'!$D$46</definedName>
    <definedName name="OSRRefD21_0_8x" localSheetId="60">'316'!$D$31</definedName>
    <definedName name="OSRRefD21_0_8x" localSheetId="62">'317'!$D$41</definedName>
    <definedName name="OSRRefD21_0_8x" localSheetId="58">'326'!$D$32</definedName>
    <definedName name="OSRRefD21_0_8x" localSheetId="56">'331'!$D$46</definedName>
    <definedName name="OSRRefD21_0_8x" localSheetId="59">'332'!$D$31</definedName>
    <definedName name="OSRRefD21_0_8x" localSheetId="72">'405'!$D$30</definedName>
    <definedName name="OSRRefD21_0_8x" localSheetId="73">'411'!$D$27</definedName>
    <definedName name="OSRRefD21_0_8x" localSheetId="76">'415'!$D$34</definedName>
    <definedName name="OSRRefD21_0_8x" localSheetId="77">'418'!$D$30</definedName>
    <definedName name="OSRRefD21_0_8x" localSheetId="83">'430'!$D$27</definedName>
    <definedName name="OSRRefD21_0_8x" localSheetId="84">'433'!$D$29</definedName>
    <definedName name="OSRRefD21_0_8x" localSheetId="85">'444'!$D$34</definedName>
    <definedName name="OSRRefD21_0_8x" localSheetId="86">'450'!$D$29</definedName>
    <definedName name="OSRRefD21_0_8x" localSheetId="71">'491'!$D$34</definedName>
    <definedName name="OSRRefD21_0_8x" localSheetId="82">'492'!$D$34</definedName>
    <definedName name="OSRRefD21_0_8x" localSheetId="88">'501'!$D$28</definedName>
    <definedName name="OSRRefD21_0_8x" localSheetId="39">'Div 2'!$D$27</definedName>
    <definedName name="OSRRefD21_0_8x" localSheetId="41">'Div 3'!$D$54</definedName>
    <definedName name="OSRRefD21_0_8x" localSheetId="69">'Div 4'!$D$36</definedName>
    <definedName name="OSRRefD21_0_8x" localSheetId="87">'Div 5'!$D$28</definedName>
    <definedName name="OSRRefD21_0_8x" localSheetId="61">'Div 6'!$D$41</definedName>
    <definedName name="OSRRefD21_0_8x" localSheetId="2">Summary!$D$65</definedName>
    <definedName name="OSRRefD21_0_9x" localSheetId="44">'203'!$D$28</definedName>
    <definedName name="OSRRefD21_0_9x" localSheetId="48">'300'!$D$54</definedName>
    <definedName name="OSRRefD21_0_9x" localSheetId="49">'300 &amp; 317'!$D$60</definedName>
    <definedName name="OSRRefD21_0_9x" localSheetId="50">'301'!$D$28</definedName>
    <definedName name="OSRRefD21_0_9x" localSheetId="53">'308'!$D$42</definedName>
    <definedName name="OSRRefD21_0_9x" localSheetId="54">'311'!$D$42</definedName>
    <definedName name="OSRRefD21_0_9x" localSheetId="62">'317'!$D$42</definedName>
    <definedName name="OSRRefD21_0_9x" localSheetId="84">'433'!$D$30</definedName>
    <definedName name="OSRRefD21_0_9x" localSheetId="85">'444'!$D$35</definedName>
    <definedName name="OSRRefD21_0_9x" localSheetId="86">'450'!$D$30</definedName>
    <definedName name="OSRRefD21_0_9x" localSheetId="82">'492'!$D$35</definedName>
    <definedName name="OSRRefD21_0_9x" localSheetId="39">'Div 2'!$D$28</definedName>
    <definedName name="OSRRefD21_0_9x" localSheetId="41">'Div 3'!$D$55</definedName>
    <definedName name="OSRRefD21_0_9x" localSheetId="69">'Div 4'!$D$37</definedName>
    <definedName name="OSRRefD21_0_9x" localSheetId="61">'Div 6'!$D$42</definedName>
    <definedName name="OSRRefD21_0_9x" localSheetId="2">Summary!$D$66</definedName>
    <definedName name="OSRRefD21_0x_0" localSheetId="40">'200'!$D$19</definedName>
    <definedName name="OSRRefD21_0x_0" localSheetId="42">'201'!$D$19:$D$27</definedName>
    <definedName name="OSRRefD21_0x_0" localSheetId="43">'202'!$D$19:$D$27</definedName>
    <definedName name="OSRRefD21_0x_0" localSheetId="44">'203'!$D$19:$D$28</definedName>
    <definedName name="OSRRefD21_0x_0" localSheetId="45">'204'!$D$19:$D$27</definedName>
    <definedName name="OSRRefD21_0x_0" localSheetId="46">'205'!$D$19:$D$27</definedName>
    <definedName name="OSRRefD21_0x_0" localSheetId="47">'206'!$D$19:$D$27</definedName>
    <definedName name="OSRRefD21_0x_0" localSheetId="48">'300'!$D$45:$D$54</definedName>
    <definedName name="OSRRefD21_0x_0" localSheetId="49">'300 &amp; 317'!$D$51:$D$60</definedName>
    <definedName name="OSRRefD21_0x_0" localSheetId="50">'301'!$D$19:$D$28</definedName>
    <definedName name="OSRRefD21_0x_0" localSheetId="52">'307'!$D$22:$D$29</definedName>
    <definedName name="OSRRefD21_0x_0" localSheetId="53">'308'!$D$33:$D$42</definedName>
    <definedName name="OSRRefD21_0x_0" localSheetId="64">'309'!$D$19</definedName>
    <definedName name="OSRRefD21_0x_0" localSheetId="63">'310'!$D$23:$D$30</definedName>
    <definedName name="OSRRefD21_0x_0" localSheetId="70">'310 &amp; 491'!$D$26:$D$34</definedName>
    <definedName name="OSRRefD21_0x_0" localSheetId="54">'311'!$D$33:$D$42</definedName>
    <definedName name="OSRRefD21_0x_0" localSheetId="65">'313'!$D$19</definedName>
    <definedName name="OSRRefD21_0x_0" localSheetId="57">'315'!$D$38:$D$46</definedName>
    <definedName name="OSRRefD21_0x_0" localSheetId="60">'316'!$D$23:$D$31</definedName>
    <definedName name="OSRRefD21_0x_0" localSheetId="62">'317'!$D$33:$D$42</definedName>
    <definedName name="OSRRefD21_0x_0" localSheetId="66">'321'!$D$22:$D$29</definedName>
    <definedName name="OSRRefD21_0x_0" localSheetId="67">'325'!$D$23:$D$30</definedName>
    <definedName name="OSRRefD21_0x_0" localSheetId="58">'326'!$D$24:$D$32</definedName>
    <definedName name="OSRRefD21_0x_0" localSheetId="68">'327'!$D$21</definedName>
    <definedName name="OSRRefD21_0x_0" localSheetId="51">'330'!$D$22:$D$29</definedName>
    <definedName name="OSRRefD21_0x_0" localSheetId="56">'331'!$D$38:$D$46</definedName>
    <definedName name="OSRRefD21_0x_0" localSheetId="59">'332'!$D$23:$D$31</definedName>
    <definedName name="OSRRefD21_0x_0" localSheetId="72">'405'!$D$22:$D$30</definedName>
    <definedName name="OSRRefD21_0x_0" localSheetId="73">'411'!$D$19:$D$27</definedName>
    <definedName name="OSRRefD21_0x_0" localSheetId="74">'412'!$D$19</definedName>
    <definedName name="OSRRefD21_0x_0" localSheetId="75">'413'!$D$19</definedName>
    <definedName name="OSRRefD21_0x_0" localSheetId="76">'415'!$D$26:$D$34</definedName>
    <definedName name="OSRRefD21_0x_0" localSheetId="77">'418'!$D$22:$D$30</definedName>
    <definedName name="OSRRefD21_0x_0" localSheetId="78">'423'!$D$19:$D$26</definedName>
    <definedName name="OSRRefD21_0x_0" localSheetId="79">'424'!$D$19</definedName>
    <definedName name="OSRRefD21_0x_0" localSheetId="80">'425'!$D$20</definedName>
    <definedName name="OSRRefD21_0x_0" localSheetId="83">'430'!$D$19:$D$27</definedName>
    <definedName name="OSRRefD21_0x_0" localSheetId="84">'433'!$D$21:$D$30</definedName>
    <definedName name="OSRRefD21_0x_0" localSheetId="85">'444'!$D$26:$D$35</definedName>
    <definedName name="OSRRefD21_0x_0" localSheetId="86">'450'!$D$21:$D$30</definedName>
    <definedName name="OSRRefD21_0x_0" localSheetId="71">'491'!$D$26:$D$34</definedName>
    <definedName name="OSRRefD21_0x_0" localSheetId="82">'492'!$D$26:$D$35</definedName>
    <definedName name="OSRRefD21_0x_0" localSheetId="88">'501'!$D$20:$D$28</definedName>
    <definedName name="OSRRefD21_0x_0" localSheetId="39">'Div 2'!$D$19:$D$29</definedName>
    <definedName name="OSRRefD21_0x_0" localSheetId="41">'Div 3'!$D$46:$D$55</definedName>
    <definedName name="OSRRefD21_0x_0" localSheetId="69">'Div 4'!$D$28:$D$37</definedName>
    <definedName name="OSRRefD21_0x_0" localSheetId="87">'Div 5'!$D$20:$D$28</definedName>
    <definedName name="OSRRefD21_0x_0" localSheetId="61">'Div 6'!$D$33:$D$42</definedName>
    <definedName name="OSRRefD21_0x_0" localSheetId="2">Summary!$D$57:$D$66</definedName>
    <definedName name="OSRRefD21_1_0x" localSheetId="40">'200'!$D$21</definedName>
    <definedName name="OSRRefD21_1_0x" localSheetId="42">'201'!$D$29</definedName>
    <definedName name="OSRRefD21_1_0x" localSheetId="43">'202'!$D$29</definedName>
    <definedName name="OSRRefD21_1_0x" localSheetId="44">'203'!$D$30</definedName>
    <definedName name="OSRRefD21_1_0x" localSheetId="45">'204'!$D$29</definedName>
    <definedName name="OSRRefD21_1_0x" localSheetId="46">'205'!$D$29</definedName>
    <definedName name="OSRRefD21_1_0x" localSheetId="47">'206'!$D$29</definedName>
    <definedName name="OSRRefD21_1_0x" localSheetId="48">'300'!$D$56</definedName>
    <definedName name="OSRRefD21_1_0x" localSheetId="49">'300 &amp; 317'!$D$62</definedName>
    <definedName name="OSRRefD21_1_0x" localSheetId="50">'301'!$D$30</definedName>
    <definedName name="OSRRefD21_1_0x" localSheetId="52">'307'!$D$31</definedName>
    <definedName name="OSRRefD21_1_0x" localSheetId="53">'308'!$D$44</definedName>
    <definedName name="OSRRefD21_1_0x" localSheetId="64">'309'!$D$21</definedName>
    <definedName name="OSRRefD21_1_0x" localSheetId="63">'310'!$D$32</definedName>
    <definedName name="OSRRefD21_1_0x" localSheetId="70">'310 &amp; 491'!$D$36</definedName>
    <definedName name="OSRRefD21_1_0x" localSheetId="54">'311'!$D$44</definedName>
    <definedName name="OSRRefD21_1_0x" localSheetId="57">'315'!$D$48</definedName>
    <definedName name="OSRRefD21_1_0x" localSheetId="60">'316'!$D$33</definedName>
    <definedName name="OSRRefD21_1_0x" localSheetId="62">'317'!$D$44</definedName>
    <definedName name="OSRRefD21_1_0x" localSheetId="66">'321'!$D$31</definedName>
    <definedName name="OSRRefD21_1_0x" localSheetId="67">'325'!$D$32</definedName>
    <definedName name="OSRRefD21_1_0x" localSheetId="58">'326'!$D$34</definedName>
    <definedName name="OSRRefD21_1_0x" localSheetId="51">'330'!$D$31</definedName>
    <definedName name="OSRRefD21_1_0x" localSheetId="56">'331'!$D$48</definedName>
    <definedName name="OSRRefD21_1_0x" localSheetId="59">'332'!$D$33</definedName>
    <definedName name="OSRRefD21_1_0x" localSheetId="72">'405'!$D$32</definedName>
    <definedName name="OSRRefD21_1_0x" localSheetId="73">'411'!$D$29</definedName>
    <definedName name="OSRRefD21_1_0x" localSheetId="74">'412'!$D$21</definedName>
    <definedName name="OSRRefD21_1_0x" localSheetId="76">'415'!$D$36</definedName>
    <definedName name="OSRRefD21_1_0x" localSheetId="77">'418'!$D$32</definedName>
    <definedName name="OSRRefD21_1_0x" localSheetId="78">'423'!$D$28</definedName>
    <definedName name="OSRRefD21_1_0x" localSheetId="83">'430'!$D$29</definedName>
    <definedName name="OSRRefD21_1_0x" localSheetId="84">'433'!$D$32</definedName>
    <definedName name="OSRRefD21_1_0x" localSheetId="85">'444'!$D$37</definedName>
    <definedName name="OSRRefD21_1_0x" localSheetId="86">'450'!$D$32</definedName>
    <definedName name="OSRRefD21_1_0x" localSheetId="71">'491'!$D$36</definedName>
    <definedName name="OSRRefD21_1_0x" localSheetId="82">'492'!$D$37</definedName>
    <definedName name="OSRRefD21_1_0x" localSheetId="88">'501'!$D$30</definedName>
    <definedName name="OSRRefD21_1_0x" localSheetId="39">'Div 2'!$D$31</definedName>
    <definedName name="OSRRefD21_1_0x" localSheetId="41">'Div 3'!$D$57</definedName>
    <definedName name="OSRRefD21_1_0x" localSheetId="69">'Div 4'!$D$39</definedName>
    <definedName name="OSRRefD21_1_0x" localSheetId="87">'Div 5'!$D$30</definedName>
    <definedName name="OSRRefD21_1_0x" localSheetId="61">'Div 6'!$D$44</definedName>
    <definedName name="OSRRefD21_1_0x" localSheetId="2">Summary!$D$68</definedName>
    <definedName name="OSRRefD21_1_1x" localSheetId="42">'201'!$D$30</definedName>
    <definedName name="OSRRefD21_1_1x" localSheetId="43">'202'!$D$30</definedName>
    <definedName name="OSRRefD21_1_1x" localSheetId="44">'203'!$D$31</definedName>
    <definedName name="OSRRefD21_1_1x" localSheetId="45">'204'!$D$30</definedName>
    <definedName name="OSRRefD21_1_1x" localSheetId="46">'205'!$D$30</definedName>
    <definedName name="OSRRefD21_1_1x" localSheetId="47">'206'!$D$30</definedName>
    <definedName name="OSRRefD21_1_1x" localSheetId="48">'300'!$D$57</definedName>
    <definedName name="OSRRefD21_1_1x" localSheetId="49">'300 &amp; 317'!$D$63</definedName>
    <definedName name="OSRRefD21_1_1x" localSheetId="50">'301'!$D$31</definedName>
    <definedName name="OSRRefD21_1_1x" localSheetId="52">'307'!$D$32</definedName>
    <definedName name="OSRRefD21_1_1x" localSheetId="53">'308'!$D$45</definedName>
    <definedName name="OSRRefD21_1_1x" localSheetId="63">'310'!$D$33</definedName>
    <definedName name="OSRRefD21_1_1x" localSheetId="70">'310 &amp; 491'!$D$37</definedName>
    <definedName name="OSRRefD21_1_1x" localSheetId="54">'311'!$D$45</definedName>
    <definedName name="OSRRefD21_1_1x" localSheetId="57">'315'!$D$49</definedName>
    <definedName name="OSRRefD21_1_1x" localSheetId="60">'316'!$D$34</definedName>
    <definedName name="OSRRefD21_1_1x" localSheetId="62">'317'!$D$45</definedName>
    <definedName name="OSRRefD21_1_1x" localSheetId="66">'321'!$D$32</definedName>
    <definedName name="OSRRefD21_1_1x" localSheetId="67">'325'!$D$33</definedName>
    <definedName name="OSRRefD21_1_1x" localSheetId="58">'326'!$D$35</definedName>
    <definedName name="OSRRefD21_1_1x" localSheetId="51">'330'!$D$32</definedName>
    <definedName name="OSRRefD21_1_1x" localSheetId="56">'331'!$D$49</definedName>
    <definedName name="OSRRefD21_1_1x" localSheetId="59">'332'!$D$34</definedName>
    <definedName name="OSRRefD21_1_1x" localSheetId="72">'405'!$D$33</definedName>
    <definedName name="OSRRefD21_1_1x" localSheetId="73">'411'!$D$30</definedName>
    <definedName name="OSRRefD21_1_1x" localSheetId="76">'415'!$D$37</definedName>
    <definedName name="OSRRefD21_1_1x" localSheetId="77">'418'!$D$33</definedName>
    <definedName name="OSRRefD21_1_1x" localSheetId="78">'423'!$D$29</definedName>
    <definedName name="OSRRefD21_1_1x" localSheetId="83">'430'!$D$30</definedName>
    <definedName name="OSRRefD21_1_1x" localSheetId="84">'433'!$D$33</definedName>
    <definedName name="OSRRefD21_1_1x" localSheetId="85">'444'!$D$38</definedName>
    <definedName name="OSRRefD21_1_1x" localSheetId="86">'450'!$D$33</definedName>
    <definedName name="OSRRefD21_1_1x" localSheetId="71">'491'!$D$37</definedName>
    <definedName name="OSRRefD21_1_1x" localSheetId="82">'492'!$D$38</definedName>
    <definedName name="OSRRefD21_1_1x" localSheetId="88">'501'!$D$31</definedName>
    <definedName name="OSRRefD21_1_1x" localSheetId="39">'Div 2'!$D$32</definedName>
    <definedName name="OSRRefD21_1_1x" localSheetId="41">'Div 3'!$D$58</definedName>
    <definedName name="OSRRefD21_1_1x" localSheetId="69">'Div 4'!$D$40</definedName>
    <definedName name="OSRRefD21_1_1x" localSheetId="87">'Div 5'!$D$31</definedName>
    <definedName name="OSRRefD21_1_1x" localSheetId="61">'Div 6'!$D$45</definedName>
    <definedName name="OSRRefD21_1_1x" localSheetId="2">Summary!$D$69</definedName>
    <definedName name="OSRRefD21_1_2x" localSheetId="42">'201'!$D$31</definedName>
    <definedName name="OSRRefD21_1_2x" localSheetId="43">'202'!$D$31</definedName>
    <definedName name="OSRRefD21_1_2x" localSheetId="44">'203'!$D$32</definedName>
    <definedName name="OSRRefD21_1_2x" localSheetId="45">'204'!$D$31</definedName>
    <definedName name="OSRRefD21_1_2x" localSheetId="46">'205'!$D$31</definedName>
    <definedName name="OSRRefD21_1_2x" localSheetId="47">'206'!$D$31</definedName>
    <definedName name="OSRRefD21_1_2x" localSheetId="48">'300'!$D$58</definedName>
    <definedName name="OSRRefD21_1_2x" localSheetId="49">'300 &amp; 317'!$D$64</definedName>
    <definedName name="OSRRefD21_1_2x" localSheetId="50">'301'!$D$32</definedName>
    <definedName name="OSRRefD21_1_2x" localSheetId="52">'307'!$D$33</definedName>
    <definedName name="OSRRefD21_1_2x" localSheetId="53">'308'!$D$46</definedName>
    <definedName name="OSRRefD21_1_2x" localSheetId="63">'310'!$D$34</definedName>
    <definedName name="OSRRefD21_1_2x" localSheetId="70">'310 &amp; 491'!$D$38</definedName>
    <definedName name="OSRRefD21_1_2x" localSheetId="54">'311'!$D$46</definedName>
    <definedName name="OSRRefD21_1_2x" localSheetId="57">'315'!$D$50</definedName>
    <definedName name="OSRRefD21_1_2x" localSheetId="60">'316'!$D$35</definedName>
    <definedName name="OSRRefD21_1_2x" localSheetId="62">'317'!$D$46</definedName>
    <definedName name="OSRRefD21_1_2x" localSheetId="66">'321'!$D$33</definedName>
    <definedName name="OSRRefD21_1_2x" localSheetId="67">'325'!$D$34</definedName>
    <definedName name="OSRRefD21_1_2x" localSheetId="58">'326'!$D$36</definedName>
    <definedName name="OSRRefD21_1_2x" localSheetId="51">'330'!$D$33</definedName>
    <definedName name="OSRRefD21_1_2x" localSheetId="56">'331'!$D$50</definedName>
    <definedName name="OSRRefD21_1_2x" localSheetId="59">'332'!$D$35</definedName>
    <definedName name="OSRRefD21_1_2x" localSheetId="72">'405'!$D$34</definedName>
    <definedName name="OSRRefD21_1_2x" localSheetId="73">'411'!$D$31</definedName>
    <definedName name="OSRRefD21_1_2x" localSheetId="76">'415'!$D$38</definedName>
    <definedName name="OSRRefD21_1_2x" localSheetId="77">'418'!$D$34</definedName>
    <definedName name="OSRRefD21_1_2x" localSheetId="78">'423'!$D$30</definedName>
    <definedName name="OSRRefD21_1_2x" localSheetId="83">'430'!$D$31</definedName>
    <definedName name="OSRRefD21_1_2x" localSheetId="84">'433'!$D$34</definedName>
    <definedName name="OSRRefD21_1_2x" localSheetId="85">'444'!$D$39</definedName>
    <definedName name="OSRRefD21_1_2x" localSheetId="86">'450'!$D$34</definedName>
    <definedName name="OSRRefD21_1_2x" localSheetId="71">'491'!$D$38</definedName>
    <definedName name="OSRRefD21_1_2x" localSheetId="82">'492'!$D$39</definedName>
    <definedName name="OSRRefD21_1_2x" localSheetId="88">'501'!$D$32</definedName>
    <definedName name="OSRRefD21_1_2x" localSheetId="39">'Div 2'!$D$33</definedName>
    <definedName name="OSRRefD21_1_2x" localSheetId="41">'Div 3'!$D$59</definedName>
    <definedName name="OSRRefD21_1_2x" localSheetId="69">'Div 4'!$D$41</definedName>
    <definedName name="OSRRefD21_1_2x" localSheetId="87">'Div 5'!$D$32</definedName>
    <definedName name="OSRRefD21_1_2x" localSheetId="61">'Div 6'!$D$46</definedName>
    <definedName name="OSRRefD21_1_2x" localSheetId="2">Summary!$D$70</definedName>
    <definedName name="OSRRefD21_1_3x" localSheetId="42">'201'!$D$32</definedName>
    <definedName name="OSRRefD21_1_3x" localSheetId="43">'202'!$D$32</definedName>
    <definedName name="OSRRefD21_1_3x" localSheetId="44">'203'!$D$33</definedName>
    <definedName name="OSRRefD21_1_3x" localSheetId="45">'204'!$D$32</definedName>
    <definedName name="OSRRefD21_1_3x" localSheetId="46">'205'!$D$32</definedName>
    <definedName name="OSRRefD21_1_3x" localSheetId="47">'206'!$D$32</definedName>
    <definedName name="OSRRefD21_1_3x" localSheetId="48">'300'!$D$59</definedName>
    <definedName name="OSRRefD21_1_3x" localSheetId="49">'300 &amp; 317'!$D$65</definedName>
    <definedName name="OSRRefD21_1_3x" localSheetId="50">'301'!$D$33</definedName>
    <definedName name="OSRRefD21_1_3x" localSheetId="52">'307'!$D$34</definedName>
    <definedName name="OSRRefD21_1_3x" localSheetId="53">'308'!$D$47</definedName>
    <definedName name="OSRRefD21_1_3x" localSheetId="63">'310'!$D$35</definedName>
    <definedName name="OSRRefD21_1_3x" localSheetId="70">'310 &amp; 491'!$D$39</definedName>
    <definedName name="OSRRefD21_1_3x" localSheetId="54">'311'!$D$47</definedName>
    <definedName name="OSRRefD21_1_3x" localSheetId="57">'315'!$D$51</definedName>
    <definedName name="OSRRefD21_1_3x" localSheetId="60">'316'!$D$36</definedName>
    <definedName name="OSRRefD21_1_3x" localSheetId="62">'317'!$D$47</definedName>
    <definedName name="OSRRefD21_1_3x" localSheetId="66">'321'!$D$34</definedName>
    <definedName name="OSRRefD21_1_3x" localSheetId="67">'325'!$D$35</definedName>
    <definedName name="OSRRefD21_1_3x" localSheetId="58">'326'!$D$37</definedName>
    <definedName name="OSRRefD21_1_3x" localSheetId="51">'330'!$D$34</definedName>
    <definedName name="OSRRefD21_1_3x" localSheetId="56">'331'!$D$51</definedName>
    <definedName name="OSRRefD21_1_3x" localSheetId="59">'332'!$D$36</definedName>
    <definedName name="OSRRefD21_1_3x" localSheetId="72">'405'!$D$35</definedName>
    <definedName name="OSRRefD21_1_3x" localSheetId="73">'411'!$D$32</definedName>
    <definedName name="OSRRefD21_1_3x" localSheetId="76">'415'!$D$39</definedName>
    <definedName name="OSRRefD21_1_3x" localSheetId="77">'418'!$D$35</definedName>
    <definedName name="OSRRefD21_1_3x" localSheetId="78">'423'!$D$31</definedName>
    <definedName name="OSRRefD21_1_3x" localSheetId="83">'430'!$D$32</definedName>
    <definedName name="OSRRefD21_1_3x" localSheetId="84">'433'!$D$35</definedName>
    <definedName name="OSRRefD21_1_3x" localSheetId="85">'444'!$D$40</definedName>
    <definedName name="OSRRefD21_1_3x" localSheetId="86">'450'!$D$35</definedName>
    <definedName name="OSRRefD21_1_3x" localSheetId="71">'491'!$D$39</definedName>
    <definedName name="OSRRefD21_1_3x" localSheetId="82">'492'!$D$40</definedName>
    <definedName name="OSRRefD21_1_3x" localSheetId="88">'501'!$D$33</definedName>
    <definedName name="OSRRefD21_1_3x" localSheetId="39">'Div 2'!$D$34</definedName>
    <definedName name="OSRRefD21_1_3x" localSheetId="41">'Div 3'!$D$60</definedName>
    <definedName name="OSRRefD21_1_3x" localSheetId="69">'Div 4'!$D$42</definedName>
    <definedName name="OSRRefD21_1_3x" localSheetId="87">'Div 5'!$D$33</definedName>
    <definedName name="OSRRefD21_1_3x" localSheetId="61">'Div 6'!$D$47</definedName>
    <definedName name="OSRRefD21_1_3x" localSheetId="2">Summary!$D$71</definedName>
    <definedName name="OSRRefD21_1_4x" localSheetId="42">'201'!$D$33</definedName>
    <definedName name="OSRRefD21_1_4x" localSheetId="43">'202'!$D$33</definedName>
    <definedName name="OSRRefD21_1_4x" localSheetId="44">'203'!$D$34</definedName>
    <definedName name="OSRRefD21_1_4x" localSheetId="45">'204'!$D$33</definedName>
    <definedName name="OSRRefD21_1_4x" localSheetId="46">'205'!$D$33</definedName>
    <definedName name="OSRRefD21_1_4x" localSheetId="47">'206'!$D$33</definedName>
    <definedName name="OSRRefD21_1_4x" localSheetId="48">'300'!$D$60</definedName>
    <definedName name="OSRRefD21_1_4x" localSheetId="49">'300 &amp; 317'!$D$66</definedName>
    <definedName name="OSRRefD21_1_4x" localSheetId="50">'301'!$D$34</definedName>
    <definedName name="OSRRefD21_1_4x" localSheetId="52">'307'!$D$35</definedName>
    <definedName name="OSRRefD21_1_4x" localSheetId="53">'308'!$D$48</definedName>
    <definedName name="OSRRefD21_1_4x" localSheetId="63">'310'!$D$36</definedName>
    <definedName name="OSRRefD21_1_4x" localSheetId="70">'310 &amp; 491'!$D$40</definedName>
    <definedName name="OSRRefD21_1_4x" localSheetId="54">'311'!$D$48</definedName>
    <definedName name="OSRRefD21_1_4x" localSheetId="57">'315'!$D$52</definedName>
    <definedName name="OSRRefD21_1_4x" localSheetId="60">'316'!$D$37</definedName>
    <definedName name="OSRRefD21_1_4x" localSheetId="62">'317'!$D$48</definedName>
    <definedName name="OSRRefD21_1_4x" localSheetId="66">'321'!$D$35</definedName>
    <definedName name="OSRRefD21_1_4x" localSheetId="67">'325'!$D$36</definedName>
    <definedName name="OSRRefD21_1_4x" localSheetId="58">'326'!$D$38</definedName>
    <definedName name="OSRRefD21_1_4x" localSheetId="51">'330'!$D$35</definedName>
    <definedName name="OSRRefD21_1_4x" localSheetId="56">'331'!$D$52</definedName>
    <definedName name="OSRRefD21_1_4x" localSheetId="59">'332'!$D$37</definedName>
    <definedName name="OSRRefD21_1_4x" localSheetId="72">'405'!$D$36</definedName>
    <definedName name="OSRRefD21_1_4x" localSheetId="73">'411'!$D$33</definedName>
    <definedName name="OSRRefD21_1_4x" localSheetId="76">'415'!$D$40</definedName>
    <definedName name="OSRRefD21_1_4x" localSheetId="77">'418'!$D$36</definedName>
    <definedName name="OSRRefD21_1_4x" localSheetId="78">'423'!$D$32</definedName>
    <definedName name="OSRRefD21_1_4x" localSheetId="83">'430'!$D$33</definedName>
    <definedName name="OSRRefD21_1_4x" localSheetId="84">'433'!$D$36</definedName>
    <definedName name="OSRRefD21_1_4x" localSheetId="85">'444'!$D$41</definedName>
    <definedName name="OSRRefD21_1_4x" localSheetId="86">'450'!$D$36</definedName>
    <definedName name="OSRRefD21_1_4x" localSheetId="71">'491'!$D$40</definedName>
    <definedName name="OSRRefD21_1_4x" localSheetId="82">'492'!$D$41</definedName>
    <definedName name="OSRRefD21_1_4x" localSheetId="88">'501'!$D$34</definedName>
    <definedName name="OSRRefD21_1_4x" localSheetId="39">'Div 2'!$D$35</definedName>
    <definedName name="OSRRefD21_1_4x" localSheetId="41">'Div 3'!$D$61</definedName>
    <definedName name="OSRRefD21_1_4x" localSheetId="69">'Div 4'!$D$43</definedName>
    <definedName name="OSRRefD21_1_4x" localSheetId="87">'Div 5'!$D$34</definedName>
    <definedName name="OSRRefD21_1_4x" localSheetId="61">'Div 6'!$D$48</definedName>
    <definedName name="OSRRefD21_1_4x" localSheetId="2">Summary!$D$72</definedName>
    <definedName name="OSRRefD21_1_5x" localSheetId="42">'201'!$D$34</definedName>
    <definedName name="OSRRefD21_1_5x" localSheetId="43">'202'!$D$34</definedName>
    <definedName name="OSRRefD21_1_5x" localSheetId="44">'203'!$D$35</definedName>
    <definedName name="OSRRefD21_1_5x" localSheetId="45">'204'!$D$34</definedName>
    <definedName name="OSRRefD21_1_5x" localSheetId="46">'205'!$D$34</definedName>
    <definedName name="OSRRefD21_1_5x" localSheetId="47">'206'!$D$34</definedName>
    <definedName name="OSRRefD21_1_5x" localSheetId="48">'300'!$D$61</definedName>
    <definedName name="OSRRefD21_1_5x" localSheetId="49">'300 &amp; 317'!$D$67</definedName>
    <definedName name="OSRRefD21_1_5x" localSheetId="50">'301'!$D$35</definedName>
    <definedName name="OSRRefD21_1_5x" localSheetId="52">'307'!$D$36</definedName>
    <definedName name="OSRRefD21_1_5x" localSheetId="53">'308'!$D$49</definedName>
    <definedName name="OSRRefD21_1_5x" localSheetId="63">'310'!$D$37</definedName>
    <definedName name="OSRRefD21_1_5x" localSheetId="70">'310 &amp; 491'!$D$41</definedName>
    <definedName name="OSRRefD21_1_5x" localSheetId="54">'311'!$D$49</definedName>
    <definedName name="OSRRefD21_1_5x" localSheetId="57">'315'!$D$53</definedName>
    <definedName name="OSRRefD21_1_5x" localSheetId="60">'316'!$D$38</definedName>
    <definedName name="OSRRefD21_1_5x" localSheetId="62">'317'!$D$49</definedName>
    <definedName name="OSRRefD21_1_5x" localSheetId="66">'321'!$D$36</definedName>
    <definedName name="OSRRefD21_1_5x" localSheetId="67">'325'!$D$37</definedName>
    <definedName name="OSRRefD21_1_5x" localSheetId="58">'326'!$D$39</definedName>
    <definedName name="OSRRefD21_1_5x" localSheetId="51">'330'!$D$36</definedName>
    <definedName name="OSRRefD21_1_5x" localSheetId="56">'331'!$D$53</definedName>
    <definedName name="OSRRefD21_1_5x" localSheetId="59">'332'!$D$38</definedName>
    <definedName name="OSRRefD21_1_5x" localSheetId="72">'405'!$D$37</definedName>
    <definedName name="OSRRefD21_1_5x" localSheetId="73">'411'!$D$34</definedName>
    <definedName name="OSRRefD21_1_5x" localSheetId="76">'415'!$D$41</definedName>
    <definedName name="OSRRefD21_1_5x" localSheetId="77">'418'!$D$37</definedName>
    <definedName name="OSRRefD21_1_5x" localSheetId="78">'423'!$D$33</definedName>
    <definedName name="OSRRefD21_1_5x" localSheetId="83">'430'!$D$34</definedName>
    <definedName name="OSRRefD21_1_5x" localSheetId="84">'433'!$D$37</definedName>
    <definedName name="OSRRefD21_1_5x" localSheetId="85">'444'!$D$42</definedName>
    <definedName name="OSRRefD21_1_5x" localSheetId="86">'450'!$D$37</definedName>
    <definedName name="OSRRefD21_1_5x" localSheetId="71">'491'!$D$41</definedName>
    <definedName name="OSRRefD21_1_5x" localSheetId="82">'492'!$D$42</definedName>
    <definedName name="OSRRefD21_1_5x" localSheetId="88">'501'!$D$35</definedName>
    <definedName name="OSRRefD21_1_5x" localSheetId="39">'Div 2'!$D$36</definedName>
    <definedName name="OSRRefD21_1_5x" localSheetId="41">'Div 3'!$D$62</definedName>
    <definedName name="OSRRefD21_1_5x" localSheetId="69">'Div 4'!$D$44</definedName>
    <definedName name="OSRRefD21_1_5x" localSheetId="87">'Div 5'!$D$35</definedName>
    <definedName name="OSRRefD21_1_5x" localSheetId="61">'Div 6'!$D$49</definedName>
    <definedName name="OSRRefD21_1_5x" localSheetId="2">Summary!$D$73</definedName>
    <definedName name="OSRRefD21_1_6x" localSheetId="42">'201'!$D$35</definedName>
    <definedName name="OSRRefD21_1_6x" localSheetId="43">'202'!$D$35</definedName>
    <definedName name="OSRRefD21_1_6x" localSheetId="44">'203'!$D$36</definedName>
    <definedName name="OSRRefD21_1_6x" localSheetId="45">'204'!$D$35</definedName>
    <definedName name="OSRRefD21_1_6x" localSheetId="46">'205'!$D$35</definedName>
    <definedName name="OSRRefD21_1_6x" localSheetId="47">'206'!$D$35</definedName>
    <definedName name="OSRRefD21_1_6x" localSheetId="48">'300'!$D$62</definedName>
    <definedName name="OSRRefD21_1_6x" localSheetId="49">'300 &amp; 317'!$D$68</definedName>
    <definedName name="OSRRefD21_1_6x" localSheetId="50">'301'!$D$36</definedName>
    <definedName name="OSRRefD21_1_6x" localSheetId="52">'307'!$D$37</definedName>
    <definedName name="OSRRefD21_1_6x" localSheetId="53">'308'!$D$50</definedName>
    <definedName name="OSRRefD21_1_6x" localSheetId="63">'310'!$D$38</definedName>
    <definedName name="OSRRefD21_1_6x" localSheetId="70">'310 &amp; 491'!$D$42</definedName>
    <definedName name="OSRRefD21_1_6x" localSheetId="54">'311'!$D$50</definedName>
    <definedName name="OSRRefD21_1_6x" localSheetId="57">'315'!$D$54</definedName>
    <definedName name="OSRRefD21_1_6x" localSheetId="60">'316'!$D$39</definedName>
    <definedName name="OSRRefD21_1_6x" localSheetId="62">'317'!$D$50</definedName>
    <definedName name="OSRRefD21_1_6x" localSheetId="66">'321'!$D$37</definedName>
    <definedName name="OSRRefD21_1_6x" localSheetId="67">'325'!$D$38</definedName>
    <definedName name="OSRRefD21_1_6x" localSheetId="58">'326'!$D$40</definedName>
    <definedName name="OSRRefD21_1_6x" localSheetId="51">'330'!$D$37</definedName>
    <definedName name="OSRRefD21_1_6x" localSheetId="56">'331'!$D$54</definedName>
    <definedName name="OSRRefD21_1_6x" localSheetId="59">'332'!$D$39</definedName>
    <definedName name="OSRRefD21_1_6x" localSheetId="72">'405'!$D$38</definedName>
    <definedName name="OSRRefD21_1_6x" localSheetId="73">'411'!$D$35</definedName>
    <definedName name="OSRRefD21_1_6x" localSheetId="76">'415'!$D$42</definedName>
    <definedName name="OSRRefD21_1_6x" localSheetId="77">'418'!$D$38</definedName>
    <definedName name="OSRRefD21_1_6x" localSheetId="78">'423'!$D$34</definedName>
    <definedName name="OSRRefD21_1_6x" localSheetId="83">'430'!$D$35</definedName>
    <definedName name="OSRRefD21_1_6x" localSheetId="84">'433'!$D$38</definedName>
    <definedName name="OSRRefD21_1_6x" localSheetId="85">'444'!$D$43</definedName>
    <definedName name="OSRRefD21_1_6x" localSheetId="86">'450'!$D$38</definedName>
    <definedName name="OSRRefD21_1_6x" localSheetId="71">'491'!$D$42</definedName>
    <definedName name="OSRRefD21_1_6x" localSheetId="82">'492'!$D$43</definedName>
    <definedName name="OSRRefD21_1_6x" localSheetId="88">'501'!$D$36</definedName>
    <definedName name="OSRRefD21_1_6x" localSheetId="39">'Div 2'!$D$37</definedName>
    <definedName name="OSRRefD21_1_6x" localSheetId="41">'Div 3'!$D$63</definedName>
    <definedName name="OSRRefD21_1_6x" localSheetId="69">'Div 4'!$D$45</definedName>
    <definedName name="OSRRefD21_1_6x" localSheetId="87">'Div 5'!$D$36</definedName>
    <definedName name="OSRRefD21_1_6x" localSheetId="61">'Div 6'!$D$50</definedName>
    <definedName name="OSRRefD21_1_6x" localSheetId="2">Summary!$D$74</definedName>
    <definedName name="OSRRefD21_1_7x" localSheetId="42">'201'!$D$36</definedName>
    <definedName name="OSRRefD21_1_7x" localSheetId="43">'202'!$D$36</definedName>
    <definedName name="OSRRefD21_1_7x" localSheetId="44">'203'!$D$37</definedName>
    <definedName name="OSRRefD21_1_7x" localSheetId="45">'204'!$D$36</definedName>
    <definedName name="OSRRefD21_1_7x" localSheetId="46">'205'!$D$36</definedName>
    <definedName name="OSRRefD21_1_7x" localSheetId="47">'206'!$D$36</definedName>
    <definedName name="OSRRefD21_1_7x" localSheetId="48">'300'!$D$63</definedName>
    <definedName name="OSRRefD21_1_7x" localSheetId="49">'300 &amp; 317'!$D$69</definedName>
    <definedName name="OSRRefD21_1_7x" localSheetId="50">'301'!$D$37</definedName>
    <definedName name="OSRRefD21_1_7x" localSheetId="52">'307'!$D$38</definedName>
    <definedName name="OSRRefD21_1_7x" localSheetId="53">'308'!$D$51</definedName>
    <definedName name="OSRRefD21_1_7x" localSheetId="63">'310'!$D$39</definedName>
    <definedName name="OSRRefD21_1_7x" localSheetId="70">'310 &amp; 491'!$D$43</definedName>
    <definedName name="OSRRefD21_1_7x" localSheetId="54">'311'!$D$51</definedName>
    <definedName name="OSRRefD21_1_7x" localSheetId="57">'315'!$D$55</definedName>
    <definedName name="OSRRefD21_1_7x" localSheetId="60">'316'!$D$40</definedName>
    <definedName name="OSRRefD21_1_7x" localSheetId="62">'317'!$D$51</definedName>
    <definedName name="OSRRefD21_1_7x" localSheetId="66">'321'!$D$38</definedName>
    <definedName name="OSRRefD21_1_7x" localSheetId="67">'325'!$D$39</definedName>
    <definedName name="OSRRefD21_1_7x" localSheetId="58">'326'!$D$41</definedName>
    <definedName name="OSRRefD21_1_7x" localSheetId="51">'330'!$D$38</definedName>
    <definedName name="OSRRefD21_1_7x" localSheetId="56">'331'!$D$55</definedName>
    <definedName name="OSRRefD21_1_7x" localSheetId="59">'332'!$D$40</definedName>
    <definedName name="OSRRefD21_1_7x" localSheetId="72">'405'!$D$39</definedName>
    <definedName name="OSRRefD21_1_7x" localSheetId="73">'411'!$D$36</definedName>
    <definedName name="OSRRefD21_1_7x" localSheetId="76">'415'!$D$43</definedName>
    <definedName name="OSRRefD21_1_7x" localSheetId="77">'418'!$D$39</definedName>
    <definedName name="OSRRefD21_1_7x" localSheetId="78">'423'!$D$35</definedName>
    <definedName name="OSRRefD21_1_7x" localSheetId="83">'430'!$D$36</definedName>
    <definedName name="OSRRefD21_1_7x" localSheetId="84">'433'!$D$39</definedName>
    <definedName name="OSRRefD21_1_7x" localSheetId="85">'444'!$D$44</definedName>
    <definedName name="OSRRefD21_1_7x" localSheetId="86">'450'!$D$39</definedName>
    <definedName name="OSRRefD21_1_7x" localSheetId="71">'491'!$D$43</definedName>
    <definedName name="OSRRefD21_1_7x" localSheetId="82">'492'!$D$44</definedName>
    <definedName name="OSRRefD21_1_7x" localSheetId="88">'501'!$D$37</definedName>
    <definedName name="OSRRefD21_1_7x" localSheetId="39">'Div 2'!$D$38</definedName>
    <definedName name="OSRRefD21_1_7x" localSheetId="41">'Div 3'!$D$64</definedName>
    <definedName name="OSRRefD21_1_7x" localSheetId="69">'Div 4'!$D$46</definedName>
    <definedName name="OSRRefD21_1_7x" localSheetId="87">'Div 5'!$D$37</definedName>
    <definedName name="OSRRefD21_1_7x" localSheetId="61">'Div 6'!$D$51</definedName>
    <definedName name="OSRRefD21_1_7x" localSheetId="2">Summary!$D$75</definedName>
    <definedName name="OSRRefD21_1_8x" localSheetId="42">'201'!$D$37</definedName>
    <definedName name="OSRRefD21_1_8x" localSheetId="43">'202'!$D$37</definedName>
    <definedName name="OSRRefD21_1_8x" localSheetId="44">'203'!$D$38</definedName>
    <definedName name="OSRRefD21_1_8x" localSheetId="45">'204'!$D$37</definedName>
    <definedName name="OSRRefD21_1_8x" localSheetId="46">'205'!$D$37</definedName>
    <definedName name="OSRRefD21_1_8x" localSheetId="47">'206'!$D$37</definedName>
    <definedName name="OSRRefD21_1_8x" localSheetId="48">'300'!$D$64</definedName>
    <definedName name="OSRRefD21_1_8x" localSheetId="49">'300 &amp; 317'!$D$70</definedName>
    <definedName name="OSRRefD21_1_8x" localSheetId="50">'301'!$D$38</definedName>
    <definedName name="OSRRefD21_1_8x" localSheetId="52">'307'!$D$39</definedName>
    <definedName name="OSRRefD21_1_8x" localSheetId="53">'308'!$D$52</definedName>
    <definedName name="OSRRefD21_1_8x" localSheetId="63">'310'!$D$40</definedName>
    <definedName name="OSRRefD21_1_8x" localSheetId="70">'310 &amp; 491'!$D$44</definedName>
    <definedName name="OSRRefD21_1_8x" localSheetId="54">'311'!$D$52</definedName>
    <definedName name="OSRRefD21_1_8x" localSheetId="57">'315'!$D$56</definedName>
    <definedName name="OSRRefD21_1_8x" localSheetId="60">'316'!$D$41</definedName>
    <definedName name="OSRRefD21_1_8x" localSheetId="62">'317'!$D$52</definedName>
    <definedName name="OSRRefD21_1_8x" localSheetId="66">'321'!$D$39</definedName>
    <definedName name="OSRRefD21_1_8x" localSheetId="67">'325'!$D$40</definedName>
    <definedName name="OSRRefD21_1_8x" localSheetId="58">'326'!$D$42</definedName>
    <definedName name="OSRRefD21_1_8x" localSheetId="51">'330'!$D$39</definedName>
    <definedName name="OSRRefD21_1_8x" localSheetId="56">'331'!$D$56</definedName>
    <definedName name="OSRRefD21_1_8x" localSheetId="59">'332'!$D$41</definedName>
    <definedName name="OSRRefD21_1_8x" localSheetId="72">'405'!$D$40</definedName>
    <definedName name="OSRRefD21_1_8x" localSheetId="73">'411'!$D$37</definedName>
    <definedName name="OSRRefD21_1_8x" localSheetId="76">'415'!$D$44</definedName>
    <definedName name="OSRRefD21_1_8x" localSheetId="77">'418'!$D$40</definedName>
    <definedName name="OSRRefD21_1_8x" localSheetId="78">'423'!$D$36</definedName>
    <definedName name="OSRRefD21_1_8x" localSheetId="83">'430'!$D$37</definedName>
    <definedName name="OSRRefD21_1_8x" localSheetId="84">'433'!$D$40</definedName>
    <definedName name="OSRRefD21_1_8x" localSheetId="85">'444'!$D$45</definedName>
    <definedName name="OSRRefD21_1_8x" localSheetId="86">'450'!$D$40</definedName>
    <definedName name="OSRRefD21_1_8x" localSheetId="71">'491'!$D$44</definedName>
    <definedName name="OSRRefD21_1_8x" localSheetId="82">'492'!$D$45</definedName>
    <definedName name="OSRRefD21_1_8x" localSheetId="88">'501'!$D$38</definedName>
    <definedName name="OSRRefD21_1_8x" localSheetId="39">'Div 2'!$D$39</definedName>
    <definedName name="OSRRefD21_1_8x" localSheetId="41">'Div 3'!$D$65</definedName>
    <definedName name="OSRRefD21_1_8x" localSheetId="69">'Div 4'!$D$47</definedName>
    <definedName name="OSRRefD21_1_8x" localSheetId="87">'Div 5'!$D$38</definedName>
    <definedName name="OSRRefD21_1_8x" localSheetId="61">'Div 6'!$D$52</definedName>
    <definedName name="OSRRefD21_1_8x" localSheetId="2">Summary!$D$76</definedName>
    <definedName name="OSRRefD21_1_9x" localSheetId="42">'201'!$D$38</definedName>
    <definedName name="OSRRefD21_1_9x" localSheetId="43">'202'!$D$38</definedName>
    <definedName name="OSRRefD21_1_9x" localSheetId="44">'203'!$D$39</definedName>
    <definedName name="OSRRefD21_1_9x" localSheetId="45">'204'!$D$38</definedName>
    <definedName name="OSRRefD21_1_9x" localSheetId="46">'205'!$D$38</definedName>
    <definedName name="OSRRefD21_1_9x" localSheetId="47">'206'!$D$38</definedName>
    <definedName name="OSRRefD21_1_9x" localSheetId="48">'300'!$D$65</definedName>
    <definedName name="OSRRefD21_1_9x" localSheetId="49">'300 &amp; 317'!$D$71</definedName>
    <definedName name="OSRRefD21_1_9x" localSheetId="50">'301'!$D$39</definedName>
    <definedName name="OSRRefD21_1_9x" localSheetId="52">'307'!$D$40</definedName>
    <definedName name="OSRRefD21_1_9x" localSheetId="53">'308'!$D$53</definedName>
    <definedName name="OSRRefD21_1_9x" localSheetId="63">'310'!$D$41</definedName>
    <definedName name="OSRRefD21_1_9x" localSheetId="70">'310 &amp; 491'!$D$45</definedName>
    <definedName name="OSRRefD21_1_9x" localSheetId="54">'311'!$D$53</definedName>
    <definedName name="OSRRefD21_1_9x" localSheetId="57">'315'!$D$57</definedName>
    <definedName name="OSRRefD21_1_9x" localSheetId="60">'316'!$D$42</definedName>
    <definedName name="OSRRefD21_1_9x" localSheetId="62">'317'!$D$53</definedName>
    <definedName name="OSRRefD21_1_9x" localSheetId="66">'321'!$D$40</definedName>
    <definedName name="OSRRefD21_1_9x" localSheetId="67">'325'!$D$41</definedName>
    <definedName name="OSRRefD21_1_9x" localSheetId="58">'326'!$D$43</definedName>
    <definedName name="OSRRefD21_1_9x" localSheetId="51">'330'!$D$40</definedName>
    <definedName name="OSRRefD21_1_9x" localSheetId="56">'331'!$D$57</definedName>
    <definedName name="OSRRefD21_1_9x" localSheetId="59">'332'!$D$42</definedName>
    <definedName name="OSRRefD21_1_9x" localSheetId="72">'405'!$D$41</definedName>
    <definedName name="OSRRefD21_1_9x" localSheetId="73">'411'!$D$38</definedName>
    <definedName name="OSRRefD21_1_9x" localSheetId="76">'415'!$D$45</definedName>
    <definedName name="OSRRefD21_1_9x" localSheetId="77">'418'!$D$41</definedName>
    <definedName name="OSRRefD21_1_9x" localSheetId="78">'423'!$D$37</definedName>
    <definedName name="OSRRefD21_1_9x" localSheetId="83">'430'!$D$38</definedName>
    <definedName name="OSRRefD21_1_9x" localSheetId="84">'433'!$D$41</definedName>
    <definedName name="OSRRefD21_1_9x" localSheetId="85">'444'!$D$46</definedName>
    <definedName name="OSRRefD21_1_9x" localSheetId="86">'450'!$D$41</definedName>
    <definedName name="OSRRefD21_1_9x" localSheetId="71">'491'!$D$45</definedName>
    <definedName name="OSRRefD21_1_9x" localSheetId="82">'492'!$D$46</definedName>
    <definedName name="OSRRefD21_1_9x" localSheetId="88">'501'!$D$39</definedName>
    <definedName name="OSRRefD21_1_9x" localSheetId="39">'Div 2'!$D$40</definedName>
    <definedName name="OSRRefD21_1_9x" localSheetId="41">'Div 3'!$D$66</definedName>
    <definedName name="OSRRefD21_1_9x" localSheetId="69">'Div 4'!$D$48</definedName>
    <definedName name="OSRRefD21_1_9x" localSheetId="87">'Div 5'!$D$39</definedName>
    <definedName name="OSRRefD21_1_9x" localSheetId="61">'Div 6'!$D$53</definedName>
    <definedName name="OSRRefD21_1_9x" localSheetId="2">Summary!$D$77</definedName>
    <definedName name="OSRRefD21_10_0x" localSheetId="42">'201'!$D$58</definedName>
    <definedName name="OSRRefD21_10_0x" localSheetId="43">'202'!$D$58</definedName>
    <definedName name="OSRRefD21_10_0x" localSheetId="44">'203'!$D$59</definedName>
    <definedName name="OSRRefD21_10_0x" localSheetId="48">'300'!$D$85</definedName>
    <definedName name="OSRRefD21_10_0x" localSheetId="49">'300 &amp; 317'!$D$91</definedName>
    <definedName name="OSRRefD21_10_0x" localSheetId="50">'301'!$D$58</definedName>
    <definedName name="OSRRefD21_10_0x" localSheetId="53">'308'!$D$74</definedName>
    <definedName name="OSRRefD21_10_0x" localSheetId="63">'310'!$D$60</definedName>
    <definedName name="OSRRefD21_10_0x" localSheetId="70">'310 &amp; 491'!$D$65</definedName>
    <definedName name="OSRRefD21_10_0x" localSheetId="54">'311'!$D$74</definedName>
    <definedName name="OSRRefD21_10_0x" localSheetId="57">'315'!$D$76</definedName>
    <definedName name="OSRRefD21_10_0x" localSheetId="66">'321'!$D$60</definedName>
    <definedName name="OSRRefD21_10_0x" localSheetId="67">'325'!$D$60</definedName>
    <definedName name="OSRRefD21_10_0x" localSheetId="58">'326'!$D$61</definedName>
    <definedName name="OSRRefD21_10_0x" localSheetId="56">'331'!$D$77</definedName>
    <definedName name="OSRRefD21_10_0x" localSheetId="72">'405'!$D$63</definedName>
    <definedName name="OSRRefD21_10_0x" localSheetId="73">'411'!$D$60</definedName>
    <definedName name="OSRRefD21_10_0x" localSheetId="76">'415'!$D$64</definedName>
    <definedName name="OSRRefD21_10_0x" localSheetId="77">'418'!$D$64</definedName>
    <definedName name="OSRRefD21_10_0x" localSheetId="84">'433'!$D$59</definedName>
    <definedName name="OSRRefD21_10_0x" localSheetId="85">'444'!$D$64</definedName>
    <definedName name="OSRRefD21_10_0x" localSheetId="86">'450'!$D$59</definedName>
    <definedName name="OSRRefD21_10_0x" localSheetId="71">'491'!$D$65</definedName>
    <definedName name="OSRRefD21_10_0x" localSheetId="82">'492'!$D$64</definedName>
    <definedName name="OSRRefD21_10_0x" localSheetId="88">'501'!$D$59</definedName>
    <definedName name="OSRRefD21_10_0x" localSheetId="39">'Div 2'!$D$59</definedName>
    <definedName name="OSRRefD21_10_0x" localSheetId="41">'Div 3'!$D$86</definedName>
    <definedName name="OSRRefD21_10_0x" localSheetId="69">'Div 4'!$D$68</definedName>
    <definedName name="OSRRefD21_10_0x" localSheetId="87">'Div 5'!$D$59</definedName>
    <definedName name="OSRRefD21_10_0x" localSheetId="2">Summary!$D$97</definedName>
    <definedName name="OSRRefD21_10_1x" localSheetId="48">'300'!$D$86</definedName>
    <definedName name="OSRRefD21_10_1x" localSheetId="49">'300 &amp; 317'!$D$92</definedName>
    <definedName name="OSRRefD21_10_1x" localSheetId="53">'308'!$D$75</definedName>
    <definedName name="OSRRefD21_10_1x" localSheetId="54">'311'!$D$75</definedName>
    <definedName name="OSRRefD21_10_1x" localSheetId="67">'325'!$D$61</definedName>
    <definedName name="OSRRefD21_10_1x" localSheetId="58">'326'!$D$62</definedName>
    <definedName name="OSRRefD21_10_1x" localSheetId="41">'Div 3'!$D$87</definedName>
    <definedName name="OSRRefD21_10_1x" localSheetId="2">Summary!$D$98</definedName>
    <definedName name="OSRRefD21_10x_0" localSheetId="42">'201'!$D$58</definedName>
    <definedName name="OSRRefD21_10x_0" localSheetId="43">'202'!$D$58</definedName>
    <definedName name="OSRRefD21_10x_0" localSheetId="44">'203'!$D$59</definedName>
    <definedName name="OSRRefD21_10x_0" localSheetId="48">'300'!$D$85:$D$86</definedName>
    <definedName name="OSRRefD21_10x_0" localSheetId="49">'300 &amp; 317'!$D$91:$D$92</definedName>
    <definedName name="OSRRefD21_10x_0" localSheetId="50">'301'!$D$58</definedName>
    <definedName name="OSRRefD21_10x_0" localSheetId="53">'308'!$D$74:$D$75</definedName>
    <definedName name="OSRRefD21_10x_0" localSheetId="63">'310'!$D$60</definedName>
    <definedName name="OSRRefD21_10x_0" localSheetId="70">'310 &amp; 491'!$D$65</definedName>
    <definedName name="OSRRefD21_10x_0" localSheetId="54">'311'!$D$74:$D$75</definedName>
    <definedName name="OSRRefD21_10x_0" localSheetId="57">'315'!$D$76</definedName>
    <definedName name="OSRRefD21_10x_0" localSheetId="66">'321'!$D$60</definedName>
    <definedName name="OSRRefD21_10x_0" localSheetId="67">'325'!$D$60:$D$61</definedName>
    <definedName name="OSRRefD21_10x_0" localSheetId="58">'326'!$D$61:$D$62</definedName>
    <definedName name="OSRRefD21_10x_0" localSheetId="56">'331'!$D$77</definedName>
    <definedName name="OSRRefD21_10x_0" localSheetId="72">'405'!$D$63</definedName>
    <definedName name="OSRRefD21_10x_0" localSheetId="73">'411'!$D$60</definedName>
    <definedName name="OSRRefD21_10x_0" localSheetId="76">'415'!$D$64</definedName>
    <definedName name="OSRRefD21_10x_0" localSheetId="77">'418'!$D$64</definedName>
    <definedName name="OSRRefD21_10x_0" localSheetId="84">'433'!$D$59</definedName>
    <definedName name="OSRRefD21_10x_0" localSheetId="85">'444'!$D$64</definedName>
    <definedName name="OSRRefD21_10x_0" localSheetId="86">'450'!$D$59</definedName>
    <definedName name="OSRRefD21_10x_0" localSheetId="71">'491'!$D$65</definedName>
    <definedName name="OSRRefD21_10x_0" localSheetId="82">'492'!$D$64</definedName>
    <definedName name="OSRRefD21_10x_0" localSheetId="88">'501'!$D$59</definedName>
    <definedName name="OSRRefD21_10x_0" localSheetId="39">'Div 2'!$D$59</definedName>
    <definedName name="OSRRefD21_10x_0" localSheetId="41">'Div 3'!$D$86:$D$87</definedName>
    <definedName name="OSRRefD21_10x_0" localSheetId="69">'Div 4'!$D$68</definedName>
    <definedName name="OSRRefD21_10x_0" localSheetId="87">'Div 5'!$D$59</definedName>
    <definedName name="OSRRefD21_10x_0" localSheetId="2">Summary!$D$97:$D$98</definedName>
    <definedName name="OSRRefD21_11_0x" localSheetId="42">'201'!$D$60</definedName>
    <definedName name="OSRRefD21_11_0x" localSheetId="43">'202'!$D$60</definedName>
    <definedName name="OSRRefD21_11_0x" localSheetId="44">'203'!$D$61</definedName>
    <definedName name="OSRRefD21_11_0x" localSheetId="48">'300'!$D$88</definedName>
    <definedName name="OSRRefD21_11_0x" localSheetId="49">'300 &amp; 317'!$D$94</definedName>
    <definedName name="OSRRefD21_11_0x" localSheetId="50">'301'!$D$60</definedName>
    <definedName name="OSRRefD21_11_0x" localSheetId="53">'308'!$D$77</definedName>
    <definedName name="OSRRefD21_11_0x" localSheetId="63">'310'!$D$62</definedName>
    <definedName name="OSRRefD21_11_0x" localSheetId="70">'310 &amp; 491'!$D$67</definedName>
    <definedName name="OSRRefD21_11_0x" localSheetId="54">'311'!$D$77</definedName>
    <definedName name="OSRRefD21_11_0x" localSheetId="57">'315'!$D$78</definedName>
    <definedName name="OSRRefD21_11_0x" localSheetId="66">'321'!$D$62</definedName>
    <definedName name="OSRRefD21_11_0x" localSheetId="67">'325'!$D$63</definedName>
    <definedName name="OSRRefD21_11_0x" localSheetId="58">'326'!$D$64</definedName>
    <definedName name="OSRRefD21_11_0x" localSheetId="56">'331'!$D$79</definedName>
    <definedName name="OSRRefD21_11_0x" localSheetId="72">'405'!$D$65</definedName>
    <definedName name="OSRRefD21_11_0x" localSheetId="73">'411'!$D$62</definedName>
    <definedName name="OSRRefD21_11_0x" localSheetId="76">'415'!$D$66</definedName>
    <definedName name="OSRRefD21_11_0x" localSheetId="77">'418'!$D$66</definedName>
    <definedName name="OSRRefD21_11_0x" localSheetId="84">'433'!$D$61</definedName>
    <definedName name="OSRRefD21_11_0x" localSheetId="85">'444'!$D$66</definedName>
    <definedName name="OSRRefD21_11_0x" localSheetId="86">'450'!$D$61</definedName>
    <definedName name="OSRRefD21_11_0x" localSheetId="71">'491'!$D$67</definedName>
    <definedName name="OSRRefD21_11_0x" localSheetId="82">'492'!$D$66</definedName>
    <definedName name="OSRRefD21_11_0x" localSheetId="88">'501'!$D$61</definedName>
    <definedName name="OSRRefD21_11_0x" localSheetId="39">'Div 2'!$D$61</definedName>
    <definedName name="OSRRefD21_11_0x" localSheetId="41">'Div 3'!$D$89</definedName>
    <definedName name="OSRRefD21_11_0x" localSheetId="69">'Div 4'!$D$70</definedName>
    <definedName name="OSRRefD21_11_0x" localSheetId="87">'Div 5'!$D$61</definedName>
    <definedName name="OSRRefD21_11_0x" localSheetId="2">Summary!$D$100</definedName>
    <definedName name="OSRRefD21_11_1x" localSheetId="44">'203'!$D$62</definedName>
    <definedName name="OSRRefD21_11_1x" localSheetId="48">'300'!$D$89</definedName>
    <definedName name="OSRRefD21_11_1x" localSheetId="49">'300 &amp; 317'!$D$95</definedName>
    <definedName name="OSRRefD21_11_1x" localSheetId="53">'308'!$D$78</definedName>
    <definedName name="OSRRefD21_11_1x" localSheetId="63">'310'!$D$63</definedName>
    <definedName name="OSRRefD21_11_1x" localSheetId="54">'311'!$D$78</definedName>
    <definedName name="OSRRefD21_11_1x" localSheetId="57">'315'!$D$79</definedName>
    <definedName name="OSRRefD21_11_1x" localSheetId="67">'325'!$D$64</definedName>
    <definedName name="OSRRefD21_11_1x" localSheetId="58">'326'!$D$65</definedName>
    <definedName name="OSRRefD21_11_1x" localSheetId="72">'405'!$D$66</definedName>
    <definedName name="OSRRefD21_11_1x" localSheetId="76">'415'!$D$67</definedName>
    <definedName name="OSRRefD21_11_1x" localSheetId="77">'418'!$D$67</definedName>
    <definedName name="OSRRefD21_11_1x" localSheetId="84">'433'!$D$62</definedName>
    <definedName name="OSRRefD21_11_1x" localSheetId="85">'444'!$D$67</definedName>
    <definedName name="OSRRefD21_11_1x" localSheetId="86">'450'!$D$62</definedName>
    <definedName name="OSRRefD21_11_1x" localSheetId="88">'501'!$D$62</definedName>
    <definedName name="OSRRefD21_11_1x" localSheetId="41">'Div 3'!$D$90</definedName>
    <definedName name="OSRRefD21_11_1x" localSheetId="87">'Div 5'!$D$62</definedName>
    <definedName name="OSRRefD21_11_1x" localSheetId="2">Summary!$D$101</definedName>
    <definedName name="OSRRefD21_11_2x" localSheetId="44">'203'!$D$63</definedName>
    <definedName name="OSRRefD21_11_2x" localSheetId="63">'310'!$D$64</definedName>
    <definedName name="OSRRefD21_11_2x" localSheetId="57">'315'!$D$80</definedName>
    <definedName name="OSRRefD21_11_2x" localSheetId="72">'405'!$D$67</definedName>
    <definedName name="OSRRefD21_11_2x" localSheetId="77">'418'!$D$68</definedName>
    <definedName name="OSRRefD21_11_2x" localSheetId="84">'433'!$D$63</definedName>
    <definedName name="OSRRefD21_11_2x" localSheetId="2">Summary!$D$102</definedName>
    <definedName name="OSRRefD21_11_3x" localSheetId="44">'203'!$D$64</definedName>
    <definedName name="OSRRefD21_11_3x" localSheetId="72">'405'!$D$68</definedName>
    <definedName name="OSRRefD21_11_3x" localSheetId="77">'418'!$D$69</definedName>
    <definedName name="OSRRefD21_11_4x" localSheetId="72">'405'!$D$69</definedName>
    <definedName name="OSRRefD21_11_4x" localSheetId="77">'418'!$D$70</definedName>
    <definedName name="OSRRefD21_11_5x" localSheetId="72">'405'!$D$70</definedName>
    <definedName name="OSRRefD21_11_5x" localSheetId="77">'418'!$D$71</definedName>
    <definedName name="OSRRefD21_11_6x" localSheetId="72">'405'!$D$71</definedName>
    <definedName name="OSRRefD21_11_6x" localSheetId="77">'418'!$D$72</definedName>
    <definedName name="OSRRefD21_11x_0" localSheetId="42">'201'!$D$60</definedName>
    <definedName name="OSRRefD21_11x_0" localSheetId="43">'202'!$D$60</definedName>
    <definedName name="OSRRefD21_11x_0" localSheetId="44">'203'!$D$61:$D$64</definedName>
    <definedName name="OSRRefD21_11x_0" localSheetId="48">'300'!$D$88:$D$89</definedName>
    <definedName name="OSRRefD21_11x_0" localSheetId="49">'300 &amp; 317'!$D$94:$D$95</definedName>
    <definedName name="OSRRefD21_11x_0" localSheetId="50">'301'!$D$60</definedName>
    <definedName name="OSRRefD21_11x_0" localSheetId="53">'308'!$D$77:$D$78</definedName>
    <definedName name="OSRRefD21_11x_0" localSheetId="63">'310'!$D$62:$D$64</definedName>
    <definedName name="OSRRefD21_11x_0" localSheetId="70">'310 &amp; 491'!$D$67</definedName>
    <definedName name="OSRRefD21_11x_0" localSheetId="54">'311'!$D$77:$D$78</definedName>
    <definedName name="OSRRefD21_11x_0" localSheetId="57">'315'!$D$78:$D$80</definedName>
    <definedName name="OSRRefD21_11x_0" localSheetId="66">'321'!$D$62</definedName>
    <definedName name="OSRRefD21_11x_0" localSheetId="67">'325'!$D$63:$D$64</definedName>
    <definedName name="OSRRefD21_11x_0" localSheetId="58">'326'!$D$64:$D$65</definedName>
    <definedName name="OSRRefD21_11x_0" localSheetId="56">'331'!$D$79</definedName>
    <definedName name="OSRRefD21_11x_0" localSheetId="72">'405'!$D$65:$D$71</definedName>
    <definedName name="OSRRefD21_11x_0" localSheetId="73">'411'!$D$62</definedName>
    <definedName name="OSRRefD21_11x_0" localSheetId="76">'415'!$D$66:$D$67</definedName>
    <definedName name="OSRRefD21_11x_0" localSheetId="77">'418'!$D$66:$D$72</definedName>
    <definedName name="OSRRefD21_11x_0" localSheetId="84">'433'!$D$61:$D$63</definedName>
    <definedName name="OSRRefD21_11x_0" localSheetId="85">'444'!$D$66:$D$67</definedName>
    <definedName name="OSRRefD21_11x_0" localSheetId="86">'450'!$D$61:$D$62</definedName>
    <definedName name="OSRRefD21_11x_0" localSheetId="71">'491'!$D$67</definedName>
    <definedName name="OSRRefD21_11x_0" localSheetId="82">'492'!$D$66</definedName>
    <definedName name="OSRRefD21_11x_0" localSheetId="88">'501'!$D$61:$D$62</definedName>
    <definedName name="OSRRefD21_11x_0" localSheetId="39">'Div 2'!$D$61</definedName>
    <definedName name="OSRRefD21_11x_0" localSheetId="41">'Div 3'!$D$89:$D$90</definedName>
    <definedName name="OSRRefD21_11x_0" localSheetId="69">'Div 4'!$D$70</definedName>
    <definedName name="OSRRefD21_11x_0" localSheetId="87">'Div 5'!$D$61:$D$62</definedName>
    <definedName name="OSRRefD21_11x_0" localSheetId="2">Summary!$D$100:$D$102</definedName>
    <definedName name="OSRRefD21_12_0x" localSheetId="42">'201'!$D$62</definedName>
    <definedName name="OSRRefD21_12_0x" localSheetId="44">'203'!$D$66</definedName>
    <definedName name="OSRRefD21_12_0x" localSheetId="48">'300'!$D$91</definedName>
    <definedName name="OSRRefD21_12_0x" localSheetId="49">'300 &amp; 317'!$D$97</definedName>
    <definedName name="OSRRefD21_12_0x" localSheetId="50">'301'!$D$62</definedName>
    <definedName name="OSRRefD21_12_0x" localSheetId="53">'308'!$D$80</definedName>
    <definedName name="OSRRefD21_12_0x" localSheetId="63">'310'!$D$66</definedName>
    <definedName name="OSRRefD21_12_0x" localSheetId="70">'310 &amp; 491'!$D$69</definedName>
    <definedName name="OSRRefD21_12_0x" localSheetId="54">'311'!$D$80</definedName>
    <definedName name="OSRRefD21_12_0x" localSheetId="57">'315'!$D$82</definedName>
    <definedName name="OSRRefD21_12_0x" localSheetId="67">'325'!$D$66</definedName>
    <definedName name="OSRRefD21_12_0x" localSheetId="58">'326'!$D$67</definedName>
    <definedName name="OSRRefD21_12_0x" localSheetId="56">'331'!$D$81</definedName>
    <definedName name="OSRRefD21_12_0x" localSheetId="72">'405'!$D$73</definedName>
    <definedName name="OSRRefD21_12_0x" localSheetId="73">'411'!$D$64</definedName>
    <definedName name="OSRRefD21_12_0x" localSheetId="76">'415'!$D$69</definedName>
    <definedName name="OSRRefD21_12_0x" localSheetId="77">'418'!$D$74</definedName>
    <definedName name="OSRRefD21_12_0x" localSheetId="84">'433'!$D$65</definedName>
    <definedName name="OSRRefD21_12_0x" localSheetId="85">'444'!$D$69</definedName>
    <definedName name="OSRRefD21_12_0x" localSheetId="86">'450'!$D$64</definedName>
    <definedName name="OSRRefD21_12_0x" localSheetId="71">'491'!$D$69</definedName>
    <definedName name="OSRRefD21_12_0x" localSheetId="82">'492'!$D$68</definedName>
    <definedName name="OSRRefD21_12_0x" localSheetId="88">'501'!$D$64</definedName>
    <definedName name="OSRRefD21_12_0x" localSheetId="39">'Div 2'!$D$63</definedName>
    <definedName name="OSRRefD21_12_0x" localSheetId="41">'Div 3'!$D$92</definedName>
    <definedName name="OSRRefD21_12_0x" localSheetId="69">'Div 4'!$D$72</definedName>
    <definedName name="OSRRefD21_12_0x" localSheetId="87">'Div 5'!$D$64</definedName>
    <definedName name="OSRRefD21_12_0x" localSheetId="2">Summary!$D$104</definedName>
    <definedName name="OSRRefD21_12_1x" localSheetId="42">'201'!$D$63</definedName>
    <definedName name="OSRRefD21_12_1x" localSheetId="70">'310 &amp; 491'!$D$70</definedName>
    <definedName name="OSRRefD21_12_1x" localSheetId="57">'315'!$D$83</definedName>
    <definedName name="OSRRefD21_12_1x" localSheetId="67">'325'!$D$67</definedName>
    <definedName name="OSRRefD21_12_1x" localSheetId="58">'326'!$D$68</definedName>
    <definedName name="OSRRefD21_12_1x" localSheetId="56">'331'!$D$82</definedName>
    <definedName name="OSRRefD21_12_1x" localSheetId="76">'415'!$D$70</definedName>
    <definedName name="OSRRefD21_12_1x" localSheetId="77">'418'!$D$75</definedName>
    <definedName name="OSRRefD21_12_1x" localSheetId="84">'433'!$D$66</definedName>
    <definedName name="OSRRefD21_12_1x" localSheetId="85">'444'!$D$70</definedName>
    <definedName name="OSRRefD21_12_1x" localSheetId="86">'450'!$D$65</definedName>
    <definedName name="OSRRefD21_12_1x" localSheetId="71">'491'!$D$70</definedName>
    <definedName name="OSRRefD21_12_1x" localSheetId="82">'492'!$D$69</definedName>
    <definedName name="OSRRefD21_12_1x" localSheetId="39">'Div 2'!$D$64</definedName>
    <definedName name="OSRRefD21_12_2x" localSheetId="70">'310 &amp; 491'!$D$71</definedName>
    <definedName name="OSRRefD21_12_2x" localSheetId="67">'325'!$D$68</definedName>
    <definedName name="OSRRefD21_12_2x" localSheetId="76">'415'!$D$71</definedName>
    <definedName name="OSRRefD21_12_2x" localSheetId="84">'433'!$D$67</definedName>
    <definedName name="OSRRefD21_12_2x" localSheetId="85">'444'!$D$71</definedName>
    <definedName name="OSRRefD21_12_2x" localSheetId="86">'450'!$D$66</definedName>
    <definedName name="OSRRefD21_12_2x" localSheetId="71">'491'!$D$71</definedName>
    <definedName name="OSRRefD21_12_2x" localSheetId="82">'492'!$D$70</definedName>
    <definedName name="OSRRefD21_12_2x" localSheetId="39">'Div 2'!$D$65</definedName>
    <definedName name="OSRRefD21_12_3x" localSheetId="70">'310 &amp; 491'!$D$72</definedName>
    <definedName name="OSRRefD21_12_3x" localSheetId="67">'325'!$D$69</definedName>
    <definedName name="OSRRefD21_12_3x" localSheetId="76">'415'!$D$72</definedName>
    <definedName name="OSRRefD21_12_3x" localSheetId="84">'433'!$D$68</definedName>
    <definedName name="OSRRefD21_12_3x" localSheetId="85">'444'!$D$72</definedName>
    <definedName name="OSRRefD21_12_3x" localSheetId="86">'450'!$D$67</definedName>
    <definedName name="OSRRefD21_12_3x" localSheetId="39">'Div 2'!$D$66</definedName>
    <definedName name="OSRRefD21_12_4x" localSheetId="67">'325'!$D$70</definedName>
    <definedName name="OSRRefD21_12x_0" localSheetId="42">'201'!$D$62:$D$63</definedName>
    <definedName name="OSRRefD21_12x_0" localSheetId="44">'203'!$D$66</definedName>
    <definedName name="OSRRefD21_12x_0" localSheetId="48">'300'!$D$91</definedName>
    <definedName name="OSRRefD21_12x_0" localSheetId="49">'300 &amp; 317'!$D$97</definedName>
    <definedName name="OSRRefD21_12x_0" localSheetId="50">'301'!$D$62</definedName>
    <definedName name="OSRRefD21_12x_0" localSheetId="53">'308'!$D$80</definedName>
    <definedName name="OSRRefD21_12x_0" localSheetId="63">'310'!$D$66</definedName>
    <definedName name="OSRRefD21_12x_0" localSheetId="70">'310 &amp; 491'!$D$69:$D$72</definedName>
    <definedName name="OSRRefD21_12x_0" localSheetId="54">'311'!$D$80</definedName>
    <definedName name="OSRRefD21_12x_0" localSheetId="57">'315'!$D$82:$D$83</definedName>
    <definedName name="OSRRefD21_12x_0" localSheetId="67">'325'!$D$66:$D$70</definedName>
    <definedName name="OSRRefD21_12x_0" localSheetId="58">'326'!$D$67:$D$68</definedName>
    <definedName name="OSRRefD21_12x_0" localSheetId="56">'331'!$D$81:$D$82</definedName>
    <definedName name="OSRRefD21_12x_0" localSheetId="72">'405'!$D$73</definedName>
    <definedName name="OSRRefD21_12x_0" localSheetId="73">'411'!$D$64</definedName>
    <definedName name="OSRRefD21_12x_0" localSheetId="76">'415'!$D$69:$D$72</definedName>
    <definedName name="OSRRefD21_12x_0" localSheetId="77">'418'!$D$74:$D$75</definedName>
    <definedName name="OSRRefD21_12x_0" localSheetId="84">'433'!$D$65:$D$68</definedName>
    <definedName name="OSRRefD21_12x_0" localSheetId="85">'444'!$D$69:$D$72</definedName>
    <definedName name="OSRRefD21_12x_0" localSheetId="86">'450'!$D$64:$D$67</definedName>
    <definedName name="OSRRefD21_12x_0" localSheetId="71">'491'!$D$69:$D$71</definedName>
    <definedName name="OSRRefD21_12x_0" localSheetId="82">'492'!$D$68:$D$70</definedName>
    <definedName name="OSRRefD21_12x_0" localSheetId="88">'501'!$D$64</definedName>
    <definedName name="OSRRefD21_12x_0" localSheetId="39">'Div 2'!$D$63:$D$66</definedName>
    <definedName name="OSRRefD21_12x_0" localSheetId="41">'Div 3'!$D$92</definedName>
    <definedName name="OSRRefD21_12x_0" localSheetId="69">'Div 4'!$D$72</definedName>
    <definedName name="OSRRefD21_12x_0" localSheetId="87">'Div 5'!$D$64</definedName>
    <definedName name="OSRRefD21_12x_0" localSheetId="2">Summary!$D$104</definedName>
    <definedName name="OSRRefD21_13_0x" localSheetId="42">'201'!$D$65</definedName>
    <definedName name="OSRRefD21_13_0x" localSheetId="44">'203'!$D$68</definedName>
    <definedName name="OSRRefD21_13_0x" localSheetId="48">'300'!$D$93</definedName>
    <definedName name="OSRRefD21_13_0x" localSheetId="49">'300 &amp; 317'!$D$99</definedName>
    <definedName name="OSRRefD21_13_0x" localSheetId="50">'301'!$D$64</definedName>
    <definedName name="OSRRefD21_13_0x" localSheetId="63">'310'!$D$68</definedName>
    <definedName name="OSRRefD21_13_0x" localSheetId="70">'310 &amp; 491'!$D$74</definedName>
    <definedName name="OSRRefD21_13_0x" localSheetId="57">'315'!$D$85</definedName>
    <definedName name="OSRRefD21_13_0x" localSheetId="67">'325'!$D$72</definedName>
    <definedName name="OSRRefD21_13_0x" localSheetId="58">'326'!$D$70</definedName>
    <definedName name="OSRRefD21_13_0x" localSheetId="56">'331'!$D$84</definedName>
    <definedName name="OSRRefD21_13_0x" localSheetId="72">'405'!$D$75</definedName>
    <definedName name="OSRRefD21_13_0x" localSheetId="76">'415'!$D$74</definedName>
    <definedName name="OSRRefD21_13_0x" localSheetId="77">'418'!$D$77</definedName>
    <definedName name="OSRRefD21_13_0x" localSheetId="84">'433'!$D$70</definedName>
    <definedName name="OSRRefD21_13_0x" localSheetId="85">'444'!$D$74</definedName>
    <definedName name="OSRRefD21_13_0x" localSheetId="86">'450'!$D$69</definedName>
    <definedName name="OSRRefD21_13_0x" localSheetId="71">'491'!$D$73</definedName>
    <definedName name="OSRRefD21_13_0x" localSheetId="82">'492'!$D$72</definedName>
    <definedName name="OSRRefD21_13_0x" localSheetId="88">'501'!$D$66</definedName>
    <definedName name="OSRRefD21_13_0x" localSheetId="39">'Div 2'!$D$68</definedName>
    <definedName name="OSRRefD21_13_0x" localSheetId="41">'Div 3'!$D$94</definedName>
    <definedName name="OSRRefD21_13_0x" localSheetId="69">'Div 4'!$D$74</definedName>
    <definedName name="OSRRefD21_13_0x" localSheetId="87">'Div 5'!$D$66</definedName>
    <definedName name="OSRRefD21_13_0x" localSheetId="2">Summary!$D$106</definedName>
    <definedName name="OSRRefD21_13_1x" localSheetId="50">'301'!$D$65</definedName>
    <definedName name="OSRRefD21_13_1x" localSheetId="63">'310'!$D$69</definedName>
    <definedName name="OSRRefD21_13_1x" localSheetId="57">'315'!$D$86</definedName>
    <definedName name="OSRRefD21_13_1x" localSheetId="67">'325'!$D$73</definedName>
    <definedName name="OSRRefD21_13_1x" localSheetId="58">'326'!$D$71</definedName>
    <definedName name="OSRRefD21_13_1x" localSheetId="56">'331'!$D$85</definedName>
    <definedName name="OSRRefD21_13_1x" localSheetId="84">'433'!$D$71</definedName>
    <definedName name="OSRRefD21_13_1x" localSheetId="86">'450'!$D$70</definedName>
    <definedName name="OSRRefD21_13_1x" localSheetId="71">'491'!$D$74</definedName>
    <definedName name="OSRRefD21_13_1x" localSheetId="82">'492'!$D$73</definedName>
    <definedName name="OSRRefD21_13_1x" localSheetId="39">'Div 2'!$D$69</definedName>
    <definedName name="OSRRefD21_13_2x" localSheetId="50">'301'!$D$66</definedName>
    <definedName name="OSRRefD21_13_2x" localSheetId="57">'315'!$D$87</definedName>
    <definedName name="OSRRefD21_13_2x" localSheetId="58">'326'!$D$72</definedName>
    <definedName name="OSRRefD21_13_2x" localSheetId="56">'331'!$D$86</definedName>
    <definedName name="OSRRefD21_13_2x" localSheetId="84">'433'!$D$72</definedName>
    <definedName name="OSRRefD21_13_2x" localSheetId="86">'450'!$D$71</definedName>
    <definedName name="OSRRefD21_13_2x" localSheetId="71">'491'!$D$75</definedName>
    <definedName name="OSRRefD21_13_2x" localSheetId="82">'492'!$D$74</definedName>
    <definedName name="OSRRefD21_13_2x" localSheetId="39">'Div 2'!$D$70</definedName>
    <definedName name="OSRRefD21_13_3x" localSheetId="50">'301'!$D$67</definedName>
    <definedName name="OSRRefD21_13_3x" localSheetId="84">'433'!$D$73</definedName>
    <definedName name="OSRRefD21_13_3x" localSheetId="86">'450'!$D$72</definedName>
    <definedName name="OSRRefD21_13_3x" localSheetId="71">'491'!$D$76</definedName>
    <definedName name="OSRRefD21_13_3x" localSheetId="82">'492'!$D$75</definedName>
    <definedName name="OSRRefD21_13_3x" localSheetId="39">'Div 2'!$D$71</definedName>
    <definedName name="OSRRefD21_13_4x" localSheetId="84">'433'!$D$74</definedName>
    <definedName name="OSRRefD21_13_4x" localSheetId="86">'450'!$D$73</definedName>
    <definedName name="OSRRefD21_13_4x" localSheetId="71">'491'!$D$77</definedName>
    <definedName name="OSRRefD21_13_5x" localSheetId="84">'433'!$D$75</definedName>
    <definedName name="OSRRefD21_13_5x" localSheetId="86">'450'!$D$74</definedName>
    <definedName name="OSRRefD21_13x_0" localSheetId="42">'201'!$D$65</definedName>
    <definedName name="OSRRefD21_13x_0" localSheetId="44">'203'!$D$68</definedName>
    <definedName name="OSRRefD21_13x_0" localSheetId="48">'300'!$D$93</definedName>
    <definedName name="OSRRefD21_13x_0" localSheetId="49">'300 &amp; 317'!$D$99</definedName>
    <definedName name="OSRRefD21_13x_0" localSheetId="50">'301'!$D$64:$D$67</definedName>
    <definedName name="OSRRefD21_13x_0" localSheetId="63">'310'!$D$68:$D$69</definedName>
    <definedName name="OSRRefD21_13x_0" localSheetId="70">'310 &amp; 491'!$D$74</definedName>
    <definedName name="OSRRefD21_13x_0" localSheetId="57">'315'!$D$85:$D$87</definedName>
    <definedName name="OSRRefD21_13x_0" localSheetId="67">'325'!$D$72:$D$73</definedName>
    <definedName name="OSRRefD21_13x_0" localSheetId="58">'326'!$D$70:$D$72</definedName>
    <definedName name="OSRRefD21_13x_0" localSheetId="56">'331'!$D$84:$D$86</definedName>
    <definedName name="OSRRefD21_13x_0" localSheetId="72">'405'!$D$75</definedName>
    <definedName name="OSRRefD21_13x_0" localSheetId="76">'415'!$D$74</definedName>
    <definedName name="OSRRefD21_13x_0" localSheetId="77">'418'!$D$77</definedName>
    <definedName name="OSRRefD21_13x_0" localSheetId="84">'433'!$D$70:$D$75</definedName>
    <definedName name="OSRRefD21_13x_0" localSheetId="85">'444'!$D$74</definedName>
    <definedName name="OSRRefD21_13x_0" localSheetId="86">'450'!$D$69:$D$74</definedName>
    <definedName name="OSRRefD21_13x_0" localSheetId="71">'491'!$D$73:$D$77</definedName>
    <definedName name="OSRRefD21_13x_0" localSheetId="82">'492'!$D$72:$D$75</definedName>
    <definedName name="OSRRefD21_13x_0" localSheetId="88">'501'!$D$66</definedName>
    <definedName name="OSRRefD21_13x_0" localSheetId="39">'Div 2'!$D$68:$D$71</definedName>
    <definedName name="OSRRefD21_13x_0" localSheetId="41">'Div 3'!$D$94</definedName>
    <definedName name="OSRRefD21_13x_0" localSheetId="69">'Div 4'!$D$74</definedName>
    <definedName name="OSRRefD21_13x_0" localSheetId="87">'Div 5'!$D$66</definedName>
    <definedName name="OSRRefD21_13x_0" localSheetId="2">Summary!$D$106</definedName>
    <definedName name="OSRRefD21_14_0x" localSheetId="42">'201'!$D$67</definedName>
    <definedName name="OSRRefD21_14_0x" localSheetId="44">'203'!$D$70</definedName>
    <definedName name="OSRRefD21_14_0x" localSheetId="48">'300'!$D$95</definedName>
    <definedName name="OSRRefD21_14_0x" localSheetId="49">'300 &amp; 317'!$D$101</definedName>
    <definedName name="OSRRefD21_14_0x" localSheetId="50">'301'!$D$69</definedName>
    <definedName name="OSRRefD21_14_0x" localSheetId="63">'310'!$D$71</definedName>
    <definedName name="OSRRefD21_14_0x" localSheetId="70">'310 &amp; 491'!$D$76</definedName>
    <definedName name="OSRRefD21_14_0x" localSheetId="57">'315'!$D$89</definedName>
    <definedName name="OSRRefD21_14_0x" localSheetId="67">'325'!$D$75</definedName>
    <definedName name="OSRRefD21_14_0x" localSheetId="58">'326'!$D$74</definedName>
    <definedName name="OSRRefD21_14_0x" localSheetId="56">'331'!$D$88</definedName>
    <definedName name="OSRRefD21_14_0x" localSheetId="72">'405'!$D$77</definedName>
    <definedName name="OSRRefD21_14_0x" localSheetId="76">'415'!$D$76</definedName>
    <definedName name="OSRRefD21_14_0x" localSheetId="77">'418'!$D$79</definedName>
    <definedName name="OSRRefD21_14_0x" localSheetId="84">'433'!$D$77</definedName>
    <definedName name="OSRRefD21_14_0x" localSheetId="85">'444'!$D$76</definedName>
    <definedName name="OSRRefD21_14_0x" localSheetId="86">'450'!$D$76</definedName>
    <definedName name="OSRRefD21_14_0x" localSheetId="71">'491'!$D$79</definedName>
    <definedName name="OSRRefD21_14_0x" localSheetId="82">'492'!$D$77</definedName>
    <definedName name="OSRRefD21_14_0x" localSheetId="39">'Div 2'!$D$73</definedName>
    <definedName name="OSRRefD21_14_0x" localSheetId="41">'Div 3'!$D$96</definedName>
    <definedName name="OSRRefD21_14_0x" localSheetId="69">'Div 4'!$D$76</definedName>
    <definedName name="OSRRefD21_14_0x" localSheetId="2">Summary!$D$108</definedName>
    <definedName name="OSRRefD21_14_1x" localSheetId="50">'301'!$D$70</definedName>
    <definedName name="OSRRefD21_14_1x" localSheetId="63">'310'!$D$72</definedName>
    <definedName name="OSRRefD21_14_1x" localSheetId="70">'310 &amp; 491'!$D$77</definedName>
    <definedName name="OSRRefD21_14_1x" localSheetId="56">'331'!$D$89</definedName>
    <definedName name="OSRRefD21_14_1x" localSheetId="76">'415'!$D$77</definedName>
    <definedName name="OSRRefD21_14_1x" localSheetId="85">'444'!$D$77</definedName>
    <definedName name="OSRRefD21_14_1x" localSheetId="39">'Div 2'!$D$74</definedName>
    <definedName name="OSRRefD21_14_1x" localSheetId="69">'Div 4'!$D$77</definedName>
    <definedName name="OSRRefD21_14_2x" localSheetId="63">'310'!$D$73</definedName>
    <definedName name="OSRRefD21_14_2x" localSheetId="70">'310 &amp; 491'!$D$78</definedName>
    <definedName name="OSRRefD21_14_2x" localSheetId="76">'415'!$D$78</definedName>
    <definedName name="OSRRefD21_14_2x" localSheetId="85">'444'!$D$78</definedName>
    <definedName name="OSRRefD21_14_2x" localSheetId="69">'Div 4'!$D$78</definedName>
    <definedName name="OSRRefD21_14_3x" localSheetId="63">'310'!$D$74</definedName>
    <definedName name="OSRRefD21_14_3x" localSheetId="70">'310 &amp; 491'!$D$79</definedName>
    <definedName name="OSRRefD21_14_3x" localSheetId="76">'415'!$D$79</definedName>
    <definedName name="OSRRefD21_14_3x" localSheetId="85">'444'!$D$79</definedName>
    <definedName name="OSRRefD21_14_3x" localSheetId="69">'Div 4'!$D$79</definedName>
    <definedName name="OSRRefD21_14_4x" localSheetId="63">'310'!$D$75</definedName>
    <definedName name="OSRRefD21_14_4x" localSheetId="70">'310 &amp; 491'!$D$80</definedName>
    <definedName name="OSRRefD21_14_4x" localSheetId="76">'415'!$D$80</definedName>
    <definedName name="OSRRefD21_14_4x" localSheetId="85">'444'!$D$80</definedName>
    <definedName name="OSRRefD21_14_5x" localSheetId="76">'415'!$D$81</definedName>
    <definedName name="OSRRefD21_14_5x" localSheetId="85">'444'!$D$81</definedName>
    <definedName name="OSRRefD21_14x_0" localSheetId="42">'201'!$D$67</definedName>
    <definedName name="OSRRefD21_14x_0" localSheetId="44">'203'!$D$70</definedName>
    <definedName name="OSRRefD21_14x_0" localSheetId="48">'300'!$D$95</definedName>
    <definedName name="OSRRefD21_14x_0" localSheetId="49">'300 &amp; 317'!$D$101</definedName>
    <definedName name="OSRRefD21_14x_0" localSheetId="50">'301'!$D$69:$D$70</definedName>
    <definedName name="OSRRefD21_14x_0" localSheetId="63">'310'!$D$71:$D$75</definedName>
    <definedName name="OSRRefD21_14x_0" localSheetId="70">'310 &amp; 491'!$D$76:$D$80</definedName>
    <definedName name="OSRRefD21_14x_0" localSheetId="57">'315'!$D$89</definedName>
    <definedName name="OSRRefD21_14x_0" localSheetId="67">'325'!$D$75</definedName>
    <definedName name="OSRRefD21_14x_0" localSheetId="58">'326'!$D$74</definedName>
    <definedName name="OSRRefD21_14x_0" localSheetId="56">'331'!$D$88:$D$89</definedName>
    <definedName name="OSRRefD21_14x_0" localSheetId="72">'405'!$D$77</definedName>
    <definedName name="OSRRefD21_14x_0" localSheetId="76">'415'!$D$76:$D$81</definedName>
    <definedName name="OSRRefD21_14x_0" localSheetId="77">'418'!$D$79</definedName>
    <definedName name="OSRRefD21_14x_0" localSheetId="84">'433'!$D$77</definedName>
    <definedName name="OSRRefD21_14x_0" localSheetId="85">'444'!$D$76:$D$81</definedName>
    <definedName name="OSRRefD21_14x_0" localSheetId="86">'450'!$D$76</definedName>
    <definedName name="OSRRefD21_14x_0" localSheetId="71">'491'!$D$79</definedName>
    <definedName name="OSRRefD21_14x_0" localSheetId="82">'492'!$D$77</definedName>
    <definedName name="OSRRefD21_14x_0" localSheetId="39">'Div 2'!$D$73:$D$74</definedName>
    <definedName name="OSRRefD21_14x_0" localSheetId="41">'Div 3'!$D$96</definedName>
    <definedName name="OSRRefD21_14x_0" localSheetId="69">'Div 4'!$D$76:$D$79</definedName>
    <definedName name="OSRRefD21_14x_0" localSheetId="2">Summary!$D$108</definedName>
    <definedName name="OSRRefD21_15_0x" localSheetId="42">'201'!$D$69</definedName>
    <definedName name="OSRRefD21_15_0x" localSheetId="48">'300'!$D$97</definedName>
    <definedName name="OSRRefD21_15_0x" localSheetId="49">'300 &amp; 317'!$D$103</definedName>
    <definedName name="OSRRefD21_15_0x" localSheetId="50">'301'!$D$72</definedName>
    <definedName name="OSRRefD21_15_0x" localSheetId="63">'310'!$D$77</definedName>
    <definedName name="OSRRefD21_15_0x" localSheetId="70">'310 &amp; 491'!$D$82</definedName>
    <definedName name="OSRRefD21_15_0x" localSheetId="57">'315'!$D$91</definedName>
    <definedName name="OSRRefD21_15_0x" localSheetId="58">'326'!$D$76</definedName>
    <definedName name="OSRRefD21_15_0x" localSheetId="56">'331'!$D$91</definedName>
    <definedName name="OSRRefD21_15_0x" localSheetId="72">'405'!$D$79</definedName>
    <definedName name="OSRRefD21_15_0x" localSheetId="76">'415'!$D$83</definedName>
    <definedName name="OSRRefD21_15_0x" localSheetId="77">'418'!$D$81</definedName>
    <definedName name="OSRRefD21_15_0x" localSheetId="84">'433'!$D$79</definedName>
    <definedName name="OSRRefD21_15_0x" localSheetId="85">'444'!$D$83</definedName>
    <definedName name="OSRRefD21_15_0x" localSheetId="86">'450'!$D$78</definedName>
    <definedName name="OSRRefD21_15_0x" localSheetId="71">'491'!$D$81</definedName>
    <definedName name="OSRRefD21_15_0x" localSheetId="82">'492'!$D$79</definedName>
    <definedName name="OSRRefD21_15_0x" localSheetId="39">'Div 2'!$D$76</definedName>
    <definedName name="OSRRefD21_15_0x" localSheetId="41">'Div 3'!$D$98</definedName>
    <definedName name="OSRRefD21_15_0x" localSheetId="69">'Div 4'!$D$81</definedName>
    <definedName name="OSRRefD21_15_0x" localSheetId="2">Summary!$D$110</definedName>
    <definedName name="OSRRefD21_15_1x" localSheetId="63">'310'!$D$78</definedName>
    <definedName name="OSRRefD21_15_1x" localSheetId="58">'326'!$D$77</definedName>
    <definedName name="OSRRefD21_15_1x" localSheetId="56">'331'!$D$92</definedName>
    <definedName name="OSRRefD21_15_1x" localSheetId="76">'415'!$D$84</definedName>
    <definedName name="OSRRefD21_15_1x" localSheetId="71">'491'!$D$82</definedName>
    <definedName name="OSRRefD21_15_1x" localSheetId="82">'492'!$D$80</definedName>
    <definedName name="OSRRefD21_15_1x" localSheetId="39">'Div 2'!$D$77</definedName>
    <definedName name="OSRRefD21_15_1x" localSheetId="69">'Div 4'!$D$82</definedName>
    <definedName name="OSRRefD21_15_2x" localSheetId="71">'491'!$D$83</definedName>
    <definedName name="OSRRefD21_15_2x" localSheetId="82">'492'!$D$81</definedName>
    <definedName name="OSRRefD21_15_2x" localSheetId="69">'Div 4'!$D$83</definedName>
    <definedName name="OSRRefD21_15_3x" localSheetId="71">'491'!$D$84</definedName>
    <definedName name="OSRRefD21_15_3x" localSheetId="82">'492'!$D$82</definedName>
    <definedName name="OSRRefD21_15_3x" localSheetId="69">'Div 4'!$D$84</definedName>
    <definedName name="OSRRefD21_15_4x" localSheetId="71">'491'!$D$85</definedName>
    <definedName name="OSRRefD21_15_4x" localSheetId="82">'492'!$D$83</definedName>
    <definedName name="OSRRefD21_15_4x" localSheetId="69">'Div 4'!$D$85</definedName>
    <definedName name="OSRRefD21_15_5x" localSheetId="71">'491'!$D$86</definedName>
    <definedName name="OSRRefD21_15_5x" localSheetId="82">'492'!$D$84</definedName>
    <definedName name="OSRRefD21_15_6x" localSheetId="71">'491'!$D$87</definedName>
    <definedName name="OSRRefD21_15_6x" localSheetId="82">'492'!$D$85</definedName>
    <definedName name="OSRRefD21_15_7x" localSheetId="71">'491'!$D$88</definedName>
    <definedName name="OSRRefD21_15_8x" localSheetId="71">'491'!$D$89</definedName>
    <definedName name="OSRRefD21_15x_0" localSheetId="42">'201'!$D$69</definedName>
    <definedName name="OSRRefD21_15x_0" localSheetId="48">'300'!$D$97</definedName>
    <definedName name="OSRRefD21_15x_0" localSheetId="49">'300 &amp; 317'!$D$103</definedName>
    <definedName name="OSRRefD21_15x_0" localSheetId="50">'301'!$D$72</definedName>
    <definedName name="OSRRefD21_15x_0" localSheetId="63">'310'!$D$77:$D$78</definedName>
    <definedName name="OSRRefD21_15x_0" localSheetId="70">'310 &amp; 491'!$D$82</definedName>
    <definedName name="OSRRefD21_15x_0" localSheetId="57">'315'!$D$91</definedName>
    <definedName name="OSRRefD21_15x_0" localSheetId="58">'326'!$D$76:$D$77</definedName>
    <definedName name="OSRRefD21_15x_0" localSheetId="56">'331'!$D$91:$D$92</definedName>
    <definedName name="OSRRefD21_15x_0" localSheetId="72">'405'!$D$79</definedName>
    <definedName name="OSRRefD21_15x_0" localSheetId="76">'415'!$D$83:$D$84</definedName>
    <definedName name="OSRRefD21_15x_0" localSheetId="77">'418'!$D$81</definedName>
    <definedName name="OSRRefD21_15x_0" localSheetId="84">'433'!$D$79</definedName>
    <definedName name="OSRRefD21_15x_0" localSheetId="85">'444'!$D$83</definedName>
    <definedName name="OSRRefD21_15x_0" localSheetId="86">'450'!$D$78</definedName>
    <definedName name="OSRRefD21_15x_0" localSheetId="71">'491'!$D$81:$D$89</definedName>
    <definedName name="OSRRefD21_15x_0" localSheetId="82">'492'!$D$79:$D$85</definedName>
    <definedName name="OSRRefD21_15x_0" localSheetId="39">'Div 2'!$D$76:$D$77</definedName>
    <definedName name="OSRRefD21_15x_0" localSheetId="41">'Div 3'!$D$98</definedName>
    <definedName name="OSRRefD21_15x_0" localSheetId="69">'Div 4'!$D$81:$D$85</definedName>
    <definedName name="OSRRefD21_15x_0" localSheetId="2">Summary!$D$110</definedName>
    <definedName name="OSRRefD21_16_0x" localSheetId="48">'300'!$D$99</definedName>
    <definedName name="OSRRefD21_16_0x" localSheetId="49">'300 &amp; 317'!$D$105</definedName>
    <definedName name="OSRRefD21_16_0x" localSheetId="50">'301'!$D$74</definedName>
    <definedName name="OSRRefD21_16_0x" localSheetId="63">'310'!$D$80</definedName>
    <definedName name="OSRRefD21_16_0x" localSheetId="70">'310 &amp; 491'!$D$84</definedName>
    <definedName name="OSRRefD21_16_0x" localSheetId="58">'326'!$D$79</definedName>
    <definedName name="OSRRefD21_16_0x" localSheetId="56">'331'!$D$94</definedName>
    <definedName name="OSRRefD21_16_0x" localSheetId="76">'415'!$D$86</definedName>
    <definedName name="OSRRefD21_16_0x" localSheetId="85">'444'!$D$85</definedName>
    <definedName name="OSRRefD21_16_0x" localSheetId="71">'491'!$D$91</definedName>
    <definedName name="OSRRefD21_16_0x" localSheetId="82">'492'!$D$87</definedName>
    <definedName name="OSRRefD21_16_0x" localSheetId="39">'Div 2'!$D$79</definedName>
    <definedName name="OSRRefD21_16_0x" localSheetId="41">'Div 3'!$D$100</definedName>
    <definedName name="OSRRefD21_16_0x" localSheetId="69">'Div 4'!$D$87</definedName>
    <definedName name="OSRRefD21_16_0x" localSheetId="2">Summary!$D$112</definedName>
    <definedName name="OSRRefD21_16_1x" localSheetId="48">'300'!$D$100</definedName>
    <definedName name="OSRRefD21_16_1x" localSheetId="49">'300 &amp; 317'!$D$106</definedName>
    <definedName name="OSRRefD21_16_1x" localSheetId="50">'301'!$D$75</definedName>
    <definedName name="OSRRefD21_16_1x" localSheetId="70">'310 &amp; 491'!$D$85</definedName>
    <definedName name="OSRRefD21_16_1x" localSheetId="56">'331'!$D$95</definedName>
    <definedName name="OSRRefD21_16_1x" localSheetId="71">'491'!$D$92</definedName>
    <definedName name="OSRRefD21_16_1x" localSheetId="82">'492'!$D$88</definedName>
    <definedName name="OSRRefD21_16_1x" localSheetId="39">'Div 2'!$D$80</definedName>
    <definedName name="OSRRefD21_16_1x" localSheetId="69">'Div 4'!$D$88</definedName>
    <definedName name="OSRRefD21_16_2x" localSheetId="48">'300'!$D$101</definedName>
    <definedName name="OSRRefD21_16_2x" localSheetId="49">'300 &amp; 317'!$D$107</definedName>
    <definedName name="OSRRefD21_16_2x" localSheetId="50">'301'!$D$76</definedName>
    <definedName name="OSRRefD21_16_2x" localSheetId="70">'310 &amp; 491'!$D$86</definedName>
    <definedName name="OSRRefD21_16_2x" localSheetId="56">'331'!$D$96</definedName>
    <definedName name="OSRRefD21_16_2x" localSheetId="39">'Div 2'!$D$81</definedName>
    <definedName name="OSRRefD21_16_3x" localSheetId="48">'300'!$D$102</definedName>
    <definedName name="OSRRefD21_16_3x" localSheetId="49">'300 &amp; 317'!$D$108</definedName>
    <definedName name="OSRRefD21_16_3x" localSheetId="50">'301'!$D$77</definedName>
    <definedName name="OSRRefD21_16_3x" localSheetId="70">'310 &amp; 491'!$D$87</definedName>
    <definedName name="OSRRefD21_16_3x" localSheetId="56">'331'!$D$97</definedName>
    <definedName name="OSRRefD21_16_3x" localSheetId="39">'Div 2'!$D$82</definedName>
    <definedName name="OSRRefD21_16_4x" localSheetId="50">'301'!$D$78</definedName>
    <definedName name="OSRRefD21_16_4x" localSheetId="70">'310 &amp; 491'!$D$88</definedName>
    <definedName name="OSRRefD21_16_4x" localSheetId="39">'Div 2'!$D$83</definedName>
    <definedName name="OSRRefD21_16_5x" localSheetId="70">'310 &amp; 491'!$D$89</definedName>
    <definedName name="OSRRefD21_16_6x" localSheetId="70">'310 &amp; 491'!$D$90</definedName>
    <definedName name="OSRRefD21_16_7x" localSheetId="70">'310 &amp; 491'!$D$91</definedName>
    <definedName name="OSRRefD21_16_8x" localSheetId="70">'310 &amp; 491'!$D$92</definedName>
    <definedName name="OSRRefD21_16_9x" localSheetId="70">'310 &amp; 491'!$D$93</definedName>
    <definedName name="OSRRefD21_16x_0" localSheetId="48">'300'!$D$99:$D$102</definedName>
    <definedName name="OSRRefD21_16x_0" localSheetId="49">'300 &amp; 317'!$D$105:$D$108</definedName>
    <definedName name="OSRRefD21_16x_0" localSheetId="50">'301'!$D$74:$D$78</definedName>
    <definedName name="OSRRefD21_16x_0" localSheetId="63">'310'!$D$80</definedName>
    <definedName name="OSRRefD21_16x_0" localSheetId="70">'310 &amp; 491'!$D$84:$D$93</definedName>
    <definedName name="OSRRefD21_16x_0" localSheetId="58">'326'!$D$79</definedName>
    <definedName name="OSRRefD21_16x_0" localSheetId="56">'331'!$D$94:$D$97</definedName>
    <definedName name="OSRRefD21_16x_0" localSheetId="76">'415'!$D$86</definedName>
    <definedName name="OSRRefD21_16x_0" localSheetId="85">'444'!$D$85</definedName>
    <definedName name="OSRRefD21_16x_0" localSheetId="71">'491'!$D$91:$D$92</definedName>
    <definedName name="OSRRefD21_16x_0" localSheetId="82">'492'!$D$87:$D$88</definedName>
    <definedName name="OSRRefD21_16x_0" localSheetId="39">'Div 2'!$D$79:$D$83</definedName>
    <definedName name="OSRRefD21_16x_0" localSheetId="41">'Div 3'!$D$100</definedName>
    <definedName name="OSRRefD21_16x_0" localSheetId="69">'Div 4'!$D$87:$D$88</definedName>
    <definedName name="OSRRefD21_16x_0" localSheetId="2">Summary!$D$112</definedName>
    <definedName name="OSRRefD21_17_0x" localSheetId="48">'300'!$D$104</definedName>
    <definedName name="OSRRefD21_17_0x" localSheetId="49">'300 &amp; 317'!$D$110</definedName>
    <definedName name="OSRRefD21_17_0x" localSheetId="50">'301'!$D$80</definedName>
    <definedName name="OSRRefD21_17_0x" localSheetId="63">'310'!$D$82</definedName>
    <definedName name="OSRRefD21_17_0x" localSheetId="70">'310 &amp; 491'!$D$95</definedName>
    <definedName name="OSRRefD21_17_0x" localSheetId="56">'331'!$D$99</definedName>
    <definedName name="OSRRefD21_17_0x" localSheetId="76">'415'!$D$88</definedName>
    <definedName name="OSRRefD21_17_0x" localSheetId="71">'491'!$D$94</definedName>
    <definedName name="OSRRefD21_17_0x" localSheetId="82">'492'!$D$90</definedName>
    <definedName name="OSRRefD21_17_0x" localSheetId="39">'Div 2'!$D$85</definedName>
    <definedName name="OSRRefD21_17_0x" localSheetId="41">'Div 3'!$D$102</definedName>
    <definedName name="OSRRefD21_17_0x" localSheetId="69">'Div 4'!$D$90</definedName>
    <definedName name="OSRRefD21_17_0x" localSheetId="2">Summary!$D$114</definedName>
    <definedName name="OSRRefD21_17_1x" localSheetId="48">'300'!$D$105</definedName>
    <definedName name="OSRRefD21_17_1x" localSheetId="49">'300 &amp; 317'!$D$111</definedName>
    <definedName name="OSRRefD21_17_1x" localSheetId="70">'310 &amp; 491'!$D$96</definedName>
    <definedName name="OSRRefD21_17_1x" localSheetId="39">'Div 2'!$D$86</definedName>
    <definedName name="OSRRefD21_17_1x" localSheetId="41">'Div 3'!$D$103</definedName>
    <definedName name="OSRRefD21_17_1x" localSheetId="69">'Div 4'!$D$91</definedName>
    <definedName name="OSRRefD21_17_2x" localSheetId="48">'300'!$D$106</definedName>
    <definedName name="OSRRefD21_17_2x" localSheetId="49">'300 &amp; 317'!$D$112</definedName>
    <definedName name="OSRRefD21_17_2x" localSheetId="41">'Div 3'!$D$104</definedName>
    <definedName name="OSRRefD21_17_2x" localSheetId="69">'Div 4'!$D$92</definedName>
    <definedName name="OSRRefD21_17_3x" localSheetId="48">'300'!$D$107</definedName>
    <definedName name="OSRRefD21_17_3x" localSheetId="49">'300 &amp; 317'!$D$113</definedName>
    <definedName name="OSRRefD21_17_3x" localSheetId="41">'Div 3'!$D$105</definedName>
    <definedName name="OSRRefD21_17_3x" localSheetId="69">'Div 4'!$D$93</definedName>
    <definedName name="OSRRefD21_17_4x" localSheetId="69">'Div 4'!$D$94</definedName>
    <definedName name="OSRRefD21_17_5x" localSheetId="69">'Div 4'!$D$95</definedName>
    <definedName name="OSRRefD21_17_6x" localSheetId="69">'Div 4'!$D$96</definedName>
    <definedName name="OSRRefD21_17_7x" localSheetId="69">'Div 4'!$D$97</definedName>
    <definedName name="OSRRefD21_17_8x" localSheetId="69">'Div 4'!$D$98</definedName>
    <definedName name="OSRRefD21_17_9x" localSheetId="69">'Div 4'!$D$99</definedName>
    <definedName name="OSRRefD21_17x_0" localSheetId="48">'300'!$D$104:$D$107</definedName>
    <definedName name="OSRRefD21_17x_0" localSheetId="49">'300 &amp; 317'!$D$110:$D$113</definedName>
    <definedName name="OSRRefD21_17x_0" localSheetId="50">'301'!$D$80</definedName>
    <definedName name="OSRRefD21_17x_0" localSheetId="63">'310'!$D$82</definedName>
    <definedName name="OSRRefD21_17x_0" localSheetId="70">'310 &amp; 491'!$D$95:$D$96</definedName>
    <definedName name="OSRRefD21_17x_0" localSheetId="56">'331'!$D$99</definedName>
    <definedName name="OSRRefD21_17x_0" localSheetId="76">'415'!$D$88</definedName>
    <definedName name="OSRRefD21_17x_0" localSheetId="71">'491'!$D$94</definedName>
    <definedName name="OSRRefD21_17x_0" localSheetId="82">'492'!$D$90</definedName>
    <definedName name="OSRRefD21_17x_0" localSheetId="39">'Div 2'!$D$85:$D$86</definedName>
    <definedName name="OSRRefD21_17x_0" localSheetId="41">'Div 3'!$D$102:$D$105</definedName>
    <definedName name="OSRRefD21_17x_0" localSheetId="69">'Div 4'!$D$90:$D$99</definedName>
    <definedName name="OSRRefD21_17x_0" localSheetId="2">Summary!$D$114</definedName>
    <definedName name="OSRRefD21_18_0x" localSheetId="48">'300'!$D$109</definedName>
    <definedName name="OSRRefD21_18_0x" localSheetId="49">'300 &amp; 317'!$D$115</definedName>
    <definedName name="OSRRefD21_18_0x" localSheetId="50">'301'!$D$82</definedName>
    <definedName name="OSRRefD21_18_0x" localSheetId="70">'310 &amp; 491'!$D$98</definedName>
    <definedName name="OSRRefD21_18_0x" localSheetId="56">'331'!$D$101</definedName>
    <definedName name="OSRRefD21_18_0x" localSheetId="71">'491'!$D$96</definedName>
    <definedName name="OSRRefD21_18_0x" localSheetId="39">'Div 2'!$D$88</definedName>
    <definedName name="OSRRefD21_18_0x" localSheetId="41">'Div 3'!$D$107</definedName>
    <definedName name="OSRRefD21_18_0x" localSheetId="69">'Div 4'!$D$101</definedName>
    <definedName name="OSRRefD21_18_0x" localSheetId="2">Summary!$D$116</definedName>
    <definedName name="OSRRefD21_18_1x" localSheetId="48">'300'!$D$110</definedName>
    <definedName name="OSRRefD21_18_1x" localSheetId="49">'300 &amp; 317'!$D$116</definedName>
    <definedName name="OSRRefD21_18_1x" localSheetId="56">'331'!$D$102</definedName>
    <definedName name="OSRRefD21_18_1x" localSheetId="41">'Div 3'!$D$108</definedName>
    <definedName name="OSRRefD21_18_1x" localSheetId="69">'Div 4'!$D$102</definedName>
    <definedName name="OSRRefD21_18_1x" localSheetId="2">Summary!$D$117</definedName>
    <definedName name="OSRRefD21_18_2x" localSheetId="48">'300'!$D$111</definedName>
    <definedName name="OSRRefD21_18_2x" localSheetId="49">'300 &amp; 317'!$D$117</definedName>
    <definedName name="OSRRefD21_18_2x" localSheetId="41">'Div 3'!$D$109</definedName>
    <definedName name="OSRRefD21_18_2x" localSheetId="2">Summary!$D$118</definedName>
    <definedName name="OSRRefD21_18_3x" localSheetId="41">'Div 3'!$D$110</definedName>
    <definedName name="OSRRefD21_18_3x" localSheetId="2">Summary!$D$119</definedName>
    <definedName name="OSRRefD21_18x_0" localSheetId="48">'300'!$D$109:$D$111</definedName>
    <definedName name="OSRRefD21_18x_0" localSheetId="49">'300 &amp; 317'!$D$115:$D$117</definedName>
    <definedName name="OSRRefD21_18x_0" localSheetId="50">'301'!$D$82</definedName>
    <definedName name="OSRRefD21_18x_0" localSheetId="70">'310 &amp; 491'!$D$98</definedName>
    <definedName name="OSRRefD21_18x_0" localSheetId="56">'331'!$D$101:$D$102</definedName>
    <definedName name="OSRRefD21_18x_0" localSheetId="71">'491'!$D$96</definedName>
    <definedName name="OSRRefD21_18x_0" localSheetId="39">'Div 2'!$D$88</definedName>
    <definedName name="OSRRefD21_18x_0" localSheetId="41">'Div 3'!$D$107:$D$110</definedName>
    <definedName name="OSRRefD21_18x_0" localSheetId="69">'Div 4'!$D$101:$D$102</definedName>
    <definedName name="OSRRefD21_18x_0" localSheetId="2">Summary!$D$116:$D$119</definedName>
    <definedName name="OSRRefD21_19_0x" localSheetId="48">'300'!$D$113</definedName>
    <definedName name="OSRRefD21_19_0x" localSheetId="49">'300 &amp; 317'!$D$119</definedName>
    <definedName name="OSRRefD21_19_0x" localSheetId="50">'301'!$D$84</definedName>
    <definedName name="OSRRefD21_19_0x" localSheetId="70">'310 &amp; 491'!$D$100</definedName>
    <definedName name="OSRRefD21_19_0x" localSheetId="56">'331'!$D$104</definedName>
    <definedName name="OSRRefD21_19_0x" localSheetId="71">'491'!$D$98</definedName>
    <definedName name="OSRRefD21_19_0x" localSheetId="39">'Div 2'!$D$90</definedName>
    <definedName name="OSRRefD21_19_0x" localSheetId="41">'Div 3'!$D$112</definedName>
    <definedName name="OSRRefD21_19_0x" localSheetId="69">'Div 4'!$D$104</definedName>
    <definedName name="OSRRefD21_19_0x" localSheetId="2">Summary!$D$121</definedName>
    <definedName name="OSRRefD21_19_1x" localSheetId="48">'300'!$D$114</definedName>
    <definedName name="OSRRefD21_19_1x" localSheetId="49">'300 &amp; 317'!$D$120</definedName>
    <definedName name="OSRRefD21_19_1x" localSheetId="39">'Div 2'!$D$91</definedName>
    <definedName name="OSRRefD21_19_1x" localSheetId="41">'Div 3'!$D$113</definedName>
    <definedName name="OSRRefD21_19_1x" localSheetId="2">Summary!$D$122</definedName>
    <definedName name="OSRRefD21_19_2x" localSheetId="41">'Div 3'!$D$114</definedName>
    <definedName name="OSRRefD21_19_2x" localSheetId="2">Summary!$D$123</definedName>
    <definedName name="OSRRefD21_19_3x" localSheetId="41">'Div 3'!$D$115</definedName>
    <definedName name="OSRRefD21_19_3x" localSheetId="2">Summary!$D$124</definedName>
    <definedName name="OSRRefD21_19x_0" localSheetId="48">'300'!$D$113:$D$114</definedName>
    <definedName name="OSRRefD21_19x_0" localSheetId="49">'300 &amp; 317'!$D$119:$D$120</definedName>
    <definedName name="OSRRefD21_19x_0" localSheetId="50">'301'!$D$84</definedName>
    <definedName name="OSRRefD21_19x_0" localSheetId="70">'310 &amp; 491'!$D$100</definedName>
    <definedName name="OSRRefD21_19x_0" localSheetId="56">'331'!$D$104</definedName>
    <definedName name="OSRRefD21_19x_0" localSheetId="71">'491'!$D$98</definedName>
    <definedName name="OSRRefD21_19x_0" localSheetId="39">'Div 2'!$D$90:$D$91</definedName>
    <definedName name="OSRRefD21_19x_0" localSheetId="41">'Div 3'!$D$112:$D$115</definedName>
    <definedName name="OSRRefD21_19x_0" localSheetId="69">'Div 4'!$D$104</definedName>
    <definedName name="OSRRefD21_19x_0" localSheetId="2">Summary!$D$121:$D$124</definedName>
    <definedName name="OSRRefD21_1x_0" localSheetId="40">'200'!$D$21</definedName>
    <definedName name="OSRRefD21_1x_0" localSheetId="42">'201'!$D$29:$D$38</definedName>
    <definedName name="OSRRefD21_1x_0" localSheetId="43">'202'!$D$29:$D$38</definedName>
    <definedName name="OSRRefD21_1x_0" localSheetId="44">'203'!$D$30:$D$39</definedName>
    <definedName name="OSRRefD21_1x_0" localSheetId="45">'204'!$D$29:$D$38</definedName>
    <definedName name="OSRRefD21_1x_0" localSheetId="46">'205'!$D$29:$D$38</definedName>
    <definedName name="OSRRefD21_1x_0" localSheetId="47">'206'!$D$29:$D$38</definedName>
    <definedName name="OSRRefD21_1x_0" localSheetId="48">'300'!$D$56:$D$65</definedName>
    <definedName name="OSRRefD21_1x_0" localSheetId="49">'300 &amp; 317'!$D$62:$D$71</definedName>
    <definedName name="OSRRefD21_1x_0" localSheetId="50">'301'!$D$30:$D$39</definedName>
    <definedName name="OSRRefD21_1x_0" localSheetId="52">'307'!$D$31:$D$40</definedName>
    <definedName name="OSRRefD21_1x_0" localSheetId="53">'308'!$D$44:$D$53</definedName>
    <definedName name="OSRRefD21_1x_0" localSheetId="64">'309'!$D$21</definedName>
    <definedName name="OSRRefD21_1x_0" localSheetId="63">'310'!$D$32:$D$41</definedName>
    <definedName name="OSRRefD21_1x_0" localSheetId="70">'310 &amp; 491'!$D$36:$D$45</definedName>
    <definedName name="OSRRefD21_1x_0" localSheetId="54">'311'!$D$44:$D$53</definedName>
    <definedName name="OSRRefD21_1x_0" localSheetId="57">'315'!$D$48:$D$57</definedName>
    <definedName name="OSRRefD21_1x_0" localSheetId="60">'316'!$D$33:$D$42</definedName>
    <definedName name="OSRRefD21_1x_0" localSheetId="62">'317'!$D$44:$D$53</definedName>
    <definedName name="OSRRefD21_1x_0" localSheetId="66">'321'!$D$31:$D$40</definedName>
    <definedName name="OSRRefD21_1x_0" localSheetId="67">'325'!$D$32:$D$41</definedName>
    <definedName name="OSRRefD21_1x_0" localSheetId="58">'326'!$D$34:$D$43</definedName>
    <definedName name="OSRRefD21_1x_0" localSheetId="51">'330'!$D$31:$D$40</definedName>
    <definedName name="OSRRefD21_1x_0" localSheetId="56">'331'!$D$48:$D$57</definedName>
    <definedName name="OSRRefD21_1x_0" localSheetId="59">'332'!$D$33:$D$42</definedName>
    <definedName name="OSRRefD21_1x_0" localSheetId="72">'405'!$D$32:$D$41</definedName>
    <definedName name="OSRRefD21_1x_0" localSheetId="73">'411'!$D$29:$D$38</definedName>
    <definedName name="OSRRefD21_1x_0" localSheetId="74">'412'!$D$21</definedName>
    <definedName name="OSRRefD21_1x_0" localSheetId="76">'415'!$D$36:$D$45</definedName>
    <definedName name="OSRRefD21_1x_0" localSheetId="77">'418'!$D$32:$D$41</definedName>
    <definedName name="OSRRefD21_1x_0" localSheetId="78">'423'!$D$28:$D$37</definedName>
    <definedName name="OSRRefD21_1x_0" localSheetId="83">'430'!$D$29:$D$38</definedName>
    <definedName name="OSRRefD21_1x_0" localSheetId="84">'433'!$D$32:$D$41</definedName>
    <definedName name="OSRRefD21_1x_0" localSheetId="85">'444'!$D$37:$D$46</definedName>
    <definedName name="OSRRefD21_1x_0" localSheetId="86">'450'!$D$32:$D$41</definedName>
    <definedName name="OSRRefD21_1x_0" localSheetId="71">'491'!$D$36:$D$45</definedName>
    <definedName name="OSRRefD21_1x_0" localSheetId="82">'492'!$D$37:$D$46</definedName>
    <definedName name="OSRRefD21_1x_0" localSheetId="88">'501'!$D$30:$D$39</definedName>
    <definedName name="OSRRefD21_1x_0" localSheetId="39">'Div 2'!$D$31:$D$40</definedName>
    <definedName name="OSRRefD21_1x_0" localSheetId="41">'Div 3'!$D$57:$D$66</definedName>
    <definedName name="OSRRefD21_1x_0" localSheetId="69">'Div 4'!$D$39:$D$48</definedName>
    <definedName name="OSRRefD21_1x_0" localSheetId="87">'Div 5'!$D$30:$D$39</definedName>
    <definedName name="OSRRefD21_1x_0" localSheetId="61">'Div 6'!$D$44:$D$53</definedName>
    <definedName name="OSRRefD21_1x_0" localSheetId="2">Summary!$D$68:$D$77</definedName>
    <definedName name="OSRRefD21_2_0x" localSheetId="40">'200'!$D$23</definedName>
    <definedName name="OSRRefD21_2_0x" localSheetId="42">'201'!$D$40</definedName>
    <definedName name="OSRRefD21_2_0x" localSheetId="43">'202'!$D$40</definedName>
    <definedName name="OSRRefD21_2_0x" localSheetId="44">'203'!$D$41</definedName>
    <definedName name="OSRRefD21_2_0x" localSheetId="45">'204'!$D$40</definedName>
    <definedName name="OSRRefD21_2_0x" localSheetId="46">'205'!$D$40</definedName>
    <definedName name="OSRRefD21_2_0x" localSheetId="47">'206'!$D$40</definedName>
    <definedName name="OSRRefD21_2_0x" localSheetId="48">'300'!$D$67</definedName>
    <definedName name="OSRRefD21_2_0x" localSheetId="49">'300 &amp; 317'!$D$73</definedName>
    <definedName name="OSRRefD21_2_0x" localSheetId="50">'301'!$D$41</definedName>
    <definedName name="OSRRefD21_2_0x" localSheetId="52">'307'!$D$42</definedName>
    <definedName name="OSRRefD21_2_0x" localSheetId="53">'308'!$D$55</definedName>
    <definedName name="OSRRefD21_2_0x" localSheetId="64">'309'!$D$23</definedName>
    <definedName name="OSRRefD21_2_0x" localSheetId="63">'310'!$D$43</definedName>
    <definedName name="OSRRefD21_2_0x" localSheetId="70">'310 &amp; 491'!$D$47</definedName>
    <definedName name="OSRRefD21_2_0x" localSheetId="54">'311'!$D$55</definedName>
    <definedName name="OSRRefD21_2_0x" localSheetId="57">'315'!$D$59</definedName>
    <definedName name="OSRRefD21_2_0x" localSheetId="60">'316'!$D$44</definedName>
    <definedName name="OSRRefD21_2_0x" localSheetId="62">'317'!$D$55</definedName>
    <definedName name="OSRRefD21_2_0x" localSheetId="66">'321'!$D$42</definedName>
    <definedName name="OSRRefD21_2_0x" localSheetId="67">'325'!$D$43</definedName>
    <definedName name="OSRRefD21_2_0x" localSheetId="58">'326'!$D$45</definedName>
    <definedName name="OSRRefD21_2_0x" localSheetId="51">'330'!$D$42</definedName>
    <definedName name="OSRRefD21_2_0x" localSheetId="56">'331'!$D$59</definedName>
    <definedName name="OSRRefD21_2_0x" localSheetId="59">'332'!$D$44</definedName>
    <definedName name="OSRRefD21_2_0x" localSheetId="72">'405'!$D$43</definedName>
    <definedName name="OSRRefD21_2_0x" localSheetId="73">'411'!$D$40</definedName>
    <definedName name="OSRRefD21_2_0x" localSheetId="76">'415'!$D$47</definedName>
    <definedName name="OSRRefD21_2_0x" localSheetId="77">'418'!$D$43</definedName>
    <definedName name="OSRRefD21_2_0x" localSheetId="78">'423'!$D$39</definedName>
    <definedName name="OSRRefD21_2_0x" localSheetId="83">'430'!$D$40</definedName>
    <definedName name="OSRRefD21_2_0x" localSheetId="84">'433'!$D$43</definedName>
    <definedName name="OSRRefD21_2_0x" localSheetId="85">'444'!$D$48</definedName>
    <definedName name="OSRRefD21_2_0x" localSheetId="86">'450'!$D$43</definedName>
    <definedName name="OSRRefD21_2_0x" localSheetId="71">'491'!$D$47</definedName>
    <definedName name="OSRRefD21_2_0x" localSheetId="82">'492'!$D$48</definedName>
    <definedName name="OSRRefD21_2_0x" localSheetId="88">'501'!$D$41</definedName>
    <definedName name="OSRRefD21_2_0x" localSheetId="39">'Div 2'!$D$42</definedName>
    <definedName name="OSRRefD21_2_0x" localSheetId="41">'Div 3'!$D$68</definedName>
    <definedName name="OSRRefD21_2_0x" localSheetId="69">'Div 4'!$D$50</definedName>
    <definedName name="OSRRefD21_2_0x" localSheetId="87">'Div 5'!$D$41</definedName>
    <definedName name="OSRRefD21_2_0x" localSheetId="61">'Div 6'!$D$55</definedName>
    <definedName name="OSRRefD21_2_0x" localSheetId="2">Summary!$D$79</definedName>
    <definedName name="OSRRefD21_2_1x" localSheetId="45">'204'!$D$41</definedName>
    <definedName name="OSRRefD21_20_0x" localSheetId="48">'300'!$D$116</definedName>
    <definedName name="OSRRefD21_20_0x" localSheetId="49">'300 &amp; 317'!$D$122</definedName>
    <definedName name="OSRRefD21_20_0x" localSheetId="50">'301'!$D$86</definedName>
    <definedName name="OSRRefD21_20_0x" localSheetId="70">'310 &amp; 491'!$D$102</definedName>
    <definedName name="OSRRefD21_20_0x" localSheetId="41">'Div 3'!$D$117</definedName>
    <definedName name="OSRRefD21_20_0x" localSheetId="69">'Div 4'!$D$106</definedName>
    <definedName name="OSRRefD21_20_0x" localSheetId="2">Summary!$D$126</definedName>
    <definedName name="OSRRefD21_20_1x" localSheetId="48">'300'!$D$117</definedName>
    <definedName name="OSRRefD21_20_1x" localSheetId="49">'300 &amp; 317'!$D$123</definedName>
    <definedName name="OSRRefD21_20_1x" localSheetId="41">'Div 3'!$D$118</definedName>
    <definedName name="OSRRefD21_20_1x" localSheetId="2">Summary!$D$127</definedName>
    <definedName name="OSRRefD21_20_2x" localSheetId="48">'300'!$D$118</definedName>
    <definedName name="OSRRefD21_20_2x" localSheetId="49">'300 &amp; 317'!$D$124</definedName>
    <definedName name="OSRRefD21_20_2x" localSheetId="2">Summary!$D$128</definedName>
    <definedName name="OSRRefD21_20_3x" localSheetId="48">'300'!$D$119</definedName>
    <definedName name="OSRRefD21_20_3x" localSheetId="49">'300 &amp; 317'!$D$125</definedName>
    <definedName name="OSRRefD21_20_3x" localSheetId="2">Summary!$D$129</definedName>
    <definedName name="OSRRefD21_20_4x" localSheetId="48">'300'!$D$120</definedName>
    <definedName name="OSRRefD21_20_4x" localSheetId="49">'300 &amp; 317'!$D$126</definedName>
    <definedName name="OSRRefD21_20_4x" localSheetId="2">Summary!$D$130</definedName>
    <definedName name="OSRRefD21_20_5x" localSheetId="48">'300'!$D$121</definedName>
    <definedName name="OSRRefD21_20_5x" localSheetId="49">'300 &amp; 317'!$D$127</definedName>
    <definedName name="OSRRefD21_20_6x" localSheetId="48">'300'!$D$122</definedName>
    <definedName name="OSRRefD21_20_6x" localSheetId="49">'300 &amp; 317'!$D$128</definedName>
    <definedName name="OSRRefD21_20x_0" localSheetId="48">'300'!$D$116:$D$122</definedName>
    <definedName name="OSRRefD21_20x_0" localSheetId="49">'300 &amp; 317'!$D$122:$D$128</definedName>
    <definedName name="OSRRefD21_20x_0" localSheetId="50">'301'!$D$86</definedName>
    <definedName name="OSRRefD21_20x_0" localSheetId="70">'310 &amp; 491'!$D$102</definedName>
    <definedName name="OSRRefD21_20x_0" localSheetId="41">'Div 3'!$D$117:$D$118</definedName>
    <definedName name="OSRRefD21_20x_0" localSheetId="69">'Div 4'!$D$106</definedName>
    <definedName name="OSRRefD21_20x_0" localSheetId="2">Summary!$D$126:$D$130</definedName>
    <definedName name="OSRRefD21_21_0x" localSheetId="48">'300'!$D$124</definedName>
    <definedName name="OSRRefD21_21_0x" localSheetId="49">'300 &amp; 317'!$D$130</definedName>
    <definedName name="OSRRefD21_21_0x" localSheetId="41">'Div 3'!$D$120</definedName>
    <definedName name="OSRRefD21_21_0x" localSheetId="69">'Div 4'!$D$108</definedName>
    <definedName name="OSRRefD21_21_0x" localSheetId="2">Summary!$D$132</definedName>
    <definedName name="OSRRefD21_21_1x" localSheetId="48">'300'!$D$125</definedName>
    <definedName name="OSRRefD21_21_1x" localSheetId="49">'300 &amp; 317'!$D$131</definedName>
    <definedName name="OSRRefD21_21_1x" localSheetId="41">'Div 3'!$D$121</definedName>
    <definedName name="OSRRefD21_21_1x" localSheetId="2">Summary!$D$133</definedName>
    <definedName name="OSRRefD21_21_2x" localSheetId="41">'Div 3'!$D$122</definedName>
    <definedName name="OSRRefD21_21_3x" localSheetId="41">'Div 3'!$D$123</definedName>
    <definedName name="OSRRefD21_21_4x" localSheetId="41">'Div 3'!$D$124</definedName>
    <definedName name="OSRRefD21_21_5x" localSheetId="41">'Div 3'!$D$125</definedName>
    <definedName name="OSRRefD21_21_6x" localSheetId="41">'Div 3'!$D$126</definedName>
    <definedName name="OSRRefD21_21x_0" localSheetId="48">'300'!$D$124:$D$125</definedName>
    <definedName name="OSRRefD21_21x_0" localSheetId="49">'300 &amp; 317'!$D$130:$D$131</definedName>
    <definedName name="OSRRefD21_21x_0" localSheetId="41">'Div 3'!$D$120:$D$126</definedName>
    <definedName name="OSRRefD21_21x_0" localSheetId="69">'Div 4'!$D$108</definedName>
    <definedName name="OSRRefD21_21x_0" localSheetId="2">Summary!$D$132:$D$133</definedName>
    <definedName name="OSRRefD21_22_0x" localSheetId="48">'300'!$D$127</definedName>
    <definedName name="OSRRefD21_22_0x" localSheetId="49">'300 &amp; 317'!$D$133</definedName>
    <definedName name="OSRRefD21_22_0x" localSheetId="41">'Div 3'!$D$128</definedName>
    <definedName name="OSRRefD21_22_0x" localSheetId="2">Summary!$D$135</definedName>
    <definedName name="OSRRefD21_22_1x" localSheetId="41">'Div 3'!$D$129</definedName>
    <definedName name="OSRRefD21_22_1x" localSheetId="2">Summary!$D$136</definedName>
    <definedName name="OSRRefD21_22_2x" localSheetId="2">Summary!$D$137</definedName>
    <definedName name="OSRRefD21_22_3x" localSheetId="2">Summary!$D$138</definedName>
    <definedName name="OSRRefD21_22_4x" localSheetId="2">Summary!$D$139</definedName>
    <definedName name="OSRRefD21_22_5x" localSheetId="2">Summary!$D$140</definedName>
    <definedName name="OSRRefD21_22_6x" localSheetId="2">Summary!$D$141</definedName>
    <definedName name="OSRRefD21_22_7x" localSheetId="2">Summary!$D$142</definedName>
    <definedName name="OSRRefD21_22_8x" localSheetId="2">Summary!$D$143</definedName>
    <definedName name="OSRRefD21_22_9x" localSheetId="2">Summary!$D$144</definedName>
    <definedName name="OSRRefD21_22x_0" localSheetId="48">'300'!$D$127</definedName>
    <definedName name="OSRRefD21_22x_0" localSheetId="49">'300 &amp; 317'!$D$133</definedName>
    <definedName name="OSRRefD21_22x_0" localSheetId="41">'Div 3'!$D$128:$D$129</definedName>
    <definedName name="OSRRefD21_22x_0" localSheetId="2">Summary!$D$135:$D$144</definedName>
    <definedName name="OSRRefD21_23_0x" localSheetId="48">'300'!$D$129</definedName>
    <definedName name="OSRRefD21_23_0x" localSheetId="49">'300 &amp; 317'!$D$135</definedName>
    <definedName name="OSRRefD21_23_0x" localSheetId="41">'Div 3'!$D$131</definedName>
    <definedName name="OSRRefD21_23_0x" localSheetId="2">Summary!$D$146</definedName>
    <definedName name="OSRRefD21_23_1x" localSheetId="48">'300'!$D$130</definedName>
    <definedName name="OSRRefD21_23_1x" localSheetId="49">'300 &amp; 317'!$D$136</definedName>
    <definedName name="OSRRefD21_23_1x" localSheetId="2">Summary!$D$147</definedName>
    <definedName name="OSRRefD21_23_2x" localSheetId="48">'300'!$D$131</definedName>
    <definedName name="OSRRefD21_23_2x" localSheetId="49">'300 &amp; 317'!$D$137</definedName>
    <definedName name="OSRRefD21_23x_0" localSheetId="48">'300'!$D$129:$D$131</definedName>
    <definedName name="OSRRefD21_23x_0" localSheetId="49">'300 &amp; 317'!$D$135:$D$137</definedName>
    <definedName name="OSRRefD21_23x_0" localSheetId="41">'Div 3'!$D$131</definedName>
    <definedName name="OSRRefD21_23x_0" localSheetId="2">Summary!$D$146:$D$147</definedName>
    <definedName name="OSRRefD21_24_0x" localSheetId="48">'300'!$D$133</definedName>
    <definedName name="OSRRefD21_24_0x" localSheetId="49">'300 &amp; 317'!$D$139</definedName>
    <definedName name="OSRRefD21_24_0x" localSheetId="41">'Div 3'!$D$133</definedName>
    <definedName name="OSRRefD21_24_0x" localSheetId="2">Summary!$D$149</definedName>
    <definedName name="OSRRefD21_24_1x" localSheetId="41">'Div 3'!$D$134</definedName>
    <definedName name="OSRRefD21_24_2x" localSheetId="41">'Div 3'!$D$135</definedName>
    <definedName name="OSRRefD21_24x_0" localSheetId="48">'300'!$D$133</definedName>
    <definedName name="OSRRefD21_24x_0" localSheetId="49">'300 &amp; 317'!$D$139</definedName>
    <definedName name="OSRRefD21_24x_0" localSheetId="41">'Div 3'!$D$133:$D$135</definedName>
    <definedName name="OSRRefD21_24x_0" localSheetId="2">Summary!$D$149</definedName>
    <definedName name="OSRRefD21_25_0x" localSheetId="41">'Div 3'!$D$137</definedName>
    <definedName name="OSRRefD21_25_0x" localSheetId="2">Summary!$D$151</definedName>
    <definedName name="OSRRefD21_25_1x" localSheetId="2">Summary!$D$152</definedName>
    <definedName name="OSRRefD21_25_2x" localSheetId="2">Summary!$D$153</definedName>
    <definedName name="OSRRefD21_25x_0" localSheetId="41">'Div 3'!$D$137</definedName>
    <definedName name="OSRRefD21_25x_0" localSheetId="2">Summary!$D$151:$D$153</definedName>
    <definedName name="OSRRefD21_26_0x" localSheetId="2">Summary!$D$155</definedName>
    <definedName name="OSRRefD21_26x_0" localSheetId="2">Summary!$D$155</definedName>
    <definedName name="OSRRefD21_2x_0" localSheetId="40">'200'!$D$23</definedName>
    <definedName name="OSRRefD21_2x_0" localSheetId="42">'201'!$D$40</definedName>
    <definedName name="OSRRefD21_2x_0" localSheetId="43">'202'!$D$40</definedName>
    <definedName name="OSRRefD21_2x_0" localSheetId="44">'203'!$D$41</definedName>
    <definedName name="OSRRefD21_2x_0" localSheetId="45">'204'!$D$40:$D$41</definedName>
    <definedName name="OSRRefD21_2x_0" localSheetId="46">'205'!$D$40</definedName>
    <definedName name="OSRRefD21_2x_0" localSheetId="47">'206'!$D$40</definedName>
    <definedName name="OSRRefD21_2x_0" localSheetId="48">'300'!$D$67</definedName>
    <definedName name="OSRRefD21_2x_0" localSheetId="49">'300 &amp; 317'!$D$73</definedName>
    <definedName name="OSRRefD21_2x_0" localSheetId="50">'301'!$D$41</definedName>
    <definedName name="OSRRefD21_2x_0" localSheetId="52">'307'!$D$42</definedName>
    <definedName name="OSRRefD21_2x_0" localSheetId="53">'308'!$D$55</definedName>
    <definedName name="OSRRefD21_2x_0" localSheetId="64">'309'!$D$23</definedName>
    <definedName name="OSRRefD21_2x_0" localSheetId="63">'310'!$D$43</definedName>
    <definedName name="OSRRefD21_2x_0" localSheetId="70">'310 &amp; 491'!$D$47</definedName>
    <definedName name="OSRRefD21_2x_0" localSheetId="54">'311'!$D$55</definedName>
    <definedName name="OSRRefD21_2x_0" localSheetId="57">'315'!$D$59</definedName>
    <definedName name="OSRRefD21_2x_0" localSheetId="60">'316'!$D$44</definedName>
    <definedName name="OSRRefD21_2x_0" localSheetId="62">'317'!$D$55</definedName>
    <definedName name="OSRRefD21_2x_0" localSheetId="66">'321'!$D$42</definedName>
    <definedName name="OSRRefD21_2x_0" localSheetId="67">'325'!$D$43</definedName>
    <definedName name="OSRRefD21_2x_0" localSheetId="58">'326'!$D$45</definedName>
    <definedName name="OSRRefD21_2x_0" localSheetId="51">'330'!$D$42</definedName>
    <definedName name="OSRRefD21_2x_0" localSheetId="56">'331'!$D$59</definedName>
    <definedName name="OSRRefD21_2x_0" localSheetId="59">'332'!$D$44</definedName>
    <definedName name="OSRRefD21_2x_0" localSheetId="72">'405'!$D$43</definedName>
    <definedName name="OSRRefD21_2x_0" localSheetId="73">'411'!$D$40</definedName>
    <definedName name="OSRRefD21_2x_0" localSheetId="76">'415'!$D$47</definedName>
    <definedName name="OSRRefD21_2x_0" localSheetId="77">'418'!$D$43</definedName>
    <definedName name="OSRRefD21_2x_0" localSheetId="78">'423'!$D$39</definedName>
    <definedName name="OSRRefD21_2x_0" localSheetId="83">'430'!$D$40</definedName>
    <definedName name="OSRRefD21_2x_0" localSheetId="84">'433'!$D$43</definedName>
    <definedName name="OSRRefD21_2x_0" localSheetId="85">'444'!$D$48</definedName>
    <definedName name="OSRRefD21_2x_0" localSheetId="86">'450'!$D$43</definedName>
    <definedName name="OSRRefD21_2x_0" localSheetId="71">'491'!$D$47</definedName>
    <definedName name="OSRRefD21_2x_0" localSheetId="82">'492'!$D$48</definedName>
    <definedName name="OSRRefD21_2x_0" localSheetId="88">'501'!$D$41</definedName>
    <definedName name="OSRRefD21_2x_0" localSheetId="39">'Div 2'!$D$42</definedName>
    <definedName name="OSRRefD21_2x_0" localSheetId="41">'Div 3'!$D$68</definedName>
    <definedName name="OSRRefD21_2x_0" localSheetId="69">'Div 4'!$D$50</definedName>
    <definedName name="OSRRefD21_2x_0" localSheetId="87">'Div 5'!$D$41</definedName>
    <definedName name="OSRRefD21_2x_0" localSheetId="61">'Div 6'!$D$55</definedName>
    <definedName name="OSRRefD21_2x_0" localSheetId="2">Summary!$D$79</definedName>
    <definedName name="OSRRefD21_3_0x" localSheetId="40">'200'!$D$25</definedName>
    <definedName name="OSRRefD21_3_0x" localSheetId="42">'201'!$D$42</definedName>
    <definedName name="OSRRefD21_3_0x" localSheetId="43">'202'!$D$42</definedName>
    <definedName name="OSRRefD21_3_0x" localSheetId="44">'203'!$D$43</definedName>
    <definedName name="OSRRefD21_3_0x" localSheetId="45">'204'!$D$43</definedName>
    <definedName name="OSRRefD21_3_0x" localSheetId="46">'205'!$D$42</definedName>
    <definedName name="OSRRefD21_3_0x" localSheetId="47">'206'!$D$42</definedName>
    <definedName name="OSRRefD21_3_0x" localSheetId="48">'300'!$D$69</definedName>
    <definedName name="OSRRefD21_3_0x" localSheetId="49">'300 &amp; 317'!$D$75</definedName>
    <definedName name="OSRRefD21_3_0x" localSheetId="50">'301'!$D$43</definedName>
    <definedName name="OSRRefD21_3_0x" localSheetId="52">'307'!$D$44</definedName>
    <definedName name="OSRRefD21_3_0x" localSheetId="53">'308'!$D$57</definedName>
    <definedName name="OSRRefD21_3_0x" localSheetId="63">'310'!$D$45</definedName>
    <definedName name="OSRRefD21_3_0x" localSheetId="70">'310 &amp; 491'!$D$49</definedName>
    <definedName name="OSRRefD21_3_0x" localSheetId="54">'311'!$D$57</definedName>
    <definedName name="OSRRefD21_3_0x" localSheetId="57">'315'!$D$61</definedName>
    <definedName name="OSRRefD21_3_0x" localSheetId="60">'316'!$D$46</definedName>
    <definedName name="OSRRefD21_3_0x" localSheetId="62">'317'!$D$57</definedName>
    <definedName name="OSRRefD21_3_0x" localSheetId="66">'321'!$D$44</definedName>
    <definedName name="OSRRefD21_3_0x" localSheetId="67">'325'!$D$45</definedName>
    <definedName name="OSRRefD21_3_0x" localSheetId="58">'326'!$D$47</definedName>
    <definedName name="OSRRefD21_3_0x" localSheetId="51">'330'!$D$44</definedName>
    <definedName name="OSRRefD21_3_0x" localSheetId="56">'331'!$D$61</definedName>
    <definedName name="OSRRefD21_3_0x" localSheetId="59">'332'!$D$46</definedName>
    <definedName name="OSRRefD21_3_0x" localSheetId="72">'405'!$D$45</definedName>
    <definedName name="OSRRefD21_3_0x" localSheetId="73">'411'!$D$42</definedName>
    <definedName name="OSRRefD21_3_0x" localSheetId="76">'415'!$D$49</definedName>
    <definedName name="OSRRefD21_3_0x" localSheetId="77">'418'!$D$45</definedName>
    <definedName name="OSRRefD21_3_0x" localSheetId="78">'423'!$D$41</definedName>
    <definedName name="OSRRefD21_3_0x" localSheetId="83">'430'!$D$42</definedName>
    <definedName name="OSRRefD21_3_0x" localSheetId="84">'433'!$D$45</definedName>
    <definedName name="OSRRefD21_3_0x" localSheetId="85">'444'!$D$50</definedName>
    <definedName name="OSRRefD21_3_0x" localSheetId="86">'450'!$D$45</definedName>
    <definedName name="OSRRefD21_3_0x" localSheetId="71">'491'!$D$49</definedName>
    <definedName name="OSRRefD21_3_0x" localSheetId="82">'492'!$D$50</definedName>
    <definedName name="OSRRefD21_3_0x" localSheetId="88">'501'!$D$43</definedName>
    <definedName name="OSRRefD21_3_0x" localSheetId="39">'Div 2'!$D$44</definedName>
    <definedName name="OSRRefD21_3_0x" localSheetId="41">'Div 3'!$D$70</definedName>
    <definedName name="OSRRefD21_3_0x" localSheetId="69">'Div 4'!$D$52</definedName>
    <definedName name="OSRRefD21_3_0x" localSheetId="87">'Div 5'!$D$43</definedName>
    <definedName name="OSRRefD21_3_0x" localSheetId="61">'Div 6'!$D$57</definedName>
    <definedName name="OSRRefD21_3_0x" localSheetId="2">Summary!$D$81</definedName>
    <definedName name="OSRRefD21_3_1x" localSheetId="40">'200'!$D$26</definedName>
    <definedName name="OSRRefD21_3_1x" localSheetId="73">'411'!$D$43</definedName>
    <definedName name="OSRRefD21_3x_0" localSheetId="40">'200'!$D$25:$D$26</definedName>
    <definedName name="OSRRefD21_3x_0" localSheetId="42">'201'!$D$42</definedName>
    <definedName name="OSRRefD21_3x_0" localSheetId="43">'202'!$D$42</definedName>
    <definedName name="OSRRefD21_3x_0" localSheetId="44">'203'!$D$43</definedName>
    <definedName name="OSRRefD21_3x_0" localSheetId="45">'204'!$D$43</definedName>
    <definedName name="OSRRefD21_3x_0" localSheetId="46">'205'!$D$42</definedName>
    <definedName name="OSRRefD21_3x_0" localSheetId="47">'206'!$D$42</definedName>
    <definedName name="OSRRefD21_3x_0" localSheetId="48">'300'!$D$69</definedName>
    <definedName name="OSRRefD21_3x_0" localSheetId="49">'300 &amp; 317'!$D$75</definedName>
    <definedName name="OSRRefD21_3x_0" localSheetId="50">'301'!$D$43</definedName>
    <definedName name="OSRRefD21_3x_0" localSheetId="52">'307'!$D$44</definedName>
    <definedName name="OSRRefD21_3x_0" localSheetId="53">'308'!$D$57</definedName>
    <definedName name="OSRRefD21_3x_0" localSheetId="63">'310'!$D$45</definedName>
    <definedName name="OSRRefD21_3x_0" localSheetId="70">'310 &amp; 491'!$D$49</definedName>
    <definedName name="OSRRefD21_3x_0" localSheetId="54">'311'!$D$57</definedName>
    <definedName name="OSRRefD21_3x_0" localSheetId="57">'315'!$D$61</definedName>
    <definedName name="OSRRefD21_3x_0" localSheetId="60">'316'!$D$46</definedName>
    <definedName name="OSRRefD21_3x_0" localSheetId="62">'317'!$D$57</definedName>
    <definedName name="OSRRefD21_3x_0" localSheetId="66">'321'!$D$44</definedName>
    <definedName name="OSRRefD21_3x_0" localSheetId="67">'325'!$D$45</definedName>
    <definedName name="OSRRefD21_3x_0" localSheetId="58">'326'!$D$47</definedName>
    <definedName name="OSRRefD21_3x_0" localSheetId="51">'330'!$D$44</definedName>
    <definedName name="OSRRefD21_3x_0" localSheetId="56">'331'!$D$61</definedName>
    <definedName name="OSRRefD21_3x_0" localSheetId="59">'332'!$D$46</definedName>
    <definedName name="OSRRefD21_3x_0" localSheetId="72">'405'!$D$45</definedName>
    <definedName name="OSRRefD21_3x_0" localSheetId="73">'411'!$D$42:$D$43</definedName>
    <definedName name="OSRRefD21_3x_0" localSheetId="76">'415'!$D$49</definedName>
    <definedName name="OSRRefD21_3x_0" localSheetId="77">'418'!$D$45</definedName>
    <definedName name="OSRRefD21_3x_0" localSheetId="78">'423'!$D$41</definedName>
    <definedName name="OSRRefD21_3x_0" localSheetId="83">'430'!$D$42</definedName>
    <definedName name="OSRRefD21_3x_0" localSheetId="84">'433'!$D$45</definedName>
    <definedName name="OSRRefD21_3x_0" localSheetId="85">'444'!$D$50</definedName>
    <definedName name="OSRRefD21_3x_0" localSheetId="86">'450'!$D$45</definedName>
    <definedName name="OSRRefD21_3x_0" localSheetId="71">'491'!$D$49</definedName>
    <definedName name="OSRRefD21_3x_0" localSheetId="82">'492'!$D$50</definedName>
    <definedName name="OSRRefD21_3x_0" localSheetId="88">'501'!$D$43</definedName>
    <definedName name="OSRRefD21_3x_0" localSheetId="39">'Div 2'!$D$44</definedName>
    <definedName name="OSRRefD21_3x_0" localSheetId="41">'Div 3'!$D$70</definedName>
    <definedName name="OSRRefD21_3x_0" localSheetId="69">'Div 4'!$D$52</definedName>
    <definedName name="OSRRefD21_3x_0" localSheetId="87">'Div 5'!$D$43</definedName>
    <definedName name="OSRRefD21_3x_0" localSheetId="61">'Div 6'!$D$57</definedName>
    <definedName name="OSRRefD21_3x_0" localSheetId="2">Summary!$D$81</definedName>
    <definedName name="OSRRefD21_4_0x" localSheetId="42">'201'!$D$44</definedName>
    <definedName name="OSRRefD21_4_0x" localSheetId="43">'202'!$D$44</definedName>
    <definedName name="OSRRefD21_4_0x" localSheetId="44">'203'!$D$45</definedName>
    <definedName name="OSRRefD21_4_0x" localSheetId="45">'204'!$D$45</definedName>
    <definedName name="OSRRefD21_4_0x" localSheetId="46">'205'!$D$44</definedName>
    <definedName name="OSRRefD21_4_0x" localSheetId="47">'206'!$D$44</definedName>
    <definedName name="OSRRefD21_4_0x" localSheetId="48">'300'!$D$71</definedName>
    <definedName name="OSRRefD21_4_0x" localSheetId="49">'300 &amp; 317'!$D$77</definedName>
    <definedName name="OSRRefD21_4_0x" localSheetId="50">'301'!$D$45</definedName>
    <definedName name="OSRRefD21_4_0x" localSheetId="52">'307'!$D$46</definedName>
    <definedName name="OSRRefD21_4_0x" localSheetId="53">'308'!$D$59</definedName>
    <definedName name="OSRRefD21_4_0x" localSheetId="63">'310'!$D$47</definedName>
    <definedName name="OSRRefD21_4_0x" localSheetId="70">'310 &amp; 491'!$D$51</definedName>
    <definedName name="OSRRefD21_4_0x" localSheetId="54">'311'!$D$59</definedName>
    <definedName name="OSRRefD21_4_0x" localSheetId="57">'315'!$D$63</definedName>
    <definedName name="OSRRefD21_4_0x" localSheetId="60">'316'!$D$48</definedName>
    <definedName name="OSRRefD21_4_0x" localSheetId="62">'317'!$D$59</definedName>
    <definedName name="OSRRefD21_4_0x" localSheetId="66">'321'!$D$46</definedName>
    <definedName name="OSRRefD21_4_0x" localSheetId="67">'325'!$D$47</definedName>
    <definedName name="OSRRefD21_4_0x" localSheetId="58">'326'!$D$49</definedName>
    <definedName name="OSRRefD21_4_0x" localSheetId="51">'330'!$D$46</definedName>
    <definedName name="OSRRefD21_4_0x" localSheetId="56">'331'!$D$63</definedName>
    <definedName name="OSRRefD21_4_0x" localSheetId="59">'332'!$D$48</definedName>
    <definedName name="OSRRefD21_4_0x" localSheetId="72">'405'!$D$47</definedName>
    <definedName name="OSRRefD21_4_0x" localSheetId="73">'411'!$D$45</definedName>
    <definedName name="OSRRefD21_4_0x" localSheetId="76">'415'!$D$51</definedName>
    <definedName name="OSRRefD21_4_0x" localSheetId="77">'418'!$D$47</definedName>
    <definedName name="OSRRefD21_4_0x" localSheetId="83">'430'!$D$44</definedName>
    <definedName name="OSRRefD21_4_0x" localSheetId="84">'433'!$D$47</definedName>
    <definedName name="OSRRefD21_4_0x" localSheetId="85">'444'!$D$52</definedName>
    <definedName name="OSRRefD21_4_0x" localSheetId="86">'450'!$D$47</definedName>
    <definedName name="OSRRefD21_4_0x" localSheetId="71">'491'!$D$51</definedName>
    <definedName name="OSRRefD21_4_0x" localSheetId="82">'492'!$D$52</definedName>
    <definedName name="OSRRefD21_4_0x" localSheetId="88">'501'!$D$45</definedName>
    <definedName name="OSRRefD21_4_0x" localSheetId="39">'Div 2'!$D$46</definedName>
    <definedName name="OSRRefD21_4_0x" localSheetId="41">'Div 3'!$D$72</definedName>
    <definedName name="OSRRefD21_4_0x" localSheetId="69">'Div 4'!$D$54</definedName>
    <definedName name="OSRRefD21_4_0x" localSheetId="87">'Div 5'!$D$45</definedName>
    <definedName name="OSRRefD21_4_0x" localSheetId="61">'Div 6'!$D$59</definedName>
    <definedName name="OSRRefD21_4_0x" localSheetId="2">Summary!$D$83</definedName>
    <definedName name="OSRRefD21_4_1x" localSheetId="45">'204'!$D$46</definedName>
    <definedName name="OSRRefD21_4_1x" localSheetId="46">'205'!$D$45</definedName>
    <definedName name="OSRRefD21_4_1x" localSheetId="50">'301'!$D$46</definedName>
    <definedName name="OSRRefD21_4_1x" localSheetId="67">'325'!$D$48</definedName>
    <definedName name="OSRRefD21_4_1x" localSheetId="72">'405'!$D$48</definedName>
    <definedName name="OSRRefD21_4_1x" localSheetId="77">'418'!$D$48</definedName>
    <definedName name="OSRRefD21_4_2x" localSheetId="45">'204'!$D$47</definedName>
    <definedName name="OSRRefD21_4_2x" localSheetId="46">'205'!$D$46</definedName>
    <definedName name="OSRRefD21_4x_0" localSheetId="42">'201'!$D$44</definedName>
    <definedName name="OSRRefD21_4x_0" localSheetId="43">'202'!$D$44</definedName>
    <definedName name="OSRRefD21_4x_0" localSheetId="44">'203'!$D$45</definedName>
    <definedName name="OSRRefD21_4x_0" localSheetId="45">'204'!$D$45:$D$47</definedName>
    <definedName name="OSRRefD21_4x_0" localSheetId="46">'205'!$D$44:$D$46</definedName>
    <definedName name="OSRRefD21_4x_0" localSheetId="47">'206'!$D$44</definedName>
    <definedName name="OSRRefD21_4x_0" localSheetId="48">'300'!$D$71</definedName>
    <definedName name="OSRRefD21_4x_0" localSheetId="49">'300 &amp; 317'!$D$77</definedName>
    <definedName name="OSRRefD21_4x_0" localSheetId="50">'301'!$D$45:$D$46</definedName>
    <definedName name="OSRRefD21_4x_0" localSheetId="52">'307'!$D$46</definedName>
    <definedName name="OSRRefD21_4x_0" localSheetId="53">'308'!$D$59</definedName>
    <definedName name="OSRRefD21_4x_0" localSheetId="63">'310'!$D$47</definedName>
    <definedName name="OSRRefD21_4x_0" localSheetId="70">'310 &amp; 491'!$D$51</definedName>
    <definedName name="OSRRefD21_4x_0" localSheetId="54">'311'!$D$59</definedName>
    <definedName name="OSRRefD21_4x_0" localSheetId="57">'315'!$D$63</definedName>
    <definedName name="OSRRefD21_4x_0" localSheetId="60">'316'!$D$48</definedName>
    <definedName name="OSRRefD21_4x_0" localSheetId="62">'317'!$D$59</definedName>
    <definedName name="OSRRefD21_4x_0" localSheetId="66">'321'!$D$46</definedName>
    <definedName name="OSRRefD21_4x_0" localSheetId="67">'325'!$D$47:$D$48</definedName>
    <definedName name="OSRRefD21_4x_0" localSheetId="58">'326'!$D$49</definedName>
    <definedName name="OSRRefD21_4x_0" localSheetId="51">'330'!$D$46</definedName>
    <definedName name="OSRRefD21_4x_0" localSheetId="56">'331'!$D$63</definedName>
    <definedName name="OSRRefD21_4x_0" localSheetId="59">'332'!$D$48</definedName>
    <definedName name="OSRRefD21_4x_0" localSheetId="72">'405'!$D$47:$D$48</definedName>
    <definedName name="OSRRefD21_4x_0" localSheetId="73">'411'!$D$45</definedName>
    <definedName name="OSRRefD21_4x_0" localSheetId="76">'415'!$D$51</definedName>
    <definedName name="OSRRefD21_4x_0" localSheetId="77">'418'!$D$47:$D$48</definedName>
    <definedName name="OSRRefD21_4x_0" localSheetId="83">'430'!$D$44</definedName>
    <definedName name="OSRRefD21_4x_0" localSheetId="84">'433'!$D$47</definedName>
    <definedName name="OSRRefD21_4x_0" localSheetId="85">'444'!$D$52</definedName>
    <definedName name="OSRRefD21_4x_0" localSheetId="86">'450'!$D$47</definedName>
    <definedName name="OSRRefD21_4x_0" localSheetId="71">'491'!$D$51</definedName>
    <definedName name="OSRRefD21_4x_0" localSheetId="82">'492'!$D$52</definedName>
    <definedName name="OSRRefD21_4x_0" localSheetId="88">'501'!$D$45</definedName>
    <definedName name="OSRRefD21_4x_0" localSheetId="39">'Div 2'!$D$46</definedName>
    <definedName name="OSRRefD21_4x_0" localSheetId="41">'Div 3'!$D$72</definedName>
    <definedName name="OSRRefD21_4x_0" localSheetId="69">'Div 4'!$D$54</definedName>
    <definedName name="OSRRefD21_4x_0" localSheetId="87">'Div 5'!$D$45</definedName>
    <definedName name="OSRRefD21_4x_0" localSheetId="61">'Div 6'!$D$59</definedName>
    <definedName name="OSRRefD21_4x_0" localSheetId="2">Summary!$D$83</definedName>
    <definedName name="OSRRefD21_5_0x" localSheetId="42">'201'!$D$46</definedName>
    <definedName name="OSRRefD21_5_0x" localSheetId="43">'202'!$D$46</definedName>
    <definedName name="OSRRefD21_5_0x" localSheetId="44">'203'!$D$47</definedName>
    <definedName name="OSRRefD21_5_0x" localSheetId="45">'204'!$D$49</definedName>
    <definedName name="OSRRefD21_5_0x" localSheetId="46">'205'!$D$48</definedName>
    <definedName name="OSRRefD21_5_0x" localSheetId="47">'206'!$D$46</definedName>
    <definedName name="OSRRefD21_5_0x" localSheetId="48">'300'!$D$73</definedName>
    <definedName name="OSRRefD21_5_0x" localSheetId="49">'300 &amp; 317'!$D$79</definedName>
    <definedName name="OSRRefD21_5_0x" localSheetId="50">'301'!$D$48</definedName>
    <definedName name="OSRRefD21_5_0x" localSheetId="52">'307'!$D$48</definedName>
    <definedName name="OSRRefD21_5_0x" localSheetId="53">'308'!$D$61</definedName>
    <definedName name="OSRRefD21_5_0x" localSheetId="63">'310'!$D$49</definedName>
    <definedName name="OSRRefD21_5_0x" localSheetId="70">'310 &amp; 491'!$D$53</definedName>
    <definedName name="OSRRefD21_5_0x" localSheetId="54">'311'!$D$61</definedName>
    <definedName name="OSRRefD21_5_0x" localSheetId="57">'315'!$D$65</definedName>
    <definedName name="OSRRefD21_5_0x" localSheetId="60">'316'!$D$50</definedName>
    <definedName name="OSRRefD21_5_0x" localSheetId="62">'317'!$D$61</definedName>
    <definedName name="OSRRefD21_5_0x" localSheetId="66">'321'!$D$48</definedName>
    <definedName name="OSRRefD21_5_0x" localSheetId="67">'325'!$D$50</definedName>
    <definedName name="OSRRefD21_5_0x" localSheetId="58">'326'!$D$51</definedName>
    <definedName name="OSRRefD21_5_0x" localSheetId="51">'330'!$D$48</definedName>
    <definedName name="OSRRefD21_5_0x" localSheetId="56">'331'!$D$65</definedName>
    <definedName name="OSRRefD21_5_0x" localSheetId="59">'332'!$D$50</definedName>
    <definedName name="OSRRefD21_5_0x" localSheetId="72">'405'!$D$50</definedName>
    <definedName name="OSRRefD21_5_0x" localSheetId="73">'411'!$D$47</definedName>
    <definedName name="OSRRefD21_5_0x" localSheetId="76">'415'!$D$53</definedName>
    <definedName name="OSRRefD21_5_0x" localSheetId="77">'418'!$D$50</definedName>
    <definedName name="OSRRefD21_5_0x" localSheetId="83">'430'!$D$46</definedName>
    <definedName name="OSRRefD21_5_0x" localSheetId="84">'433'!$D$49</definedName>
    <definedName name="OSRRefD21_5_0x" localSheetId="85">'444'!$D$54</definedName>
    <definedName name="OSRRefD21_5_0x" localSheetId="86">'450'!$D$49</definedName>
    <definedName name="OSRRefD21_5_0x" localSheetId="71">'491'!$D$53</definedName>
    <definedName name="OSRRefD21_5_0x" localSheetId="82">'492'!$D$54</definedName>
    <definedName name="OSRRefD21_5_0x" localSheetId="88">'501'!$D$47</definedName>
    <definedName name="OSRRefD21_5_0x" localSheetId="39">'Div 2'!$D$48</definedName>
    <definedName name="OSRRefD21_5_0x" localSheetId="41">'Div 3'!$D$74</definedName>
    <definedName name="OSRRefD21_5_0x" localSheetId="69">'Div 4'!$D$56</definedName>
    <definedName name="OSRRefD21_5_0x" localSheetId="87">'Div 5'!$D$47</definedName>
    <definedName name="OSRRefD21_5_0x" localSheetId="61">'Div 6'!$D$61</definedName>
    <definedName name="OSRRefD21_5_0x" localSheetId="2">Summary!$D$85</definedName>
    <definedName name="OSRRefD21_5_1x" localSheetId="45">'204'!$D$50</definedName>
    <definedName name="OSRRefD21_5_1x" localSheetId="47">'206'!$D$47</definedName>
    <definedName name="OSRRefD21_5_1x" localSheetId="48">'300'!$D$74</definedName>
    <definedName name="OSRRefD21_5_1x" localSheetId="49">'300 &amp; 317'!$D$80</definedName>
    <definedName name="OSRRefD21_5_1x" localSheetId="63">'310'!$D$50</definedName>
    <definedName name="OSRRefD21_5_1x" localSheetId="70">'310 &amp; 491'!$D$54</definedName>
    <definedName name="OSRRefD21_5_1x" localSheetId="60">'316'!$D$51</definedName>
    <definedName name="OSRRefD21_5_1x" localSheetId="59">'332'!$D$51</definedName>
    <definedName name="OSRRefD21_5_1x" localSheetId="76">'415'!$D$54</definedName>
    <definedName name="OSRRefD21_5_1x" localSheetId="83">'430'!$D$47</definedName>
    <definedName name="OSRRefD21_5_1x" localSheetId="71">'491'!$D$54</definedName>
    <definedName name="OSRRefD21_5_1x" localSheetId="39">'Div 2'!$D$49</definedName>
    <definedName name="OSRRefD21_5_1x" localSheetId="41">'Div 3'!$D$75</definedName>
    <definedName name="OSRRefD21_5_1x" localSheetId="69">'Div 4'!$D$57</definedName>
    <definedName name="OSRRefD21_5_1x" localSheetId="2">Summary!$D$86</definedName>
    <definedName name="OSRRefD21_5x_0" localSheetId="42">'201'!$D$46</definedName>
    <definedName name="OSRRefD21_5x_0" localSheetId="43">'202'!$D$46</definedName>
    <definedName name="OSRRefD21_5x_0" localSheetId="44">'203'!$D$47</definedName>
    <definedName name="OSRRefD21_5x_0" localSheetId="45">'204'!$D$49:$D$50</definedName>
    <definedName name="OSRRefD21_5x_0" localSheetId="46">'205'!$D$48</definedName>
    <definedName name="OSRRefD21_5x_0" localSheetId="47">'206'!$D$46:$D$47</definedName>
    <definedName name="OSRRefD21_5x_0" localSheetId="48">'300'!$D$73:$D$74</definedName>
    <definedName name="OSRRefD21_5x_0" localSheetId="49">'300 &amp; 317'!$D$79:$D$80</definedName>
    <definedName name="OSRRefD21_5x_0" localSheetId="50">'301'!$D$48</definedName>
    <definedName name="OSRRefD21_5x_0" localSheetId="52">'307'!$D$48</definedName>
    <definedName name="OSRRefD21_5x_0" localSheetId="53">'308'!$D$61</definedName>
    <definedName name="OSRRefD21_5x_0" localSheetId="63">'310'!$D$49:$D$50</definedName>
    <definedName name="OSRRefD21_5x_0" localSheetId="70">'310 &amp; 491'!$D$53:$D$54</definedName>
    <definedName name="OSRRefD21_5x_0" localSheetId="54">'311'!$D$61</definedName>
    <definedName name="OSRRefD21_5x_0" localSheetId="57">'315'!$D$65</definedName>
    <definedName name="OSRRefD21_5x_0" localSheetId="60">'316'!$D$50:$D$51</definedName>
    <definedName name="OSRRefD21_5x_0" localSheetId="62">'317'!$D$61</definedName>
    <definedName name="OSRRefD21_5x_0" localSheetId="66">'321'!$D$48</definedName>
    <definedName name="OSRRefD21_5x_0" localSheetId="67">'325'!$D$50</definedName>
    <definedName name="OSRRefD21_5x_0" localSheetId="58">'326'!$D$51</definedName>
    <definedName name="OSRRefD21_5x_0" localSheetId="51">'330'!$D$48</definedName>
    <definedName name="OSRRefD21_5x_0" localSheetId="56">'331'!$D$65</definedName>
    <definedName name="OSRRefD21_5x_0" localSheetId="59">'332'!$D$50:$D$51</definedName>
    <definedName name="OSRRefD21_5x_0" localSheetId="72">'405'!$D$50</definedName>
    <definedName name="OSRRefD21_5x_0" localSheetId="73">'411'!$D$47</definedName>
    <definedName name="OSRRefD21_5x_0" localSheetId="76">'415'!$D$53:$D$54</definedName>
    <definedName name="OSRRefD21_5x_0" localSheetId="77">'418'!$D$50</definedName>
    <definedName name="OSRRefD21_5x_0" localSheetId="83">'430'!$D$46:$D$47</definedName>
    <definedName name="OSRRefD21_5x_0" localSheetId="84">'433'!$D$49</definedName>
    <definedName name="OSRRefD21_5x_0" localSheetId="85">'444'!$D$54</definedName>
    <definedName name="OSRRefD21_5x_0" localSheetId="86">'450'!$D$49</definedName>
    <definedName name="OSRRefD21_5x_0" localSheetId="71">'491'!$D$53:$D$54</definedName>
    <definedName name="OSRRefD21_5x_0" localSheetId="82">'492'!$D$54</definedName>
    <definedName name="OSRRefD21_5x_0" localSheetId="88">'501'!$D$47</definedName>
    <definedName name="OSRRefD21_5x_0" localSheetId="39">'Div 2'!$D$48:$D$49</definedName>
    <definedName name="OSRRefD21_5x_0" localSheetId="41">'Div 3'!$D$74:$D$75</definedName>
    <definedName name="OSRRefD21_5x_0" localSheetId="69">'Div 4'!$D$56:$D$57</definedName>
    <definedName name="OSRRefD21_5x_0" localSheetId="87">'Div 5'!$D$47</definedName>
    <definedName name="OSRRefD21_5x_0" localSheetId="61">'Div 6'!$D$61</definedName>
    <definedName name="OSRRefD21_5x_0" localSheetId="2">Summary!$D$85:$D$86</definedName>
    <definedName name="OSRRefD21_6_0x" localSheetId="42">'201'!$D$48</definedName>
    <definedName name="OSRRefD21_6_0x" localSheetId="43">'202'!$D$48</definedName>
    <definedName name="OSRRefD21_6_0x" localSheetId="44">'203'!$D$49</definedName>
    <definedName name="OSRRefD21_6_0x" localSheetId="45">'204'!$D$52</definedName>
    <definedName name="OSRRefD21_6_0x" localSheetId="46">'205'!$D$50</definedName>
    <definedName name="OSRRefD21_6_0x" localSheetId="48">'300'!$D$76</definedName>
    <definedName name="OSRRefD21_6_0x" localSheetId="49">'300 &amp; 317'!$D$82</definedName>
    <definedName name="OSRRefD21_6_0x" localSheetId="50">'301'!$D$50</definedName>
    <definedName name="OSRRefD21_6_0x" localSheetId="52">'307'!$D$50</definedName>
    <definedName name="OSRRefD21_6_0x" localSheetId="53">'308'!$D$63</definedName>
    <definedName name="OSRRefD21_6_0x" localSheetId="63">'310'!$D$52</definedName>
    <definedName name="OSRRefD21_6_0x" localSheetId="70">'310 &amp; 491'!$D$56</definedName>
    <definedName name="OSRRefD21_6_0x" localSheetId="54">'311'!$D$63</definedName>
    <definedName name="OSRRefD21_6_0x" localSheetId="57">'315'!$D$67</definedName>
    <definedName name="OSRRefD21_6_0x" localSheetId="60">'316'!$D$53</definedName>
    <definedName name="OSRRefD21_6_0x" localSheetId="62">'317'!$D$63</definedName>
    <definedName name="OSRRefD21_6_0x" localSheetId="66">'321'!$D$50</definedName>
    <definedName name="OSRRefD21_6_0x" localSheetId="67">'325'!$D$52</definedName>
    <definedName name="OSRRefD21_6_0x" localSheetId="58">'326'!$D$53</definedName>
    <definedName name="OSRRefD21_6_0x" localSheetId="51">'330'!$D$50</definedName>
    <definedName name="OSRRefD21_6_0x" localSheetId="56">'331'!$D$67</definedName>
    <definedName name="OSRRefD21_6_0x" localSheetId="59">'332'!$D$53</definedName>
    <definedName name="OSRRefD21_6_0x" localSheetId="72">'405'!$D$52</definedName>
    <definedName name="OSRRefD21_6_0x" localSheetId="73">'411'!$D$49</definedName>
    <definedName name="OSRRefD21_6_0x" localSheetId="76">'415'!$D$56</definedName>
    <definedName name="OSRRefD21_6_0x" localSheetId="77">'418'!$D$52</definedName>
    <definedName name="OSRRefD21_6_0x" localSheetId="83">'430'!$D$49</definedName>
    <definedName name="OSRRefD21_6_0x" localSheetId="84">'433'!$D$51</definedName>
    <definedName name="OSRRefD21_6_0x" localSheetId="85">'444'!$D$56</definedName>
    <definedName name="OSRRefD21_6_0x" localSheetId="86">'450'!$D$51</definedName>
    <definedName name="OSRRefD21_6_0x" localSheetId="71">'491'!$D$56</definedName>
    <definedName name="OSRRefD21_6_0x" localSheetId="82">'492'!$D$56</definedName>
    <definedName name="OSRRefD21_6_0x" localSheetId="88">'501'!$D$49</definedName>
    <definedName name="OSRRefD21_6_0x" localSheetId="39">'Div 2'!$D$51</definedName>
    <definedName name="OSRRefD21_6_0x" localSheetId="41">'Div 3'!$D$77</definedName>
    <definedName name="OSRRefD21_6_0x" localSheetId="69">'Div 4'!$D$59</definedName>
    <definedName name="OSRRefD21_6_0x" localSheetId="87">'Div 5'!$D$49</definedName>
    <definedName name="OSRRefD21_6_0x" localSheetId="61">'Div 6'!$D$63</definedName>
    <definedName name="OSRRefD21_6_0x" localSheetId="2">Summary!$D$88</definedName>
    <definedName name="OSRRefD21_6_1x" localSheetId="43">'202'!$D$49</definedName>
    <definedName name="OSRRefD21_6_1x" localSheetId="48">'300'!$D$77</definedName>
    <definedName name="OSRRefD21_6_1x" localSheetId="49">'300 &amp; 317'!$D$83</definedName>
    <definedName name="OSRRefD21_6_1x" localSheetId="57">'315'!$D$68</definedName>
    <definedName name="OSRRefD21_6_1x" localSheetId="60">'316'!$D$54</definedName>
    <definedName name="OSRRefD21_6_1x" localSheetId="66">'321'!$D$51</definedName>
    <definedName name="OSRRefD21_6_1x" localSheetId="56">'331'!$D$68</definedName>
    <definedName name="OSRRefD21_6_1x" localSheetId="59">'332'!$D$54</definedName>
    <definedName name="OSRRefD21_6_1x" localSheetId="41">'Div 3'!$D$78</definedName>
    <definedName name="OSRRefD21_6_1x" localSheetId="2">Summary!$D$89</definedName>
    <definedName name="OSRRefD21_6_2x" localSheetId="43">'202'!$D$50</definedName>
    <definedName name="OSRRefD21_6_2x" localSheetId="60">'316'!$D$55</definedName>
    <definedName name="OSRRefD21_6_2x" localSheetId="59">'332'!$D$55</definedName>
    <definedName name="OSRRefD21_6x_0" localSheetId="42">'201'!$D$48</definedName>
    <definedName name="OSRRefD21_6x_0" localSheetId="43">'202'!$D$48:$D$50</definedName>
    <definedName name="OSRRefD21_6x_0" localSheetId="44">'203'!$D$49</definedName>
    <definedName name="OSRRefD21_6x_0" localSheetId="45">'204'!$D$52</definedName>
    <definedName name="OSRRefD21_6x_0" localSheetId="46">'205'!$D$50</definedName>
    <definedName name="OSRRefD21_6x_0" localSheetId="48">'300'!$D$76:$D$77</definedName>
    <definedName name="OSRRefD21_6x_0" localSheetId="49">'300 &amp; 317'!$D$82:$D$83</definedName>
    <definedName name="OSRRefD21_6x_0" localSheetId="50">'301'!$D$50</definedName>
    <definedName name="OSRRefD21_6x_0" localSheetId="52">'307'!$D$50</definedName>
    <definedName name="OSRRefD21_6x_0" localSheetId="53">'308'!$D$63</definedName>
    <definedName name="OSRRefD21_6x_0" localSheetId="63">'310'!$D$52</definedName>
    <definedName name="OSRRefD21_6x_0" localSheetId="70">'310 &amp; 491'!$D$56</definedName>
    <definedName name="OSRRefD21_6x_0" localSheetId="54">'311'!$D$63</definedName>
    <definedName name="OSRRefD21_6x_0" localSheetId="57">'315'!$D$67:$D$68</definedName>
    <definedName name="OSRRefD21_6x_0" localSheetId="60">'316'!$D$53:$D$55</definedName>
    <definedName name="OSRRefD21_6x_0" localSheetId="62">'317'!$D$63</definedName>
    <definedName name="OSRRefD21_6x_0" localSheetId="66">'321'!$D$50:$D$51</definedName>
    <definedName name="OSRRefD21_6x_0" localSheetId="67">'325'!$D$52</definedName>
    <definedName name="OSRRefD21_6x_0" localSheetId="58">'326'!$D$53</definedName>
    <definedName name="OSRRefD21_6x_0" localSheetId="51">'330'!$D$50</definedName>
    <definedName name="OSRRefD21_6x_0" localSheetId="56">'331'!$D$67:$D$68</definedName>
    <definedName name="OSRRefD21_6x_0" localSheetId="59">'332'!$D$53:$D$55</definedName>
    <definedName name="OSRRefD21_6x_0" localSheetId="72">'405'!$D$52</definedName>
    <definedName name="OSRRefD21_6x_0" localSheetId="73">'411'!$D$49</definedName>
    <definedName name="OSRRefD21_6x_0" localSheetId="76">'415'!$D$56</definedName>
    <definedName name="OSRRefD21_6x_0" localSheetId="77">'418'!$D$52</definedName>
    <definedName name="OSRRefD21_6x_0" localSheetId="83">'430'!$D$49</definedName>
    <definedName name="OSRRefD21_6x_0" localSheetId="84">'433'!$D$51</definedName>
    <definedName name="OSRRefD21_6x_0" localSheetId="85">'444'!$D$56</definedName>
    <definedName name="OSRRefD21_6x_0" localSheetId="86">'450'!$D$51</definedName>
    <definedName name="OSRRefD21_6x_0" localSheetId="71">'491'!$D$56</definedName>
    <definedName name="OSRRefD21_6x_0" localSheetId="82">'492'!$D$56</definedName>
    <definedName name="OSRRefD21_6x_0" localSheetId="88">'501'!$D$49</definedName>
    <definedName name="OSRRefD21_6x_0" localSheetId="39">'Div 2'!$D$51</definedName>
    <definedName name="OSRRefD21_6x_0" localSheetId="41">'Div 3'!$D$77:$D$78</definedName>
    <definedName name="OSRRefD21_6x_0" localSheetId="69">'Div 4'!$D$59</definedName>
    <definedName name="OSRRefD21_6x_0" localSheetId="87">'Div 5'!$D$49</definedName>
    <definedName name="OSRRefD21_6x_0" localSheetId="61">'Div 6'!$D$63</definedName>
    <definedName name="OSRRefD21_6x_0" localSheetId="2">Summary!$D$88:$D$89</definedName>
    <definedName name="OSRRefD21_7_0x" localSheetId="42">'201'!$D$50</definedName>
    <definedName name="OSRRefD21_7_0x" localSheetId="43">'202'!$D$52</definedName>
    <definedName name="OSRRefD21_7_0x" localSheetId="44">'203'!$D$51</definedName>
    <definedName name="OSRRefD21_7_0x" localSheetId="45">'204'!$D$54</definedName>
    <definedName name="OSRRefD21_7_0x" localSheetId="46">'205'!$D$52</definedName>
    <definedName name="OSRRefD21_7_0x" localSheetId="48">'300'!$D$79</definedName>
    <definedName name="OSRRefD21_7_0x" localSheetId="49">'300 &amp; 317'!$D$85</definedName>
    <definedName name="OSRRefD21_7_0x" localSheetId="50">'301'!$D$52</definedName>
    <definedName name="OSRRefD21_7_0x" localSheetId="52">'307'!$D$52</definedName>
    <definedName name="OSRRefD21_7_0x" localSheetId="53">'308'!$D$65</definedName>
    <definedName name="OSRRefD21_7_0x" localSheetId="63">'310'!$D$54</definedName>
    <definedName name="OSRRefD21_7_0x" localSheetId="70">'310 &amp; 491'!$D$58</definedName>
    <definedName name="OSRRefD21_7_0x" localSheetId="54">'311'!$D$65</definedName>
    <definedName name="OSRRefD21_7_0x" localSheetId="57">'315'!$D$70</definedName>
    <definedName name="OSRRefD21_7_0x" localSheetId="60">'316'!$D$57</definedName>
    <definedName name="OSRRefD21_7_0x" localSheetId="62">'317'!$D$65</definedName>
    <definedName name="OSRRefD21_7_0x" localSheetId="66">'321'!$D$53</definedName>
    <definedName name="OSRRefD21_7_0x" localSheetId="67">'325'!$D$54</definedName>
    <definedName name="OSRRefD21_7_0x" localSheetId="58">'326'!$D$55</definedName>
    <definedName name="OSRRefD21_7_0x" localSheetId="51">'330'!$D$52</definedName>
    <definedName name="OSRRefD21_7_0x" localSheetId="56">'331'!$D$70</definedName>
    <definedName name="OSRRefD21_7_0x" localSheetId="59">'332'!$D$57</definedName>
    <definedName name="OSRRefD21_7_0x" localSheetId="72">'405'!$D$54</definedName>
    <definedName name="OSRRefD21_7_0x" localSheetId="73">'411'!$D$51</definedName>
    <definedName name="OSRRefD21_7_0x" localSheetId="76">'415'!$D$58</definedName>
    <definedName name="OSRRefD21_7_0x" localSheetId="77">'418'!$D$54</definedName>
    <definedName name="OSRRefD21_7_0x" localSheetId="84">'433'!$D$53</definedName>
    <definedName name="OSRRefD21_7_0x" localSheetId="85">'444'!$D$58</definedName>
    <definedName name="OSRRefD21_7_0x" localSheetId="86">'450'!$D$53</definedName>
    <definedName name="OSRRefD21_7_0x" localSheetId="71">'491'!$D$58</definedName>
    <definedName name="OSRRefD21_7_0x" localSheetId="82">'492'!$D$58</definedName>
    <definedName name="OSRRefD21_7_0x" localSheetId="88">'501'!$D$51</definedName>
    <definedName name="OSRRefD21_7_0x" localSheetId="39">'Div 2'!$D$53</definedName>
    <definedName name="OSRRefD21_7_0x" localSheetId="41">'Div 3'!$D$80</definedName>
    <definedName name="OSRRefD21_7_0x" localSheetId="69">'Div 4'!$D$61</definedName>
    <definedName name="OSRRefD21_7_0x" localSheetId="87">'Div 5'!$D$51</definedName>
    <definedName name="OSRRefD21_7_0x" localSheetId="61">'Div 6'!$D$65</definedName>
    <definedName name="OSRRefD21_7_0x" localSheetId="2">Summary!$D$91</definedName>
    <definedName name="OSRRefD21_7_1x" localSheetId="45">'204'!$D$55</definedName>
    <definedName name="OSRRefD21_7_1x" localSheetId="56">'331'!$D$71</definedName>
    <definedName name="OSRRefD21_7_1x" localSheetId="73">'411'!$D$52</definedName>
    <definedName name="OSRRefD21_7_1x" localSheetId="77">'418'!$D$55</definedName>
    <definedName name="OSRRefD21_7_2x" localSheetId="73">'411'!$D$53</definedName>
    <definedName name="OSRRefD21_7x_0" localSheetId="42">'201'!$D$50</definedName>
    <definedName name="OSRRefD21_7x_0" localSheetId="43">'202'!$D$52</definedName>
    <definedName name="OSRRefD21_7x_0" localSheetId="44">'203'!$D$51</definedName>
    <definedName name="OSRRefD21_7x_0" localSheetId="45">'204'!$D$54:$D$55</definedName>
    <definedName name="OSRRefD21_7x_0" localSheetId="46">'205'!$D$52</definedName>
    <definedName name="OSRRefD21_7x_0" localSheetId="48">'300'!$D$79</definedName>
    <definedName name="OSRRefD21_7x_0" localSheetId="49">'300 &amp; 317'!$D$85</definedName>
    <definedName name="OSRRefD21_7x_0" localSheetId="50">'301'!$D$52</definedName>
    <definedName name="OSRRefD21_7x_0" localSheetId="52">'307'!$D$52</definedName>
    <definedName name="OSRRefD21_7x_0" localSheetId="53">'308'!$D$65</definedName>
    <definedName name="OSRRefD21_7x_0" localSheetId="63">'310'!$D$54</definedName>
    <definedName name="OSRRefD21_7x_0" localSheetId="70">'310 &amp; 491'!$D$58</definedName>
    <definedName name="OSRRefD21_7x_0" localSheetId="54">'311'!$D$65</definedName>
    <definedName name="OSRRefD21_7x_0" localSheetId="57">'315'!$D$70</definedName>
    <definedName name="OSRRefD21_7x_0" localSheetId="60">'316'!$D$57</definedName>
    <definedName name="OSRRefD21_7x_0" localSheetId="62">'317'!$D$65</definedName>
    <definedName name="OSRRefD21_7x_0" localSheetId="66">'321'!$D$53</definedName>
    <definedName name="OSRRefD21_7x_0" localSheetId="67">'325'!$D$54</definedName>
    <definedName name="OSRRefD21_7x_0" localSheetId="58">'326'!$D$55</definedName>
    <definedName name="OSRRefD21_7x_0" localSheetId="51">'330'!$D$52</definedName>
    <definedName name="OSRRefD21_7x_0" localSheetId="56">'331'!$D$70:$D$71</definedName>
    <definedName name="OSRRefD21_7x_0" localSheetId="59">'332'!$D$57</definedName>
    <definedName name="OSRRefD21_7x_0" localSheetId="72">'405'!$D$54</definedName>
    <definedName name="OSRRefD21_7x_0" localSheetId="73">'411'!$D$51:$D$53</definedName>
    <definedName name="OSRRefD21_7x_0" localSheetId="76">'415'!$D$58</definedName>
    <definedName name="OSRRefD21_7x_0" localSheetId="77">'418'!$D$54:$D$55</definedName>
    <definedName name="OSRRefD21_7x_0" localSheetId="84">'433'!$D$53</definedName>
    <definedName name="OSRRefD21_7x_0" localSheetId="85">'444'!$D$58</definedName>
    <definedName name="OSRRefD21_7x_0" localSheetId="86">'450'!$D$53</definedName>
    <definedName name="OSRRefD21_7x_0" localSheetId="71">'491'!$D$58</definedName>
    <definedName name="OSRRefD21_7x_0" localSheetId="82">'492'!$D$58</definedName>
    <definedName name="OSRRefD21_7x_0" localSheetId="88">'501'!$D$51</definedName>
    <definedName name="OSRRefD21_7x_0" localSheetId="39">'Div 2'!$D$53</definedName>
    <definedName name="OSRRefD21_7x_0" localSheetId="41">'Div 3'!$D$80</definedName>
    <definedName name="OSRRefD21_7x_0" localSheetId="69">'Div 4'!$D$61</definedName>
    <definedName name="OSRRefD21_7x_0" localSheetId="87">'Div 5'!$D$51</definedName>
    <definedName name="OSRRefD21_7x_0" localSheetId="61">'Div 6'!$D$65</definedName>
    <definedName name="OSRRefD21_7x_0" localSheetId="2">Summary!$D$91</definedName>
    <definedName name="OSRRefD21_8_0x" localSheetId="42">'201'!$D$52</definedName>
    <definedName name="OSRRefD21_8_0x" localSheetId="43">'202'!$D$54</definedName>
    <definedName name="OSRRefD21_8_0x" localSheetId="44">'203'!$D$53</definedName>
    <definedName name="OSRRefD21_8_0x" localSheetId="45">'204'!$D$57</definedName>
    <definedName name="OSRRefD21_8_0x" localSheetId="48">'300'!$D$81</definedName>
    <definedName name="OSRRefD21_8_0x" localSheetId="49">'300 &amp; 317'!$D$87</definedName>
    <definedName name="OSRRefD21_8_0x" localSheetId="50">'301'!$D$54</definedName>
    <definedName name="OSRRefD21_8_0x" localSheetId="52">'307'!$D$54</definedName>
    <definedName name="OSRRefD21_8_0x" localSheetId="53">'308'!$D$67</definedName>
    <definedName name="OSRRefD21_8_0x" localSheetId="63">'310'!$D$56</definedName>
    <definedName name="OSRRefD21_8_0x" localSheetId="70">'310 &amp; 491'!$D$60</definedName>
    <definedName name="OSRRefD21_8_0x" localSheetId="54">'311'!$D$67</definedName>
    <definedName name="OSRRefD21_8_0x" localSheetId="57">'315'!$D$72</definedName>
    <definedName name="OSRRefD21_8_0x" localSheetId="60">'316'!$D$59</definedName>
    <definedName name="OSRRefD21_8_0x" localSheetId="62">'317'!$D$67</definedName>
    <definedName name="OSRRefD21_8_0x" localSheetId="66">'321'!$D$55</definedName>
    <definedName name="OSRRefD21_8_0x" localSheetId="67">'325'!$D$56</definedName>
    <definedName name="OSRRefD21_8_0x" localSheetId="58">'326'!$D$57</definedName>
    <definedName name="OSRRefD21_8_0x" localSheetId="51">'330'!$D$54</definedName>
    <definedName name="OSRRefD21_8_0x" localSheetId="56">'331'!$D$73</definedName>
    <definedName name="OSRRefD21_8_0x" localSheetId="59">'332'!$D$59</definedName>
    <definedName name="OSRRefD21_8_0x" localSheetId="72">'405'!$D$56</definedName>
    <definedName name="OSRRefD21_8_0x" localSheetId="73">'411'!$D$55</definedName>
    <definedName name="OSRRefD21_8_0x" localSheetId="76">'415'!$D$60</definedName>
    <definedName name="OSRRefD21_8_0x" localSheetId="77">'418'!$D$57</definedName>
    <definedName name="OSRRefD21_8_0x" localSheetId="84">'433'!$D$55</definedName>
    <definedName name="OSRRefD21_8_0x" localSheetId="85">'444'!$D$60</definedName>
    <definedName name="OSRRefD21_8_0x" localSheetId="86">'450'!$D$55</definedName>
    <definedName name="OSRRefD21_8_0x" localSheetId="71">'491'!$D$60</definedName>
    <definedName name="OSRRefD21_8_0x" localSheetId="82">'492'!$D$60</definedName>
    <definedName name="OSRRefD21_8_0x" localSheetId="88">'501'!$D$53</definedName>
    <definedName name="OSRRefD21_8_0x" localSheetId="39">'Div 2'!$D$55</definedName>
    <definedName name="OSRRefD21_8_0x" localSheetId="41">'Div 3'!$D$82</definedName>
    <definedName name="OSRRefD21_8_0x" localSheetId="69">'Div 4'!$D$63</definedName>
    <definedName name="OSRRefD21_8_0x" localSheetId="87">'Div 5'!$D$53</definedName>
    <definedName name="OSRRefD21_8_0x" localSheetId="61">'Div 6'!$D$67</definedName>
    <definedName name="OSRRefD21_8_0x" localSheetId="2">Summary!$D$93</definedName>
    <definedName name="OSRRefD21_8_1x" localSheetId="44">'203'!$D$54</definedName>
    <definedName name="OSRRefD21_8_1x" localSheetId="52">'307'!$D$55</definedName>
    <definedName name="OSRRefD21_8_1x" localSheetId="53">'308'!$D$68</definedName>
    <definedName name="OSRRefD21_8_1x" localSheetId="70">'310 &amp; 491'!$D$61</definedName>
    <definedName name="OSRRefD21_8_1x" localSheetId="54">'311'!$D$68</definedName>
    <definedName name="OSRRefD21_8_1x" localSheetId="60">'316'!$D$60</definedName>
    <definedName name="OSRRefD21_8_1x" localSheetId="62">'317'!$D$68</definedName>
    <definedName name="OSRRefD21_8_1x" localSheetId="51">'330'!$D$55</definedName>
    <definedName name="OSRRefD21_8_1x" localSheetId="59">'332'!$D$60</definedName>
    <definedName name="OSRRefD21_8_1x" localSheetId="72">'405'!$D$57</definedName>
    <definedName name="OSRRefD21_8_1x" localSheetId="73">'411'!$D$56</definedName>
    <definedName name="OSRRefD21_8_1x" localSheetId="77">'418'!$D$58</definedName>
    <definedName name="OSRRefD21_8_1x" localSheetId="71">'491'!$D$61</definedName>
    <definedName name="OSRRefD21_8_1x" localSheetId="61">'Div 6'!$D$68</definedName>
    <definedName name="OSRRefD21_8_2x" localSheetId="44">'203'!$D$55</definedName>
    <definedName name="OSRRefD21_8_2x" localSheetId="52">'307'!$D$56</definedName>
    <definedName name="OSRRefD21_8_2x" localSheetId="53">'308'!$D$69</definedName>
    <definedName name="OSRRefD21_8_2x" localSheetId="54">'311'!$D$69</definedName>
    <definedName name="OSRRefD21_8_2x" localSheetId="60">'316'!$D$61</definedName>
    <definedName name="OSRRefD21_8_2x" localSheetId="51">'330'!$D$56</definedName>
    <definedName name="OSRRefD21_8_2x" localSheetId="59">'332'!$D$61</definedName>
    <definedName name="OSRRefD21_8_3x" localSheetId="60">'316'!$D$62</definedName>
    <definedName name="OSRRefD21_8_3x" localSheetId="59">'332'!$D$62</definedName>
    <definedName name="OSRRefD21_8x_0" localSheetId="42">'201'!$D$52</definedName>
    <definedName name="OSRRefD21_8x_0" localSheetId="43">'202'!$D$54</definedName>
    <definedName name="OSRRefD21_8x_0" localSheetId="44">'203'!$D$53:$D$55</definedName>
    <definedName name="OSRRefD21_8x_0" localSheetId="45">'204'!$D$57</definedName>
    <definedName name="OSRRefD21_8x_0" localSheetId="48">'300'!$D$81</definedName>
    <definedName name="OSRRefD21_8x_0" localSheetId="49">'300 &amp; 317'!$D$87</definedName>
    <definedName name="OSRRefD21_8x_0" localSheetId="50">'301'!$D$54</definedName>
    <definedName name="OSRRefD21_8x_0" localSheetId="52">'307'!$D$54:$D$56</definedName>
    <definedName name="OSRRefD21_8x_0" localSheetId="53">'308'!$D$67:$D$69</definedName>
    <definedName name="OSRRefD21_8x_0" localSheetId="63">'310'!$D$56</definedName>
    <definedName name="OSRRefD21_8x_0" localSheetId="70">'310 &amp; 491'!$D$60:$D$61</definedName>
    <definedName name="OSRRefD21_8x_0" localSheetId="54">'311'!$D$67:$D$69</definedName>
    <definedName name="OSRRefD21_8x_0" localSheetId="57">'315'!$D$72</definedName>
    <definedName name="OSRRefD21_8x_0" localSheetId="60">'316'!$D$59:$D$62</definedName>
    <definedName name="OSRRefD21_8x_0" localSheetId="62">'317'!$D$67:$D$68</definedName>
    <definedName name="OSRRefD21_8x_0" localSheetId="66">'321'!$D$55</definedName>
    <definedName name="OSRRefD21_8x_0" localSheetId="67">'325'!$D$56</definedName>
    <definedName name="OSRRefD21_8x_0" localSheetId="58">'326'!$D$57</definedName>
    <definedName name="OSRRefD21_8x_0" localSheetId="51">'330'!$D$54:$D$56</definedName>
    <definedName name="OSRRefD21_8x_0" localSheetId="56">'331'!$D$73</definedName>
    <definedName name="OSRRefD21_8x_0" localSheetId="59">'332'!$D$59:$D$62</definedName>
    <definedName name="OSRRefD21_8x_0" localSheetId="72">'405'!$D$56:$D$57</definedName>
    <definedName name="OSRRefD21_8x_0" localSheetId="73">'411'!$D$55:$D$56</definedName>
    <definedName name="OSRRefD21_8x_0" localSheetId="76">'415'!$D$60</definedName>
    <definedName name="OSRRefD21_8x_0" localSheetId="77">'418'!$D$57:$D$58</definedName>
    <definedName name="OSRRefD21_8x_0" localSheetId="84">'433'!$D$55</definedName>
    <definedName name="OSRRefD21_8x_0" localSheetId="85">'444'!$D$60</definedName>
    <definedName name="OSRRefD21_8x_0" localSheetId="86">'450'!$D$55</definedName>
    <definedName name="OSRRefD21_8x_0" localSheetId="71">'491'!$D$60:$D$61</definedName>
    <definedName name="OSRRefD21_8x_0" localSheetId="82">'492'!$D$60</definedName>
    <definedName name="OSRRefD21_8x_0" localSheetId="88">'501'!$D$53</definedName>
    <definedName name="OSRRefD21_8x_0" localSheetId="39">'Div 2'!$D$55</definedName>
    <definedName name="OSRRefD21_8x_0" localSheetId="41">'Div 3'!$D$82</definedName>
    <definedName name="OSRRefD21_8x_0" localSheetId="69">'Div 4'!$D$63</definedName>
    <definedName name="OSRRefD21_8x_0" localSheetId="87">'Div 5'!$D$53</definedName>
    <definedName name="OSRRefD21_8x_0" localSheetId="61">'Div 6'!$D$67:$D$68</definedName>
    <definedName name="OSRRefD21_8x_0" localSheetId="2">Summary!$D$93</definedName>
    <definedName name="OSRRefD21_9_0x" localSheetId="42">'201'!$D$54</definedName>
    <definedName name="OSRRefD21_9_0x" localSheetId="43">'202'!$D$56</definedName>
    <definedName name="OSRRefD21_9_0x" localSheetId="44">'203'!$D$57</definedName>
    <definedName name="OSRRefD21_9_0x" localSheetId="48">'300'!$D$83</definedName>
    <definedName name="OSRRefD21_9_0x" localSheetId="49">'300 &amp; 317'!$D$89</definedName>
    <definedName name="OSRRefD21_9_0x" localSheetId="50">'301'!$D$56</definedName>
    <definedName name="OSRRefD21_9_0x" localSheetId="52">'307'!$D$58</definedName>
    <definedName name="OSRRefD21_9_0x" localSheetId="53">'308'!$D$71</definedName>
    <definedName name="OSRRefD21_9_0x" localSheetId="63">'310'!$D$58</definedName>
    <definedName name="OSRRefD21_9_0x" localSheetId="70">'310 &amp; 491'!$D$63</definedName>
    <definedName name="OSRRefD21_9_0x" localSheetId="54">'311'!$D$71</definedName>
    <definedName name="OSRRefD21_9_0x" localSheetId="57">'315'!$D$74</definedName>
    <definedName name="OSRRefD21_9_0x" localSheetId="60">'316'!$D$64</definedName>
    <definedName name="OSRRefD21_9_0x" localSheetId="62">'317'!$D$70</definedName>
    <definedName name="OSRRefD21_9_0x" localSheetId="66">'321'!$D$57</definedName>
    <definedName name="OSRRefD21_9_0x" localSheetId="67">'325'!$D$58</definedName>
    <definedName name="OSRRefD21_9_0x" localSheetId="58">'326'!$D$59</definedName>
    <definedName name="OSRRefD21_9_0x" localSheetId="51">'330'!$D$58</definedName>
    <definedName name="OSRRefD21_9_0x" localSheetId="56">'331'!$D$75</definedName>
    <definedName name="OSRRefD21_9_0x" localSheetId="59">'332'!$D$64</definedName>
    <definedName name="OSRRefD21_9_0x" localSheetId="72">'405'!$D$59</definedName>
    <definedName name="OSRRefD21_9_0x" localSheetId="73">'411'!$D$58</definedName>
    <definedName name="OSRRefD21_9_0x" localSheetId="76">'415'!$D$62</definedName>
    <definedName name="OSRRefD21_9_0x" localSheetId="77">'418'!$D$60</definedName>
    <definedName name="OSRRefD21_9_0x" localSheetId="84">'433'!$D$57</definedName>
    <definedName name="OSRRefD21_9_0x" localSheetId="85">'444'!$D$62</definedName>
    <definedName name="OSRRefD21_9_0x" localSheetId="86">'450'!$D$57</definedName>
    <definedName name="OSRRefD21_9_0x" localSheetId="71">'491'!$D$63</definedName>
    <definedName name="OSRRefD21_9_0x" localSheetId="82">'492'!$D$62</definedName>
    <definedName name="OSRRefD21_9_0x" localSheetId="88">'501'!$D$55</definedName>
    <definedName name="OSRRefD21_9_0x" localSheetId="39">'Div 2'!$D$57</definedName>
    <definedName name="OSRRefD21_9_0x" localSheetId="41">'Div 3'!$D$84</definedName>
    <definedName name="OSRRefD21_9_0x" localSheetId="69">'Div 4'!$D$65</definedName>
    <definedName name="OSRRefD21_9_0x" localSheetId="87">'Div 5'!$D$55</definedName>
    <definedName name="OSRRefD21_9_0x" localSheetId="61">'Div 6'!$D$70</definedName>
    <definedName name="OSRRefD21_9_0x" localSheetId="2">Summary!$D$95</definedName>
    <definedName name="OSRRefD21_9_1x" localSheetId="42">'201'!$D$55</definedName>
    <definedName name="OSRRefD21_9_1x" localSheetId="53">'308'!$D$72</definedName>
    <definedName name="OSRRefD21_9_1x" localSheetId="54">'311'!$D$72</definedName>
    <definedName name="OSRRefD21_9_1x" localSheetId="66">'321'!$D$58</definedName>
    <definedName name="OSRRefD21_9_1x" localSheetId="72">'405'!$D$60</definedName>
    <definedName name="OSRRefD21_9_1x" localSheetId="77">'418'!$D$61</definedName>
    <definedName name="OSRRefD21_9_1x" localSheetId="88">'501'!$D$56</definedName>
    <definedName name="OSRRefD21_9_1x" localSheetId="69">'Div 4'!$D$66</definedName>
    <definedName name="OSRRefD21_9_1x" localSheetId="87">'Div 5'!$D$56</definedName>
    <definedName name="OSRRefD21_9_2x" localSheetId="42">'201'!$D$56</definedName>
    <definedName name="OSRRefD21_9_2x" localSheetId="72">'405'!$D$61</definedName>
    <definedName name="OSRRefD21_9_2x" localSheetId="77">'418'!$D$62</definedName>
    <definedName name="OSRRefD21_9_2x" localSheetId="88">'501'!$D$57</definedName>
    <definedName name="OSRRefD21_9_2x" localSheetId="87">'Div 5'!$D$57</definedName>
    <definedName name="OSRRefD21_9x_0" localSheetId="42">'201'!$D$54:$D$56</definedName>
    <definedName name="OSRRefD21_9x_0" localSheetId="43">'202'!$D$56</definedName>
    <definedName name="OSRRefD21_9x_0" localSheetId="44">'203'!$D$57</definedName>
    <definedName name="OSRRefD21_9x_0" localSheetId="48">'300'!$D$83</definedName>
    <definedName name="OSRRefD21_9x_0" localSheetId="49">'300 &amp; 317'!$D$89</definedName>
    <definedName name="OSRRefD21_9x_0" localSheetId="50">'301'!$D$56</definedName>
    <definedName name="OSRRefD21_9x_0" localSheetId="52">'307'!$D$58</definedName>
    <definedName name="OSRRefD21_9x_0" localSheetId="53">'308'!$D$71:$D$72</definedName>
    <definedName name="OSRRefD21_9x_0" localSheetId="63">'310'!$D$58</definedName>
    <definedName name="OSRRefD21_9x_0" localSheetId="70">'310 &amp; 491'!$D$63</definedName>
    <definedName name="OSRRefD21_9x_0" localSheetId="54">'311'!$D$71:$D$72</definedName>
    <definedName name="OSRRefD21_9x_0" localSheetId="57">'315'!$D$74</definedName>
    <definedName name="OSRRefD21_9x_0" localSheetId="60">'316'!$D$64</definedName>
    <definedName name="OSRRefD21_9x_0" localSheetId="62">'317'!$D$70</definedName>
    <definedName name="OSRRefD21_9x_0" localSheetId="66">'321'!$D$57:$D$58</definedName>
    <definedName name="OSRRefD21_9x_0" localSheetId="67">'325'!$D$58</definedName>
    <definedName name="OSRRefD21_9x_0" localSheetId="58">'326'!$D$59</definedName>
    <definedName name="OSRRefD21_9x_0" localSheetId="51">'330'!$D$58</definedName>
    <definedName name="OSRRefD21_9x_0" localSheetId="56">'331'!$D$75</definedName>
    <definedName name="OSRRefD21_9x_0" localSheetId="59">'332'!$D$64</definedName>
    <definedName name="OSRRefD21_9x_0" localSheetId="72">'405'!$D$59:$D$61</definedName>
    <definedName name="OSRRefD21_9x_0" localSheetId="73">'411'!$D$58</definedName>
    <definedName name="OSRRefD21_9x_0" localSheetId="76">'415'!$D$62</definedName>
    <definedName name="OSRRefD21_9x_0" localSheetId="77">'418'!$D$60:$D$62</definedName>
    <definedName name="OSRRefD21_9x_0" localSheetId="84">'433'!$D$57</definedName>
    <definedName name="OSRRefD21_9x_0" localSheetId="85">'444'!$D$62</definedName>
    <definedName name="OSRRefD21_9x_0" localSheetId="86">'450'!$D$57</definedName>
    <definedName name="OSRRefD21_9x_0" localSheetId="71">'491'!$D$63</definedName>
    <definedName name="OSRRefD21_9x_0" localSheetId="82">'492'!$D$62</definedName>
    <definedName name="OSRRefD21_9x_0" localSheetId="88">'501'!$D$55:$D$57</definedName>
    <definedName name="OSRRefD21_9x_0" localSheetId="39">'Div 2'!$D$57</definedName>
    <definedName name="OSRRefD21_9x_0" localSheetId="41">'Div 3'!$D$84</definedName>
    <definedName name="OSRRefD21_9x_0" localSheetId="69">'Div 4'!$D$65:$D$66</definedName>
    <definedName name="OSRRefD21_9x_0" localSheetId="87">'Div 5'!$D$55:$D$57</definedName>
    <definedName name="OSRRefD21_9x_0" localSheetId="61">'Div 6'!$D$70</definedName>
    <definedName name="OSRRefD21_9x_0" localSheetId="2">Summary!$D$95</definedName>
    <definedName name="OSRRefD23_0x" localSheetId="38">'100'!$D$19</definedName>
    <definedName name="OSRRefD23_0x" localSheetId="40">'200'!$D$28</definedName>
    <definedName name="OSRRefD23_0x" localSheetId="42">'201'!$D$71</definedName>
    <definedName name="OSRRefD23_0x" localSheetId="43">'202'!$D$62</definedName>
    <definedName name="OSRRefD23_0x" localSheetId="44">'203'!$D$72</definedName>
    <definedName name="OSRRefD23_0x" localSheetId="45">'204'!$D$59</definedName>
    <definedName name="OSRRefD23_0x" localSheetId="46">'205'!$D$54</definedName>
    <definedName name="OSRRefD23_0x" localSheetId="47">'206'!$D$49</definedName>
    <definedName name="OSRRefD23_0x" localSheetId="48">'300'!$D$135</definedName>
    <definedName name="OSRRefD23_0x" localSheetId="49">'300 &amp; 317'!$D$141</definedName>
    <definedName name="OSRRefD23_0x" localSheetId="50">'301'!$D$88</definedName>
    <definedName name="OSRRefD23_0x" localSheetId="52">'307'!$D$60</definedName>
    <definedName name="OSRRefD23_0x" localSheetId="53">'308'!$D$82</definedName>
    <definedName name="OSRRefD23_0x" localSheetId="64">'309'!$D$25</definedName>
    <definedName name="OSRRefD23_0x" localSheetId="63">'310'!$D$84</definedName>
    <definedName name="OSRRefD23_0x" localSheetId="70">'310 &amp; 491'!$D$104</definedName>
    <definedName name="OSRRefD23_0x" localSheetId="54">'311'!$D$82</definedName>
    <definedName name="OSRRefD23_0x" localSheetId="65">'313'!$D$21</definedName>
    <definedName name="OSRRefD23_0x" localSheetId="57">'315'!$D$93</definedName>
    <definedName name="OSRRefD23_0x" localSheetId="60">'316'!$D$66</definedName>
    <definedName name="OSRRefD23_0x" localSheetId="62">'317'!$D$72</definedName>
    <definedName name="OSRRefD23_0x" localSheetId="66">'321'!$D$64</definedName>
    <definedName name="OSRRefD23_0x" localSheetId="55">'324'!$D$22</definedName>
    <definedName name="OSRRefD23_0x" localSheetId="67">'325'!$D$77</definedName>
    <definedName name="OSRRefD23_0x" localSheetId="58">'326'!$D$81</definedName>
    <definedName name="OSRRefD23_0x" localSheetId="68">'327'!$D$23</definedName>
    <definedName name="OSRRefD23_0x" localSheetId="51">'330'!$D$60</definedName>
    <definedName name="OSRRefD23_0x" localSheetId="56">'331'!$D$106</definedName>
    <definedName name="OSRRefD23_0x" localSheetId="59">'332'!$D$66</definedName>
    <definedName name="OSRRefD23_0x" localSheetId="72">'405'!$D$81</definedName>
    <definedName name="OSRRefD23_0x" localSheetId="73">'411'!$D$66</definedName>
    <definedName name="OSRRefD23_0x" localSheetId="74">'412'!$D$23</definedName>
    <definedName name="OSRRefD23_0x" localSheetId="75">'413'!$D$21</definedName>
    <definedName name="OSRRefD23_0x" localSheetId="76">'415'!$D$90</definedName>
    <definedName name="OSRRefD23_0x" localSheetId="77">'418'!$D$83</definedName>
    <definedName name="OSRRefD23_0x" localSheetId="78">'423'!$D$43</definedName>
    <definedName name="OSRRefD23_0x" localSheetId="79">'424'!$D$21</definedName>
    <definedName name="OSRRefD23_0x" localSheetId="80">'425'!$D$22</definedName>
    <definedName name="OSRRefD23_0x" localSheetId="83">'430'!$D$51</definedName>
    <definedName name="OSRRefD23_0x" localSheetId="84">'433'!$D$81</definedName>
    <definedName name="OSRRefD23_0x" localSheetId="85">'444'!$D$87</definedName>
    <definedName name="OSRRefD23_0x" localSheetId="86">'450'!$D$80</definedName>
    <definedName name="OSRRefD23_0x" localSheetId="81">'455'!$D$19</definedName>
    <definedName name="OSRRefD23_0x" localSheetId="71">'491'!$D$100</definedName>
    <definedName name="OSRRefD23_0x" localSheetId="82">'492'!$D$92</definedName>
    <definedName name="OSRRefD23_0x" localSheetId="88">'501'!$D$68</definedName>
    <definedName name="OSRRefD23_0x" localSheetId="37">'Div 1'!$D$19</definedName>
    <definedName name="OSRRefD23_0x" localSheetId="39">'Div 2'!$D$93</definedName>
    <definedName name="OSRRefD23_0x" localSheetId="41">'Div 3'!$D$139</definedName>
    <definedName name="OSRRefD23_0x" localSheetId="69">'Div 4'!$D$110</definedName>
    <definedName name="OSRRefD23_0x" localSheetId="87">'Div 5'!$D$68</definedName>
    <definedName name="OSRRefD23_0x" localSheetId="61">'Div 6'!$D$72</definedName>
    <definedName name="OSRRefD23_0x" localSheetId="2">Summary!$D$157</definedName>
    <definedName name="OSRRefD28_0x" localSheetId="38">'100'!$D$24</definedName>
    <definedName name="OSRRefD28_0x" localSheetId="40">'200'!$D$33</definedName>
    <definedName name="OSRRefD28_0x" localSheetId="42">'201'!$D$76</definedName>
    <definedName name="OSRRefD28_0x" localSheetId="43">'202'!$D$67</definedName>
    <definedName name="OSRRefD28_0x" localSheetId="44">'203'!$D$77</definedName>
    <definedName name="OSRRefD28_0x" localSheetId="45">'204'!$D$64</definedName>
    <definedName name="OSRRefD28_0x" localSheetId="46">'205'!$D$59</definedName>
    <definedName name="OSRRefD28_0x" localSheetId="47">'206'!$D$54</definedName>
    <definedName name="OSRRefD28_0x" localSheetId="48">'300'!$D$140</definedName>
    <definedName name="OSRRefD28_0x" localSheetId="49">'300 &amp; 317'!$D$146</definedName>
    <definedName name="OSRRefD28_0x" localSheetId="50">'301'!$D$93</definedName>
    <definedName name="OSRRefD28_0x" localSheetId="52">'307'!$D$65</definedName>
    <definedName name="OSRRefD28_0x" localSheetId="53">'308'!$D$87</definedName>
    <definedName name="OSRRefD28_0x" localSheetId="64">'309'!$D$30</definedName>
    <definedName name="OSRRefD28_0x" localSheetId="63">'310'!$D$89</definedName>
    <definedName name="OSRRefD28_0x" localSheetId="70">'310 &amp; 491'!$D$109</definedName>
    <definedName name="OSRRefD28_0x" localSheetId="54">'311'!$D$87</definedName>
    <definedName name="OSRRefD28_0x" localSheetId="65">'313'!$D$26</definedName>
    <definedName name="OSRRefD28_0x" localSheetId="57">'315'!$D$98</definedName>
    <definedName name="OSRRefD28_0x" localSheetId="60">'316'!$D$71</definedName>
    <definedName name="OSRRefD28_0x" localSheetId="62">'317'!$D$77</definedName>
    <definedName name="OSRRefD28_0x" localSheetId="66">'321'!$D$69</definedName>
    <definedName name="OSRRefD28_0x" localSheetId="55">'324'!$D$27</definedName>
    <definedName name="OSRRefD28_0x" localSheetId="67">'325'!$D$82</definedName>
    <definedName name="OSRRefD28_0x" localSheetId="58">'326'!$D$86</definedName>
    <definedName name="OSRRefD28_0x" localSheetId="68">'327'!$D$28</definedName>
    <definedName name="OSRRefD28_0x" localSheetId="51">'330'!$D$65</definedName>
    <definedName name="OSRRefD28_0x" localSheetId="56">'331'!$D$111</definedName>
    <definedName name="OSRRefD28_0x" localSheetId="59">'332'!$D$71</definedName>
    <definedName name="OSRRefD28_0x" localSheetId="72">'405'!$D$86</definedName>
    <definedName name="OSRRefD28_0x" localSheetId="73">'411'!$D$71</definedName>
    <definedName name="OSRRefD28_0x" localSheetId="74">'412'!$D$28</definedName>
    <definedName name="OSRRefD28_0x" localSheetId="75">'413'!$D$26</definedName>
    <definedName name="OSRRefD28_0x" localSheetId="76">'415'!$D$95</definedName>
    <definedName name="OSRRefD28_0x" localSheetId="77">'418'!$D$88</definedName>
    <definedName name="OSRRefD28_0x" localSheetId="78">'423'!$D$48</definedName>
    <definedName name="OSRRefD28_0x" localSheetId="79">'424'!$D$26</definedName>
    <definedName name="OSRRefD28_0x" localSheetId="80">'425'!$D$27</definedName>
    <definedName name="OSRRefD28_0x" localSheetId="83">'430'!$D$56</definedName>
    <definedName name="OSRRefD28_0x" localSheetId="84">'433'!$D$86</definedName>
    <definedName name="OSRRefD28_0x" localSheetId="85">'444'!$D$92</definedName>
    <definedName name="OSRRefD28_0x" localSheetId="86">'450'!$D$85</definedName>
    <definedName name="OSRRefD28_0x" localSheetId="81">'455'!$D$24</definedName>
    <definedName name="OSRRefD28_0x" localSheetId="71">'491'!$D$105</definedName>
    <definedName name="OSRRefD28_0x" localSheetId="82">'492'!$D$97</definedName>
    <definedName name="OSRRefD28_0x" localSheetId="88">'501'!$D$73</definedName>
    <definedName name="OSRRefD28_0x" localSheetId="41">'Div 3'!$D$144</definedName>
    <definedName name="OSRRefD28_0x" localSheetId="69">'Div 4'!$D$115</definedName>
    <definedName name="OSRRefD28_0x" localSheetId="87">'Div 5'!$D$73</definedName>
    <definedName name="OSRRefD28_0x" localSheetId="61">'Div 6'!$D$77</definedName>
    <definedName name="OSRRefD28_0x" localSheetId="2">Summary!$D$162</definedName>
    <definedName name="OSRRefD33_0x" localSheetId="38">'100'!$D$29</definedName>
    <definedName name="OSRRefD33_0x" localSheetId="37">'Div 1'!$D$28</definedName>
    <definedName name="OSRRefD33_0x" localSheetId="2">Summary!$D$167</definedName>
    <definedName name="OSRRefD34_0x" localSheetId="38">'100'!$D$30</definedName>
    <definedName name="OSRRefD34_0x" localSheetId="37">'Div 1'!$D$29</definedName>
    <definedName name="OSRRefD34_0x" localSheetId="2">Summary!$D$168</definedName>
    <definedName name="OSRRefE11_0x" localSheetId="48">'300'!$E$11:$O$11</definedName>
    <definedName name="OSRRefE11_0x" localSheetId="49">'300 &amp; 317'!$E$11:$O$11</definedName>
    <definedName name="OSRRefE11_0x" localSheetId="52">'307'!$E$11:$O$11</definedName>
    <definedName name="OSRRefE11_0x" localSheetId="53">'308'!$E$11:$O$11</definedName>
    <definedName name="OSRRefE11_0x" localSheetId="63">'310'!$E$11:$O$11</definedName>
    <definedName name="OSRRefE11_0x" localSheetId="70">'310 &amp; 491'!$E$11:$O$11</definedName>
    <definedName name="OSRRefE11_0x" localSheetId="54">'311'!$E$11:$O$11</definedName>
    <definedName name="OSRRefE11_0x" localSheetId="57">'315'!$E$11:$O$11</definedName>
    <definedName name="OSRRefE11_0x" localSheetId="60">'316'!$E$11:$O$11</definedName>
    <definedName name="OSRRefE11_0x" localSheetId="62">'317'!$E$11:$O$11</definedName>
    <definedName name="OSRRefE11_0x" localSheetId="66">'321'!$E$11:$O$11</definedName>
    <definedName name="OSRRefE11_0x" localSheetId="55">'324'!$E$11:$O$11</definedName>
    <definedName name="OSRRefE11_0x" localSheetId="67">'325'!$E$11:$O$11</definedName>
    <definedName name="OSRRefE11_0x" localSheetId="58">'326'!$E$11:$O$11</definedName>
    <definedName name="OSRRefE11_0x" localSheetId="68">'327'!$E$11:$O$11</definedName>
    <definedName name="OSRRefE11_0x" localSheetId="51">'330'!$E$11:$O$11</definedName>
    <definedName name="OSRRefE11_0x" localSheetId="56">'331'!$E$11:$O$11</definedName>
    <definedName name="OSRRefE11_0x" localSheetId="59">'332'!$E$11:$O$11</definedName>
    <definedName name="OSRRefE11_0x" localSheetId="72">'405'!$E$11:$O$11</definedName>
    <definedName name="OSRRefE11_0x" localSheetId="76">'415'!$E$11:$O$11</definedName>
    <definedName name="OSRRefE11_0x" localSheetId="77">'418'!$E$11:$O$11</definedName>
    <definedName name="OSRRefE11_0x" localSheetId="84">'433'!$E$11:$O$11</definedName>
    <definedName name="OSRRefE11_0x" localSheetId="85">'444'!$E$11:$O$11</definedName>
    <definedName name="OSRRefE11_0x" localSheetId="86">'450'!$E$11:$O$11</definedName>
    <definedName name="OSRRefE11_0x" localSheetId="71">'491'!$E$11:$O$11</definedName>
    <definedName name="OSRRefE11_0x" localSheetId="82">'492'!$E$11:$O$11</definedName>
    <definedName name="OSRRefE11_0x" localSheetId="88">'501'!$E$11:$O$11</definedName>
    <definedName name="OSRRefE11_0x" localSheetId="41">'Div 3'!$E$11:$O$11</definedName>
    <definedName name="OSRRefE11_0x" localSheetId="69">'Div 4'!$E$11:$O$11</definedName>
    <definedName name="OSRRefE11_0x" localSheetId="87">'Div 5'!$E$11:$O$11</definedName>
    <definedName name="OSRRefE11_0x" localSheetId="61">'Div 6'!$E$11:$O$11</definedName>
    <definedName name="OSRRefE11_0x" localSheetId="2">Summary!$E$11:$O$11</definedName>
    <definedName name="OSRRefE11_1x" localSheetId="48">'300'!$E$12:$O$12</definedName>
    <definedName name="OSRRefE11_1x" localSheetId="49">'300 &amp; 317'!$E$12:$O$12</definedName>
    <definedName name="OSRRefE11_1x" localSheetId="52">'307'!$E$12:$O$12</definedName>
    <definedName name="OSRRefE11_1x" localSheetId="53">'308'!$E$12:$O$12</definedName>
    <definedName name="OSRRefE11_1x" localSheetId="63">'310'!$E$12:$O$12</definedName>
    <definedName name="OSRRefE11_1x" localSheetId="70">'310 &amp; 491'!$E$12:$O$12</definedName>
    <definedName name="OSRRefE11_1x" localSheetId="54">'311'!$E$12:$O$12</definedName>
    <definedName name="OSRRefE11_1x" localSheetId="57">'315'!$E$12:$O$12</definedName>
    <definedName name="OSRRefE11_1x" localSheetId="60">'316'!$E$12:$O$12</definedName>
    <definedName name="OSRRefE11_1x" localSheetId="62">'317'!$E$12:$O$12</definedName>
    <definedName name="OSRRefE11_1x" localSheetId="66">'321'!$E$12:$O$12</definedName>
    <definedName name="OSRRefE11_1x" localSheetId="55">'324'!$E$12:$O$12</definedName>
    <definedName name="OSRRefE11_1x" localSheetId="67">'325'!$E$12:$O$12</definedName>
    <definedName name="OSRRefE11_1x" localSheetId="58">'326'!$E$12:$O$12</definedName>
    <definedName name="OSRRefE11_1x" localSheetId="51">'330'!$E$12:$O$12</definedName>
    <definedName name="OSRRefE11_1x" localSheetId="56">'331'!$E$12:$O$12</definedName>
    <definedName name="OSRRefE11_1x" localSheetId="59">'332'!$E$12:$O$12</definedName>
    <definedName name="OSRRefE11_1x" localSheetId="72">'405'!$E$12:$O$12</definedName>
    <definedName name="OSRRefE11_1x" localSheetId="76">'415'!$E$12:$O$12</definedName>
    <definedName name="OSRRefE11_1x" localSheetId="77">'418'!$E$12:$O$12</definedName>
    <definedName name="OSRRefE11_1x" localSheetId="85">'444'!$E$12:$O$12</definedName>
    <definedName name="OSRRefE11_1x" localSheetId="71">'491'!$E$12:$O$12</definedName>
    <definedName name="OSRRefE11_1x" localSheetId="82">'492'!$E$12:$O$12</definedName>
    <definedName name="OSRRefE11_1x" localSheetId="41">'Div 3'!$E$12:$O$12</definedName>
    <definedName name="OSRRefE11_1x" localSheetId="69">'Div 4'!$E$12:$O$12</definedName>
    <definedName name="OSRRefE11_1x" localSheetId="61">'Div 6'!$E$12:$O$12</definedName>
    <definedName name="OSRRefE11_1x" localSheetId="2">Summary!$E$12:$O$12</definedName>
    <definedName name="OSRRefE11_2x" localSheetId="48">'300'!$E$13:$O$13</definedName>
    <definedName name="OSRRefE11_2x" localSheetId="49">'300 &amp; 317'!$E$13:$O$13</definedName>
    <definedName name="OSRRefE11_2x" localSheetId="53">'308'!$E$13:$O$13</definedName>
    <definedName name="OSRRefE11_2x" localSheetId="70">'310 &amp; 491'!$E$13:$O$13</definedName>
    <definedName name="OSRRefE11_2x" localSheetId="54">'311'!$E$13:$O$13</definedName>
    <definedName name="OSRRefE11_2x" localSheetId="57">'315'!$E$13:$O$13</definedName>
    <definedName name="OSRRefE11_2x" localSheetId="60">'316'!$E$13:$O$13</definedName>
    <definedName name="OSRRefE11_2x" localSheetId="62">'317'!$E$13:$O$13</definedName>
    <definedName name="OSRRefE11_2x" localSheetId="58">'326'!$E$13:$O$13</definedName>
    <definedName name="OSRRefE11_2x" localSheetId="56">'331'!$E$13:$O$13</definedName>
    <definedName name="OSRRefE11_2x" localSheetId="59">'332'!$E$13:$O$13</definedName>
    <definedName name="OSRRefE11_2x" localSheetId="76">'415'!$E$13:$O$13</definedName>
    <definedName name="OSRRefE11_2x" localSheetId="85">'444'!$E$13:$O$13</definedName>
    <definedName name="OSRRefE11_2x" localSheetId="71">'491'!$E$13:$O$13</definedName>
    <definedName name="OSRRefE11_2x" localSheetId="82">'492'!$E$13:$O$13</definedName>
    <definedName name="OSRRefE11_2x" localSheetId="41">'Div 3'!$E$13:$O$13</definedName>
    <definedName name="OSRRefE11_2x" localSheetId="69">'Div 4'!$E$13:$O$13</definedName>
    <definedName name="OSRRefE11_2x" localSheetId="61">'Div 6'!$E$13:$O$13</definedName>
    <definedName name="OSRRefE11_2x" localSheetId="2">Summary!$E$13:$O$13</definedName>
    <definedName name="OSRRefE11_3x" localSheetId="48">'300'!$E$14:$O$14</definedName>
    <definedName name="OSRRefE11_3x" localSheetId="49">'300 &amp; 317'!$E$14:$O$14</definedName>
    <definedName name="OSRRefE11_3x" localSheetId="53">'308'!$E$14:$O$14</definedName>
    <definedName name="OSRRefE11_3x" localSheetId="70">'310 &amp; 491'!$E$14:$O$14</definedName>
    <definedName name="OSRRefE11_3x" localSheetId="54">'311'!$E$14:$O$14</definedName>
    <definedName name="OSRRefE11_3x" localSheetId="57">'315'!$E$14:$O$14</definedName>
    <definedName name="OSRRefE11_3x" localSheetId="62">'317'!$E$14:$O$14</definedName>
    <definedName name="OSRRefE11_3x" localSheetId="56">'331'!$E$14:$O$14</definedName>
    <definedName name="OSRRefE11_3x" localSheetId="76">'415'!$E$14:$O$14</definedName>
    <definedName name="OSRRefE11_3x" localSheetId="85">'444'!$E$14:$O$14</definedName>
    <definedName name="OSRRefE11_3x" localSheetId="71">'491'!$E$14:$O$14</definedName>
    <definedName name="OSRRefE11_3x" localSheetId="82">'492'!$E$14:$O$14</definedName>
    <definedName name="OSRRefE11_3x" localSheetId="41">'Div 3'!$E$14:$O$14</definedName>
    <definedName name="OSRRefE11_3x" localSheetId="69">'Div 4'!$E$14:$O$14</definedName>
    <definedName name="OSRRefE11_3x" localSheetId="61">'Div 6'!$E$14:$O$14</definedName>
    <definedName name="OSRRefE11_3x" localSheetId="2">Summary!$E$14:$O$14</definedName>
    <definedName name="OSRRefE11_4x" localSheetId="48">'300'!$E$15:$O$15</definedName>
    <definedName name="OSRRefE11_4x" localSheetId="49">'300 &amp; 317'!$E$15:$O$15</definedName>
    <definedName name="OSRRefE11_4x" localSheetId="41">'Div 3'!$E$15:$O$15</definedName>
    <definedName name="OSRRefE11_4x" localSheetId="69">'Div 4'!$E$15:$O$15</definedName>
    <definedName name="OSRRefE11_4x" localSheetId="2">Summary!$E$15:$O$15</definedName>
    <definedName name="OSRRefE11_5x" localSheetId="69">'Div 4'!$E$16:$O$16</definedName>
    <definedName name="OSRRefE11_5x" localSheetId="2">Summary!$E$16:$O$16</definedName>
    <definedName name="OSRRefE11_6x" localSheetId="2">Summary!$E$17:$O$17</definedName>
    <definedName name="OSRRefE11_7x" localSheetId="2">Summary!$E$18:$O$18</definedName>
    <definedName name="OSRRefE11_8x" localSheetId="2">Summary!$E$19:$O$19</definedName>
    <definedName name="OSRRefE11x_0" localSheetId="48">'300'!$E$11:$E$15</definedName>
    <definedName name="OSRRefE11x_0" localSheetId="49">'300 &amp; 317'!$E$11:$E$15</definedName>
    <definedName name="OSRRefE11x_0" localSheetId="52">'307'!$E$11:$E$12</definedName>
    <definedName name="OSRRefE11x_0" localSheetId="53">'308'!$E$11:$E$14</definedName>
    <definedName name="OSRRefE11x_0" localSheetId="63">'310'!$E$11:$E$12</definedName>
    <definedName name="OSRRefE11x_0" localSheetId="70">'310 &amp; 491'!$E$11:$E$14</definedName>
    <definedName name="OSRRefE11x_0" localSheetId="54">'311'!$E$11:$E$14</definedName>
    <definedName name="OSRRefE11x_0" localSheetId="57">'315'!$E$11:$E$14</definedName>
    <definedName name="OSRRefE11x_0" localSheetId="60">'316'!$E$11:$E$13</definedName>
    <definedName name="OSRRefE11x_0" localSheetId="62">'317'!$E$11:$E$14</definedName>
    <definedName name="OSRRefE11x_0" localSheetId="66">'321'!$E$11:$E$12</definedName>
    <definedName name="OSRRefE11x_0" localSheetId="55">'324'!$E$11:$E$12</definedName>
    <definedName name="OSRRefE11x_0" localSheetId="67">'325'!$E$11:$E$12</definedName>
    <definedName name="OSRRefE11x_0" localSheetId="58">'326'!$E$11:$E$13</definedName>
    <definedName name="OSRRefE11x_0" localSheetId="68">'327'!$E$11</definedName>
    <definedName name="OSRRefE11x_0" localSheetId="51">'330'!$E$11:$E$12</definedName>
    <definedName name="OSRRefE11x_0" localSheetId="56">'331'!$E$11:$E$14</definedName>
    <definedName name="OSRRefE11x_0" localSheetId="59">'332'!$E$11:$E$13</definedName>
    <definedName name="OSRRefE11x_0" localSheetId="72">'405'!$E$11:$E$12</definedName>
    <definedName name="OSRRefE11x_0" localSheetId="76">'415'!$E$11:$E$14</definedName>
    <definedName name="OSRRefE11x_0" localSheetId="77">'418'!$E$11:$E$12</definedName>
    <definedName name="OSRRefE11x_0" localSheetId="84">'433'!$E$11</definedName>
    <definedName name="OSRRefE11x_0" localSheetId="85">'444'!$E$11:$E$14</definedName>
    <definedName name="OSRRefE11x_0" localSheetId="86">'450'!$E$11</definedName>
    <definedName name="OSRRefE11x_0" localSheetId="71">'491'!$E$11:$E$14</definedName>
    <definedName name="OSRRefE11x_0" localSheetId="82">'492'!$E$11:$E$14</definedName>
    <definedName name="OSRRefE11x_0" localSheetId="88">'501'!$E$11</definedName>
    <definedName name="OSRRefE11x_0" localSheetId="41">'Div 3'!$E$11:$E$15</definedName>
    <definedName name="OSRRefE11x_0" localSheetId="69">'Div 4'!$E$11:$E$16</definedName>
    <definedName name="OSRRefE11x_0" localSheetId="87">'Div 5'!$E$11</definedName>
    <definedName name="OSRRefE11x_0" localSheetId="61">'Div 6'!$E$11:$E$14</definedName>
    <definedName name="OSRRefE11x_0" localSheetId="2">Summary!$E$11:$E$19</definedName>
    <definedName name="OSRRefE11x_1" localSheetId="48">'300'!$F$11:$F$15</definedName>
    <definedName name="OSRRefE11x_1" localSheetId="49">'300 &amp; 317'!$F$11:$F$15</definedName>
    <definedName name="OSRRefE11x_1" localSheetId="52">'307'!$F$11:$F$12</definedName>
    <definedName name="OSRRefE11x_1" localSheetId="53">'308'!$F$11:$F$14</definedName>
    <definedName name="OSRRefE11x_1" localSheetId="63">'310'!$F$11:$F$12</definedName>
    <definedName name="OSRRefE11x_1" localSheetId="70">'310 &amp; 491'!$F$11:$F$14</definedName>
    <definedName name="OSRRefE11x_1" localSheetId="54">'311'!$F$11:$F$14</definedName>
    <definedName name="OSRRefE11x_1" localSheetId="57">'315'!$F$11:$F$14</definedName>
    <definedName name="OSRRefE11x_1" localSheetId="60">'316'!$F$11:$F$13</definedName>
    <definedName name="OSRRefE11x_1" localSheetId="62">'317'!$F$11:$F$14</definedName>
    <definedName name="OSRRefE11x_1" localSheetId="66">'321'!$F$11:$F$12</definedName>
    <definedName name="OSRRefE11x_1" localSheetId="55">'324'!$F$11:$F$12</definedName>
    <definedName name="OSRRefE11x_1" localSheetId="67">'325'!$F$11:$F$12</definedName>
    <definedName name="OSRRefE11x_1" localSheetId="58">'326'!$F$11:$F$13</definedName>
    <definedName name="OSRRefE11x_1" localSheetId="68">'327'!$F$11</definedName>
    <definedName name="OSRRefE11x_1" localSheetId="51">'330'!$F$11:$F$12</definedName>
    <definedName name="OSRRefE11x_1" localSheetId="56">'331'!$F$11:$F$14</definedName>
    <definedName name="OSRRefE11x_1" localSheetId="59">'332'!$F$11:$F$13</definedName>
    <definedName name="OSRRefE11x_1" localSheetId="72">'405'!$F$11:$F$12</definedName>
    <definedName name="OSRRefE11x_1" localSheetId="76">'415'!$F$11:$F$14</definedName>
    <definedName name="OSRRefE11x_1" localSheetId="77">'418'!$F$11:$F$12</definedName>
    <definedName name="OSRRefE11x_1" localSheetId="84">'433'!$F$11</definedName>
    <definedName name="OSRRefE11x_1" localSheetId="85">'444'!$F$11:$F$14</definedName>
    <definedName name="OSRRefE11x_1" localSheetId="86">'450'!$F$11</definedName>
    <definedName name="OSRRefE11x_1" localSheetId="71">'491'!$F$11:$F$14</definedName>
    <definedName name="OSRRefE11x_1" localSheetId="82">'492'!$F$11:$F$14</definedName>
    <definedName name="OSRRefE11x_1" localSheetId="88">'501'!$F$11</definedName>
    <definedName name="OSRRefE11x_1" localSheetId="41">'Div 3'!$F$11:$F$15</definedName>
    <definedName name="OSRRefE11x_1" localSheetId="69">'Div 4'!$F$11:$F$16</definedName>
    <definedName name="OSRRefE11x_1" localSheetId="87">'Div 5'!$F$11</definedName>
    <definedName name="OSRRefE11x_1" localSheetId="61">'Div 6'!$F$11:$F$14</definedName>
    <definedName name="OSRRefE11x_1" localSheetId="2">Summary!$F$11:$F$19</definedName>
    <definedName name="OSRRefE11x_10" localSheetId="48">'300'!$O$11:$O$15</definedName>
    <definedName name="OSRRefE11x_10" localSheetId="49">'300 &amp; 317'!$O$11:$O$15</definedName>
    <definedName name="OSRRefE11x_10" localSheetId="52">'307'!$O$11:$O$12</definedName>
    <definedName name="OSRRefE11x_10" localSheetId="53">'308'!$O$11:$O$14</definedName>
    <definedName name="OSRRefE11x_10" localSheetId="63">'310'!$O$11:$O$12</definedName>
    <definedName name="OSRRefE11x_10" localSheetId="70">'310 &amp; 491'!$O$11:$O$14</definedName>
    <definedName name="OSRRefE11x_10" localSheetId="54">'311'!$O$11:$O$14</definedName>
    <definedName name="OSRRefE11x_10" localSheetId="57">'315'!$O$11:$O$14</definedName>
    <definedName name="OSRRefE11x_10" localSheetId="60">'316'!$O$11:$O$13</definedName>
    <definedName name="OSRRefE11x_10" localSheetId="62">'317'!$O$11:$O$14</definedName>
    <definedName name="OSRRefE11x_10" localSheetId="66">'321'!$O$11:$O$12</definedName>
    <definedName name="OSRRefE11x_10" localSheetId="55">'324'!$O$11:$O$12</definedName>
    <definedName name="OSRRefE11x_10" localSheetId="67">'325'!$O$11:$O$12</definedName>
    <definedName name="OSRRefE11x_10" localSheetId="58">'326'!$O$11:$O$13</definedName>
    <definedName name="OSRRefE11x_10" localSheetId="68">'327'!$O$11</definedName>
    <definedName name="OSRRefE11x_10" localSheetId="51">'330'!$O$11:$O$12</definedName>
    <definedName name="OSRRefE11x_10" localSheetId="56">'331'!$O$11:$O$14</definedName>
    <definedName name="OSRRefE11x_10" localSheetId="59">'332'!$O$11:$O$13</definedName>
    <definedName name="OSRRefE11x_10" localSheetId="72">'405'!$O$11:$O$12</definedName>
    <definedName name="OSRRefE11x_10" localSheetId="76">'415'!$O$11:$O$14</definedName>
    <definedName name="OSRRefE11x_10" localSheetId="77">'418'!$O$11:$O$12</definedName>
    <definedName name="OSRRefE11x_10" localSheetId="84">'433'!$O$11</definedName>
    <definedName name="OSRRefE11x_10" localSheetId="85">'444'!$O$11:$O$14</definedName>
    <definedName name="OSRRefE11x_10" localSheetId="86">'450'!$O$11</definedName>
    <definedName name="OSRRefE11x_10" localSheetId="71">'491'!$O$11:$O$14</definedName>
    <definedName name="OSRRefE11x_10" localSheetId="82">'492'!$O$11:$O$14</definedName>
    <definedName name="OSRRefE11x_10" localSheetId="88">'501'!$O$11</definedName>
    <definedName name="OSRRefE11x_10" localSheetId="41">'Div 3'!$O$11:$O$15</definedName>
    <definedName name="OSRRefE11x_10" localSheetId="69">'Div 4'!$O$11:$O$16</definedName>
    <definedName name="OSRRefE11x_10" localSheetId="87">'Div 5'!$O$11</definedName>
    <definedName name="OSRRefE11x_10" localSheetId="61">'Div 6'!$O$11:$O$14</definedName>
    <definedName name="OSRRefE11x_10" localSheetId="2">Summary!$O$11:$O$19</definedName>
    <definedName name="OSRRefE11x_2" localSheetId="48">'300'!$G$11:$G$15</definedName>
    <definedName name="OSRRefE11x_2" localSheetId="49">'300 &amp; 317'!$G$11:$G$15</definedName>
    <definedName name="OSRRefE11x_2" localSheetId="52">'307'!$G$11:$G$12</definedName>
    <definedName name="OSRRefE11x_2" localSheetId="53">'308'!$G$11:$G$14</definedName>
    <definedName name="OSRRefE11x_2" localSheetId="63">'310'!$G$11:$G$12</definedName>
    <definedName name="OSRRefE11x_2" localSheetId="70">'310 &amp; 491'!$G$11:$G$14</definedName>
    <definedName name="OSRRefE11x_2" localSheetId="54">'311'!$G$11:$G$14</definedName>
    <definedName name="OSRRefE11x_2" localSheetId="57">'315'!$G$11:$G$14</definedName>
    <definedName name="OSRRefE11x_2" localSheetId="60">'316'!$G$11:$G$13</definedName>
    <definedName name="OSRRefE11x_2" localSheetId="62">'317'!$G$11:$G$14</definedName>
    <definedName name="OSRRefE11x_2" localSheetId="66">'321'!$G$11:$G$12</definedName>
    <definedName name="OSRRefE11x_2" localSheetId="55">'324'!$G$11:$G$12</definedName>
    <definedName name="OSRRefE11x_2" localSheetId="67">'325'!$G$11:$G$12</definedName>
    <definedName name="OSRRefE11x_2" localSheetId="58">'326'!$G$11:$G$13</definedName>
    <definedName name="OSRRefE11x_2" localSheetId="68">'327'!$G$11</definedName>
    <definedName name="OSRRefE11x_2" localSheetId="51">'330'!$G$11:$G$12</definedName>
    <definedName name="OSRRefE11x_2" localSheetId="56">'331'!$G$11:$G$14</definedName>
    <definedName name="OSRRefE11x_2" localSheetId="59">'332'!$G$11:$G$13</definedName>
    <definedName name="OSRRefE11x_2" localSheetId="72">'405'!$G$11:$G$12</definedName>
    <definedName name="OSRRefE11x_2" localSheetId="76">'415'!$G$11:$G$14</definedName>
    <definedName name="OSRRefE11x_2" localSheetId="77">'418'!$G$11:$G$12</definedName>
    <definedName name="OSRRefE11x_2" localSheetId="84">'433'!$G$11</definedName>
    <definedName name="OSRRefE11x_2" localSheetId="85">'444'!$G$11:$G$14</definedName>
    <definedName name="OSRRefE11x_2" localSheetId="86">'450'!$G$11</definedName>
    <definedName name="OSRRefE11x_2" localSheetId="71">'491'!$G$11:$G$14</definedName>
    <definedName name="OSRRefE11x_2" localSheetId="82">'492'!$G$11:$G$14</definedName>
    <definedName name="OSRRefE11x_2" localSheetId="88">'501'!$G$11</definedName>
    <definedName name="OSRRefE11x_2" localSheetId="41">'Div 3'!$G$11:$G$15</definedName>
    <definedName name="OSRRefE11x_2" localSheetId="69">'Div 4'!$G$11:$G$16</definedName>
    <definedName name="OSRRefE11x_2" localSheetId="87">'Div 5'!$G$11</definedName>
    <definedName name="OSRRefE11x_2" localSheetId="61">'Div 6'!$G$11:$G$14</definedName>
    <definedName name="OSRRefE11x_2" localSheetId="2">Summary!$G$11:$G$19</definedName>
    <definedName name="OSRRefE11x_3" localSheetId="48">'300'!$H$11:$H$15</definedName>
    <definedName name="OSRRefE11x_3" localSheetId="49">'300 &amp; 317'!$H$11:$H$15</definedName>
    <definedName name="OSRRefE11x_3" localSheetId="52">'307'!$H$11:$H$12</definedName>
    <definedName name="OSRRefE11x_3" localSheetId="53">'308'!$H$11:$H$14</definedName>
    <definedName name="OSRRefE11x_3" localSheetId="63">'310'!$H$11:$H$12</definedName>
    <definedName name="OSRRefE11x_3" localSheetId="70">'310 &amp; 491'!$H$11:$H$14</definedName>
    <definedName name="OSRRefE11x_3" localSheetId="54">'311'!$H$11:$H$14</definedName>
    <definedName name="OSRRefE11x_3" localSheetId="57">'315'!$H$11:$H$14</definedName>
    <definedName name="OSRRefE11x_3" localSheetId="60">'316'!$H$11:$H$13</definedName>
    <definedName name="OSRRefE11x_3" localSheetId="62">'317'!$H$11:$H$14</definedName>
    <definedName name="OSRRefE11x_3" localSheetId="66">'321'!$H$11:$H$12</definedName>
    <definedName name="OSRRefE11x_3" localSheetId="55">'324'!$H$11:$H$12</definedName>
    <definedName name="OSRRefE11x_3" localSheetId="67">'325'!$H$11:$H$12</definedName>
    <definedName name="OSRRefE11x_3" localSheetId="58">'326'!$H$11:$H$13</definedName>
    <definedName name="OSRRefE11x_3" localSheetId="68">'327'!$H$11</definedName>
    <definedName name="OSRRefE11x_3" localSheetId="51">'330'!$H$11:$H$12</definedName>
    <definedName name="OSRRefE11x_3" localSheetId="56">'331'!$H$11:$H$14</definedName>
    <definedName name="OSRRefE11x_3" localSheetId="59">'332'!$H$11:$H$13</definedName>
    <definedName name="OSRRefE11x_3" localSheetId="72">'405'!$H$11:$H$12</definedName>
    <definedName name="OSRRefE11x_3" localSheetId="76">'415'!$H$11:$H$14</definedName>
    <definedName name="OSRRefE11x_3" localSheetId="77">'418'!$H$11:$H$12</definedName>
    <definedName name="OSRRefE11x_3" localSheetId="84">'433'!$H$11</definedName>
    <definedName name="OSRRefE11x_3" localSheetId="85">'444'!$H$11:$H$14</definedName>
    <definedName name="OSRRefE11x_3" localSheetId="86">'450'!$H$11</definedName>
    <definedName name="OSRRefE11x_3" localSheetId="71">'491'!$H$11:$H$14</definedName>
    <definedName name="OSRRefE11x_3" localSheetId="82">'492'!$H$11:$H$14</definedName>
    <definedName name="OSRRefE11x_3" localSheetId="88">'501'!$H$11</definedName>
    <definedName name="OSRRefE11x_3" localSheetId="41">'Div 3'!$H$11:$H$15</definedName>
    <definedName name="OSRRefE11x_3" localSheetId="69">'Div 4'!$H$11:$H$16</definedName>
    <definedName name="OSRRefE11x_3" localSheetId="87">'Div 5'!$H$11</definedName>
    <definedName name="OSRRefE11x_3" localSheetId="61">'Div 6'!$H$11:$H$14</definedName>
    <definedName name="OSRRefE11x_3" localSheetId="2">Summary!$H$11:$H$19</definedName>
    <definedName name="OSRRefE11x_4" localSheetId="48">'300'!$I$11:$I$15</definedName>
    <definedName name="OSRRefE11x_4" localSheetId="49">'300 &amp; 317'!$I$11:$I$15</definedName>
    <definedName name="OSRRefE11x_4" localSheetId="52">'307'!$I$11:$I$12</definedName>
    <definedName name="OSRRefE11x_4" localSheetId="53">'308'!$I$11:$I$14</definedName>
    <definedName name="OSRRefE11x_4" localSheetId="63">'310'!$I$11:$I$12</definedName>
    <definedName name="OSRRefE11x_4" localSheetId="70">'310 &amp; 491'!$I$11:$I$14</definedName>
    <definedName name="OSRRefE11x_4" localSheetId="54">'311'!$I$11:$I$14</definedName>
    <definedName name="OSRRefE11x_4" localSheetId="57">'315'!$I$11:$I$14</definedName>
    <definedName name="OSRRefE11x_4" localSheetId="60">'316'!$I$11:$I$13</definedName>
    <definedName name="OSRRefE11x_4" localSheetId="62">'317'!$I$11:$I$14</definedName>
    <definedName name="OSRRefE11x_4" localSheetId="66">'321'!$I$11:$I$12</definedName>
    <definedName name="OSRRefE11x_4" localSheetId="55">'324'!$I$11:$I$12</definedName>
    <definedName name="OSRRefE11x_4" localSheetId="67">'325'!$I$11:$I$12</definedName>
    <definedName name="OSRRefE11x_4" localSheetId="58">'326'!$I$11:$I$13</definedName>
    <definedName name="OSRRefE11x_4" localSheetId="68">'327'!$I$11</definedName>
    <definedName name="OSRRefE11x_4" localSheetId="51">'330'!$I$11:$I$12</definedName>
    <definedName name="OSRRefE11x_4" localSheetId="56">'331'!$I$11:$I$14</definedName>
    <definedName name="OSRRefE11x_4" localSheetId="59">'332'!$I$11:$I$13</definedName>
    <definedName name="OSRRefE11x_4" localSheetId="72">'405'!$I$11:$I$12</definedName>
    <definedName name="OSRRefE11x_4" localSheetId="76">'415'!$I$11:$I$14</definedName>
    <definedName name="OSRRefE11x_4" localSheetId="77">'418'!$I$11:$I$12</definedName>
    <definedName name="OSRRefE11x_4" localSheetId="84">'433'!$I$11</definedName>
    <definedName name="OSRRefE11x_4" localSheetId="85">'444'!$I$11:$I$14</definedName>
    <definedName name="OSRRefE11x_4" localSheetId="86">'450'!$I$11</definedName>
    <definedName name="OSRRefE11x_4" localSheetId="71">'491'!$I$11:$I$14</definedName>
    <definedName name="OSRRefE11x_4" localSheetId="82">'492'!$I$11:$I$14</definedName>
    <definedName name="OSRRefE11x_4" localSheetId="88">'501'!$I$11</definedName>
    <definedName name="OSRRefE11x_4" localSheetId="41">'Div 3'!$I$11:$I$15</definedName>
    <definedName name="OSRRefE11x_4" localSheetId="69">'Div 4'!$I$11:$I$16</definedName>
    <definedName name="OSRRefE11x_4" localSheetId="87">'Div 5'!$I$11</definedName>
    <definedName name="OSRRefE11x_4" localSheetId="61">'Div 6'!$I$11:$I$14</definedName>
    <definedName name="OSRRefE11x_4" localSheetId="2">Summary!$I$11:$I$19</definedName>
    <definedName name="OSRRefE11x_5" localSheetId="48">'300'!$J$11:$J$15</definedName>
    <definedName name="OSRRefE11x_5" localSheetId="49">'300 &amp; 317'!$J$11:$J$15</definedName>
    <definedName name="OSRRefE11x_5" localSheetId="52">'307'!$J$11:$J$12</definedName>
    <definedName name="OSRRefE11x_5" localSheetId="53">'308'!$J$11:$J$14</definedName>
    <definedName name="OSRRefE11x_5" localSheetId="63">'310'!$J$11:$J$12</definedName>
    <definedName name="OSRRefE11x_5" localSheetId="70">'310 &amp; 491'!$J$11:$J$14</definedName>
    <definedName name="OSRRefE11x_5" localSheetId="54">'311'!$J$11:$J$14</definedName>
    <definedName name="OSRRefE11x_5" localSheetId="57">'315'!$J$11:$J$14</definedName>
    <definedName name="OSRRefE11x_5" localSheetId="60">'316'!$J$11:$J$13</definedName>
    <definedName name="OSRRefE11x_5" localSheetId="62">'317'!$J$11:$J$14</definedName>
    <definedName name="OSRRefE11x_5" localSheetId="66">'321'!$J$11:$J$12</definedName>
    <definedName name="OSRRefE11x_5" localSheetId="55">'324'!$J$11:$J$12</definedName>
    <definedName name="OSRRefE11x_5" localSheetId="67">'325'!$J$11:$J$12</definedName>
    <definedName name="OSRRefE11x_5" localSheetId="58">'326'!$J$11:$J$13</definedName>
    <definedName name="OSRRefE11x_5" localSheetId="68">'327'!$J$11</definedName>
    <definedName name="OSRRefE11x_5" localSheetId="51">'330'!$J$11:$J$12</definedName>
    <definedName name="OSRRefE11x_5" localSheetId="56">'331'!$J$11:$J$14</definedName>
    <definedName name="OSRRefE11x_5" localSheetId="59">'332'!$J$11:$J$13</definedName>
    <definedName name="OSRRefE11x_5" localSheetId="72">'405'!$J$11:$J$12</definedName>
    <definedName name="OSRRefE11x_5" localSheetId="76">'415'!$J$11:$J$14</definedName>
    <definedName name="OSRRefE11x_5" localSheetId="77">'418'!$J$11:$J$12</definedName>
    <definedName name="OSRRefE11x_5" localSheetId="84">'433'!$J$11</definedName>
    <definedName name="OSRRefE11x_5" localSheetId="85">'444'!$J$11:$J$14</definedName>
    <definedName name="OSRRefE11x_5" localSheetId="86">'450'!$J$11</definedName>
    <definedName name="OSRRefE11x_5" localSheetId="71">'491'!$J$11:$J$14</definedName>
    <definedName name="OSRRefE11x_5" localSheetId="82">'492'!$J$11:$J$14</definedName>
    <definedName name="OSRRefE11x_5" localSheetId="88">'501'!$J$11</definedName>
    <definedName name="OSRRefE11x_5" localSheetId="41">'Div 3'!$J$11:$J$15</definedName>
    <definedName name="OSRRefE11x_5" localSheetId="69">'Div 4'!$J$11:$J$16</definedName>
    <definedName name="OSRRefE11x_5" localSheetId="87">'Div 5'!$J$11</definedName>
    <definedName name="OSRRefE11x_5" localSheetId="61">'Div 6'!$J$11:$J$14</definedName>
    <definedName name="OSRRefE11x_5" localSheetId="2">Summary!$J$11:$J$19</definedName>
    <definedName name="OSRRefE11x_6" localSheetId="48">'300'!$K$11:$K$15</definedName>
    <definedName name="OSRRefE11x_6" localSheetId="49">'300 &amp; 317'!$K$11:$K$15</definedName>
    <definedName name="OSRRefE11x_6" localSheetId="52">'307'!$K$11:$K$12</definedName>
    <definedName name="OSRRefE11x_6" localSheetId="53">'308'!$K$11:$K$14</definedName>
    <definedName name="OSRRefE11x_6" localSheetId="63">'310'!$K$11:$K$12</definedName>
    <definedName name="OSRRefE11x_6" localSheetId="70">'310 &amp; 491'!$K$11:$K$14</definedName>
    <definedName name="OSRRefE11x_6" localSheetId="54">'311'!$K$11:$K$14</definedName>
    <definedName name="OSRRefE11x_6" localSheetId="57">'315'!$K$11:$K$14</definedName>
    <definedName name="OSRRefE11x_6" localSheetId="60">'316'!$K$11:$K$13</definedName>
    <definedName name="OSRRefE11x_6" localSheetId="62">'317'!$K$11:$K$14</definedName>
    <definedName name="OSRRefE11x_6" localSheetId="66">'321'!$K$11:$K$12</definedName>
    <definedName name="OSRRefE11x_6" localSheetId="55">'324'!$K$11:$K$12</definedName>
    <definedName name="OSRRefE11x_6" localSheetId="67">'325'!$K$11:$K$12</definedName>
    <definedName name="OSRRefE11x_6" localSheetId="58">'326'!$K$11:$K$13</definedName>
    <definedName name="OSRRefE11x_6" localSheetId="68">'327'!$K$11</definedName>
    <definedName name="OSRRefE11x_6" localSheetId="51">'330'!$K$11:$K$12</definedName>
    <definedName name="OSRRefE11x_6" localSheetId="56">'331'!$K$11:$K$14</definedName>
    <definedName name="OSRRefE11x_6" localSheetId="59">'332'!$K$11:$K$13</definedName>
    <definedName name="OSRRefE11x_6" localSheetId="72">'405'!$K$11:$K$12</definedName>
    <definedName name="OSRRefE11x_6" localSheetId="76">'415'!$K$11:$K$14</definedName>
    <definedName name="OSRRefE11x_6" localSheetId="77">'418'!$K$11:$K$12</definedName>
    <definedName name="OSRRefE11x_6" localSheetId="84">'433'!$K$11</definedName>
    <definedName name="OSRRefE11x_6" localSheetId="85">'444'!$K$11:$K$14</definedName>
    <definedName name="OSRRefE11x_6" localSheetId="86">'450'!$K$11</definedName>
    <definedName name="OSRRefE11x_6" localSheetId="71">'491'!$K$11:$K$14</definedName>
    <definedName name="OSRRefE11x_6" localSheetId="82">'492'!$K$11:$K$14</definedName>
    <definedName name="OSRRefE11x_6" localSheetId="88">'501'!$K$11</definedName>
    <definedName name="OSRRefE11x_6" localSheetId="41">'Div 3'!$K$11:$K$15</definedName>
    <definedName name="OSRRefE11x_6" localSheetId="69">'Div 4'!$K$11:$K$16</definedName>
    <definedName name="OSRRefE11x_6" localSheetId="87">'Div 5'!$K$11</definedName>
    <definedName name="OSRRefE11x_6" localSheetId="61">'Div 6'!$K$11:$K$14</definedName>
    <definedName name="OSRRefE11x_6" localSheetId="2">Summary!$K$11:$K$19</definedName>
    <definedName name="OSRRefE11x_7" localSheetId="48">'300'!$L$11:$L$15</definedName>
    <definedName name="OSRRefE11x_7" localSheetId="49">'300 &amp; 317'!$L$11:$L$15</definedName>
    <definedName name="OSRRefE11x_7" localSheetId="52">'307'!$L$11:$L$12</definedName>
    <definedName name="OSRRefE11x_7" localSheetId="53">'308'!$L$11:$L$14</definedName>
    <definedName name="OSRRefE11x_7" localSheetId="63">'310'!$L$11:$L$12</definedName>
    <definedName name="OSRRefE11x_7" localSheetId="70">'310 &amp; 491'!$L$11:$L$14</definedName>
    <definedName name="OSRRefE11x_7" localSheetId="54">'311'!$L$11:$L$14</definedName>
    <definedName name="OSRRefE11x_7" localSheetId="57">'315'!$L$11:$L$14</definedName>
    <definedName name="OSRRefE11x_7" localSheetId="60">'316'!$L$11:$L$13</definedName>
    <definedName name="OSRRefE11x_7" localSheetId="62">'317'!$L$11:$L$14</definedName>
    <definedName name="OSRRefE11x_7" localSheetId="66">'321'!$L$11:$L$12</definedName>
    <definedName name="OSRRefE11x_7" localSheetId="55">'324'!$L$11:$L$12</definedName>
    <definedName name="OSRRefE11x_7" localSheetId="67">'325'!$L$11:$L$12</definedName>
    <definedName name="OSRRefE11x_7" localSheetId="58">'326'!$L$11:$L$13</definedName>
    <definedName name="OSRRefE11x_7" localSheetId="68">'327'!$L$11</definedName>
    <definedName name="OSRRefE11x_7" localSheetId="51">'330'!$L$11:$L$12</definedName>
    <definedName name="OSRRefE11x_7" localSheetId="56">'331'!$L$11:$L$14</definedName>
    <definedName name="OSRRefE11x_7" localSheetId="59">'332'!$L$11:$L$13</definedName>
    <definedName name="OSRRefE11x_7" localSheetId="72">'405'!$L$11:$L$12</definedName>
    <definedName name="OSRRefE11x_7" localSheetId="76">'415'!$L$11:$L$14</definedName>
    <definedName name="OSRRefE11x_7" localSheetId="77">'418'!$L$11:$L$12</definedName>
    <definedName name="OSRRefE11x_7" localSheetId="84">'433'!$L$11</definedName>
    <definedName name="OSRRefE11x_7" localSheetId="85">'444'!$L$11:$L$14</definedName>
    <definedName name="OSRRefE11x_7" localSheetId="86">'450'!$L$11</definedName>
    <definedName name="OSRRefE11x_7" localSheetId="71">'491'!$L$11:$L$14</definedName>
    <definedName name="OSRRefE11x_7" localSheetId="82">'492'!$L$11:$L$14</definedName>
    <definedName name="OSRRefE11x_7" localSheetId="88">'501'!$L$11</definedName>
    <definedName name="OSRRefE11x_7" localSheetId="41">'Div 3'!$L$11:$L$15</definedName>
    <definedName name="OSRRefE11x_7" localSheetId="69">'Div 4'!$L$11:$L$16</definedName>
    <definedName name="OSRRefE11x_7" localSheetId="87">'Div 5'!$L$11</definedName>
    <definedName name="OSRRefE11x_7" localSheetId="61">'Div 6'!$L$11:$L$14</definedName>
    <definedName name="OSRRefE11x_7" localSheetId="2">Summary!$L$11:$L$19</definedName>
    <definedName name="OSRRefE11x_8" localSheetId="48">'300'!$M$11:$M$15</definedName>
    <definedName name="OSRRefE11x_8" localSheetId="49">'300 &amp; 317'!$M$11:$M$15</definedName>
    <definedName name="OSRRefE11x_8" localSheetId="52">'307'!$M$11:$M$12</definedName>
    <definedName name="OSRRefE11x_8" localSheetId="53">'308'!$M$11:$M$14</definedName>
    <definedName name="OSRRefE11x_8" localSheetId="63">'310'!$M$11:$M$12</definedName>
    <definedName name="OSRRefE11x_8" localSheetId="70">'310 &amp; 491'!$M$11:$M$14</definedName>
    <definedName name="OSRRefE11x_8" localSheetId="54">'311'!$M$11:$M$14</definedName>
    <definedName name="OSRRefE11x_8" localSheetId="57">'315'!$M$11:$M$14</definedName>
    <definedName name="OSRRefE11x_8" localSheetId="60">'316'!$M$11:$M$13</definedName>
    <definedName name="OSRRefE11x_8" localSheetId="62">'317'!$M$11:$M$14</definedName>
    <definedName name="OSRRefE11x_8" localSheetId="66">'321'!$M$11:$M$12</definedName>
    <definedName name="OSRRefE11x_8" localSheetId="55">'324'!$M$11:$M$12</definedName>
    <definedName name="OSRRefE11x_8" localSheetId="67">'325'!$M$11:$M$12</definedName>
    <definedName name="OSRRefE11x_8" localSheetId="58">'326'!$M$11:$M$13</definedName>
    <definedName name="OSRRefE11x_8" localSheetId="68">'327'!$M$11</definedName>
    <definedName name="OSRRefE11x_8" localSheetId="51">'330'!$M$11:$M$12</definedName>
    <definedName name="OSRRefE11x_8" localSheetId="56">'331'!$M$11:$M$14</definedName>
    <definedName name="OSRRefE11x_8" localSheetId="59">'332'!$M$11:$M$13</definedName>
    <definedName name="OSRRefE11x_8" localSheetId="72">'405'!$M$11:$M$12</definedName>
    <definedName name="OSRRefE11x_8" localSheetId="76">'415'!$M$11:$M$14</definedName>
    <definedName name="OSRRefE11x_8" localSheetId="77">'418'!$M$11:$M$12</definedName>
    <definedName name="OSRRefE11x_8" localSheetId="84">'433'!$M$11</definedName>
    <definedName name="OSRRefE11x_8" localSheetId="85">'444'!$M$11:$M$14</definedName>
    <definedName name="OSRRefE11x_8" localSheetId="86">'450'!$M$11</definedName>
    <definedName name="OSRRefE11x_8" localSheetId="71">'491'!$M$11:$M$14</definedName>
    <definedName name="OSRRefE11x_8" localSheetId="82">'492'!$M$11:$M$14</definedName>
    <definedName name="OSRRefE11x_8" localSheetId="88">'501'!$M$11</definedName>
    <definedName name="OSRRefE11x_8" localSheetId="41">'Div 3'!$M$11:$M$15</definedName>
    <definedName name="OSRRefE11x_8" localSheetId="69">'Div 4'!$M$11:$M$16</definedName>
    <definedName name="OSRRefE11x_8" localSheetId="87">'Div 5'!$M$11</definedName>
    <definedName name="OSRRefE11x_8" localSheetId="61">'Div 6'!$M$11:$M$14</definedName>
    <definedName name="OSRRefE11x_8" localSheetId="2">Summary!$M$11:$M$19</definedName>
    <definedName name="OSRRefE11x_9" localSheetId="48">'300'!$N$11:$N$15</definedName>
    <definedName name="OSRRefE11x_9" localSheetId="49">'300 &amp; 317'!$N$11:$N$15</definedName>
    <definedName name="OSRRefE11x_9" localSheetId="52">'307'!$N$11:$N$12</definedName>
    <definedName name="OSRRefE11x_9" localSheetId="53">'308'!$N$11:$N$14</definedName>
    <definedName name="OSRRefE11x_9" localSheetId="63">'310'!$N$11:$N$12</definedName>
    <definedName name="OSRRefE11x_9" localSheetId="70">'310 &amp; 491'!$N$11:$N$14</definedName>
    <definedName name="OSRRefE11x_9" localSheetId="54">'311'!$N$11:$N$14</definedName>
    <definedName name="OSRRefE11x_9" localSheetId="57">'315'!$N$11:$N$14</definedName>
    <definedName name="OSRRefE11x_9" localSheetId="60">'316'!$N$11:$N$13</definedName>
    <definedName name="OSRRefE11x_9" localSheetId="62">'317'!$N$11:$N$14</definedName>
    <definedName name="OSRRefE11x_9" localSheetId="66">'321'!$N$11:$N$12</definedName>
    <definedName name="OSRRefE11x_9" localSheetId="55">'324'!$N$11:$N$12</definedName>
    <definedName name="OSRRefE11x_9" localSheetId="67">'325'!$N$11:$N$12</definedName>
    <definedName name="OSRRefE11x_9" localSheetId="58">'326'!$N$11:$N$13</definedName>
    <definedName name="OSRRefE11x_9" localSheetId="68">'327'!$N$11</definedName>
    <definedName name="OSRRefE11x_9" localSheetId="51">'330'!$N$11:$N$12</definedName>
    <definedName name="OSRRefE11x_9" localSheetId="56">'331'!$N$11:$N$14</definedName>
    <definedName name="OSRRefE11x_9" localSheetId="59">'332'!$N$11:$N$13</definedName>
    <definedName name="OSRRefE11x_9" localSheetId="72">'405'!$N$11:$N$12</definedName>
    <definedName name="OSRRefE11x_9" localSheetId="76">'415'!$N$11:$N$14</definedName>
    <definedName name="OSRRefE11x_9" localSheetId="77">'418'!$N$11:$N$12</definedName>
    <definedName name="OSRRefE11x_9" localSheetId="84">'433'!$N$11</definedName>
    <definedName name="OSRRefE11x_9" localSheetId="85">'444'!$N$11:$N$14</definedName>
    <definedName name="OSRRefE11x_9" localSheetId="86">'450'!$N$11</definedName>
    <definedName name="OSRRefE11x_9" localSheetId="71">'491'!$N$11:$N$14</definedName>
    <definedName name="OSRRefE11x_9" localSheetId="82">'492'!$N$11:$N$14</definedName>
    <definedName name="OSRRefE11x_9" localSheetId="88">'501'!$N$11</definedName>
    <definedName name="OSRRefE11x_9" localSheetId="41">'Div 3'!$N$11:$N$15</definedName>
    <definedName name="OSRRefE11x_9" localSheetId="69">'Div 4'!$N$11:$N$16</definedName>
    <definedName name="OSRRefE11x_9" localSheetId="87">'Div 5'!$N$11</definedName>
    <definedName name="OSRRefE11x_9" localSheetId="61">'Div 6'!$N$11:$N$14</definedName>
    <definedName name="OSRRefE11x_9" localSheetId="2">Summary!$N$11:$N$19</definedName>
    <definedName name="OSRRefE14_0x" localSheetId="48">'300'!$E$18:$O$18</definedName>
    <definedName name="OSRRefE14_0x" localSheetId="49">'300 &amp; 317'!$E$18:$O$18</definedName>
    <definedName name="OSRRefE14_0x" localSheetId="52">'307'!$E$15:$O$15</definedName>
    <definedName name="OSRRefE14_0x" localSheetId="53">'308'!$E$17:$O$17</definedName>
    <definedName name="OSRRefE14_0x" localSheetId="63">'310'!$E$15:$O$15</definedName>
    <definedName name="OSRRefE14_0x" localSheetId="70">'310 &amp; 491'!$E$17:$O$17</definedName>
    <definedName name="OSRRefE14_0x" localSheetId="54">'311'!$E$17:$O$17</definedName>
    <definedName name="OSRRefE14_0x" localSheetId="57">'315'!$E$17:$O$17</definedName>
    <definedName name="OSRRefE14_0x" localSheetId="60">'316'!$E$16:$O$16</definedName>
    <definedName name="OSRRefE14_0x" localSheetId="62">'317'!$E$17:$O$17</definedName>
    <definedName name="OSRRefE14_0x" localSheetId="66">'321'!$E$15:$O$15</definedName>
    <definedName name="OSRRefE14_0x" localSheetId="55">'324'!$E$15:$O$15</definedName>
    <definedName name="OSRRefE14_0x" localSheetId="67">'325'!$E$15:$O$15</definedName>
    <definedName name="OSRRefE14_0x" localSheetId="58">'326'!$E$16:$O$16</definedName>
    <definedName name="OSRRefE14_0x" localSheetId="68">'327'!$E$14:$O$14</definedName>
    <definedName name="OSRRefE14_0x" localSheetId="51">'330'!$E$15:$O$15</definedName>
    <definedName name="OSRRefE14_0x" localSheetId="56">'331'!$E$17:$O$17</definedName>
    <definedName name="OSRRefE14_0x" localSheetId="59">'332'!$E$16:$O$16</definedName>
    <definedName name="OSRRefE14_0x" localSheetId="72">'405'!$E$15:$O$15</definedName>
    <definedName name="OSRRefE14_0x" localSheetId="76">'415'!$E$17:$O$17</definedName>
    <definedName name="OSRRefE14_0x" localSheetId="77">'418'!$E$15:$O$15</definedName>
    <definedName name="OSRRefE14_0x" localSheetId="80">'425'!$E$13:$O$13</definedName>
    <definedName name="OSRRefE14_0x" localSheetId="84">'433'!$E$14:$O$14</definedName>
    <definedName name="OSRRefE14_0x" localSheetId="85">'444'!$E$17:$O$17</definedName>
    <definedName name="OSRRefE14_0x" localSheetId="86">'450'!$E$14:$O$14</definedName>
    <definedName name="OSRRefE14_0x" localSheetId="71">'491'!$E$17:$O$17</definedName>
    <definedName name="OSRRefE14_0x" localSheetId="82">'492'!$E$17:$O$17</definedName>
    <definedName name="OSRRefE14_0x" localSheetId="41">'Div 3'!$E$18:$O$18</definedName>
    <definedName name="OSRRefE14_0x" localSheetId="69">'Div 4'!$E$19:$O$19</definedName>
    <definedName name="OSRRefE14_0x" localSheetId="61">'Div 6'!$E$17:$O$17</definedName>
    <definedName name="OSRRefE14_0x" localSheetId="2">Summary!$E$22:$O$22</definedName>
    <definedName name="OSRRefE14_10x" localSheetId="48">'300'!$E$28:$O$28</definedName>
    <definedName name="OSRRefE14_10x" localSheetId="49">'300 &amp; 317'!$E$28:$O$28</definedName>
    <definedName name="OSRRefE14_10x" localSheetId="57">'315'!$E$27:$O$27</definedName>
    <definedName name="OSRRefE14_10x" localSheetId="56">'331'!$E$27:$O$27</definedName>
    <definedName name="OSRRefE14_10x" localSheetId="41">'Div 3'!$E$28:$O$28</definedName>
    <definedName name="OSRRefE14_10x" localSheetId="2">Summary!$E$32:$O$32</definedName>
    <definedName name="OSRRefE14_11x" localSheetId="48">'300'!$E$29:$O$29</definedName>
    <definedName name="OSRRefE14_11x" localSheetId="49">'300 &amp; 317'!$E$29:$O$29</definedName>
    <definedName name="OSRRefE14_11x" localSheetId="57">'315'!$E$28:$O$28</definedName>
    <definedName name="OSRRefE14_11x" localSheetId="56">'331'!$E$28:$O$28</definedName>
    <definedName name="OSRRefE14_11x" localSheetId="41">'Div 3'!$E$29:$O$29</definedName>
    <definedName name="OSRRefE14_11x" localSheetId="2">Summary!$E$33:$O$33</definedName>
    <definedName name="OSRRefE14_12x" localSheetId="48">'300'!$E$30:$O$30</definedName>
    <definedName name="OSRRefE14_12x" localSheetId="49">'300 &amp; 317'!$E$30:$O$30</definedName>
    <definedName name="OSRRefE14_12x" localSheetId="57">'315'!$E$29:$O$29</definedName>
    <definedName name="OSRRefE14_12x" localSheetId="56">'331'!$E$29:$O$29</definedName>
    <definedName name="OSRRefE14_12x" localSheetId="41">'Div 3'!$E$30:$O$30</definedName>
    <definedName name="OSRRefE14_12x" localSheetId="2">Summary!$E$34:$O$34</definedName>
    <definedName name="OSRRefE14_13x" localSheetId="48">'300'!$E$31:$O$31</definedName>
    <definedName name="OSRRefE14_13x" localSheetId="49">'300 &amp; 317'!$E$31:$O$31</definedName>
    <definedName name="OSRRefE14_13x" localSheetId="57">'315'!$E$30:$O$30</definedName>
    <definedName name="OSRRefE14_13x" localSheetId="56">'331'!$E$30:$O$30</definedName>
    <definedName name="OSRRefE14_13x" localSheetId="41">'Div 3'!$E$31:$O$31</definedName>
    <definedName name="OSRRefE14_13x" localSheetId="2">Summary!$E$35:$O$35</definedName>
    <definedName name="OSRRefE14_14x" localSheetId="48">'300'!$E$32:$O$32</definedName>
    <definedName name="OSRRefE14_14x" localSheetId="49">'300 &amp; 317'!$E$32:$O$32</definedName>
    <definedName name="OSRRefE14_14x" localSheetId="57">'315'!$E$31:$O$31</definedName>
    <definedName name="OSRRefE14_14x" localSheetId="56">'331'!$E$31:$O$31</definedName>
    <definedName name="OSRRefE14_14x" localSheetId="41">'Div 3'!$E$32:$O$32</definedName>
    <definedName name="OSRRefE14_14x" localSheetId="2">Summary!$E$36:$O$36</definedName>
    <definedName name="OSRRefE14_15x" localSheetId="48">'300'!$E$33:$O$33</definedName>
    <definedName name="OSRRefE14_15x" localSheetId="49">'300 &amp; 317'!$E$33:$O$33</definedName>
    <definedName name="OSRRefE14_15x" localSheetId="41">'Div 3'!$E$33:$O$33</definedName>
    <definedName name="OSRRefE14_15x" localSheetId="2">Summary!$E$37:$O$37</definedName>
    <definedName name="OSRRefE14_16x" localSheetId="48">'300'!$E$34:$O$34</definedName>
    <definedName name="OSRRefE14_16x" localSheetId="49">'300 &amp; 317'!$E$34:$O$34</definedName>
    <definedName name="OSRRefE14_16x" localSheetId="41">'Div 3'!$E$34:$O$34</definedName>
    <definedName name="OSRRefE14_16x" localSheetId="2">Summary!$E$38:$O$38</definedName>
    <definedName name="OSRRefE14_17x" localSheetId="48">'300'!$E$35:$O$35</definedName>
    <definedName name="OSRRefE14_17x" localSheetId="49">'300 &amp; 317'!$E$35:$O$35</definedName>
    <definedName name="OSRRefE14_17x" localSheetId="41">'Div 3'!$E$35:$O$35</definedName>
    <definedName name="OSRRefE14_17x" localSheetId="2">Summary!$E$39:$O$39</definedName>
    <definedName name="OSRRefE14_18x" localSheetId="48">'300'!$E$36:$O$36</definedName>
    <definedName name="OSRRefE14_18x" localSheetId="49">'300 &amp; 317'!$E$36:$O$36</definedName>
    <definedName name="OSRRefE14_18x" localSheetId="41">'Div 3'!$E$36:$O$36</definedName>
    <definedName name="OSRRefE14_18x" localSheetId="2">Summary!$E$40:$O$40</definedName>
    <definedName name="OSRRefE14_19x" localSheetId="48">'300'!$E$37:$O$37</definedName>
    <definedName name="OSRRefE14_19x" localSheetId="49">'300 &amp; 317'!$E$37:$O$37</definedName>
    <definedName name="OSRRefE14_19x" localSheetId="41">'Div 3'!$E$37:$O$37</definedName>
    <definedName name="OSRRefE14_19x" localSheetId="2">Summary!$E$41:$O$41</definedName>
    <definedName name="OSRRefE14_1x" localSheetId="48">'300'!$E$19:$O$19</definedName>
    <definedName name="OSRRefE14_1x" localSheetId="49">'300 &amp; 317'!$E$19:$O$19</definedName>
    <definedName name="OSRRefE14_1x" localSheetId="53">'308'!$E$18:$O$18</definedName>
    <definedName name="OSRRefE14_1x" localSheetId="63">'310'!$E$16:$O$16</definedName>
    <definedName name="OSRRefE14_1x" localSheetId="70">'310 &amp; 491'!$E$18:$O$18</definedName>
    <definedName name="OSRRefE14_1x" localSheetId="54">'311'!$E$18:$O$18</definedName>
    <definedName name="OSRRefE14_1x" localSheetId="57">'315'!$E$18:$O$18</definedName>
    <definedName name="OSRRefE14_1x" localSheetId="62">'317'!$E$18:$O$18</definedName>
    <definedName name="OSRRefE14_1x" localSheetId="67">'325'!$E$16:$O$16</definedName>
    <definedName name="OSRRefE14_1x" localSheetId="58">'326'!$E$17:$O$17</definedName>
    <definedName name="OSRRefE14_1x" localSheetId="56">'331'!$E$18:$O$18</definedName>
    <definedName name="OSRRefE14_1x" localSheetId="76">'415'!$E$18:$O$18</definedName>
    <definedName name="OSRRefE14_1x" localSheetId="85">'444'!$E$18:$O$18</definedName>
    <definedName name="OSRRefE14_1x" localSheetId="71">'491'!$E$18:$O$18</definedName>
    <definedName name="OSRRefE14_1x" localSheetId="82">'492'!$E$18:$O$18</definedName>
    <definedName name="OSRRefE14_1x" localSheetId="41">'Div 3'!$E$19:$O$19</definedName>
    <definedName name="OSRRefE14_1x" localSheetId="69">'Div 4'!$E$20:$O$20</definedName>
    <definedName name="OSRRefE14_1x" localSheetId="61">'Div 6'!$E$18:$O$18</definedName>
    <definedName name="OSRRefE14_1x" localSheetId="2">Summary!$E$23:$O$23</definedName>
    <definedName name="OSRRefE14_20x" localSheetId="48">'300'!$E$38:$O$38</definedName>
    <definedName name="OSRRefE14_20x" localSheetId="49">'300 &amp; 317'!$E$38:$O$38</definedName>
    <definedName name="OSRRefE14_20x" localSheetId="41">'Div 3'!$E$38:$O$38</definedName>
    <definedName name="OSRRefE14_20x" localSheetId="2">Summary!$E$42:$O$42</definedName>
    <definedName name="OSRRefE14_21x" localSheetId="49">'300 &amp; 317'!$E$39:$O$39</definedName>
    <definedName name="OSRRefE14_21x" localSheetId="41">'Div 3'!$E$39:$O$39</definedName>
    <definedName name="OSRRefE14_21x" localSheetId="2">Summary!$E$43:$O$43</definedName>
    <definedName name="OSRRefE14_22x" localSheetId="49">'300 &amp; 317'!$E$40:$O$40</definedName>
    <definedName name="OSRRefE14_22x" localSheetId="2">Summary!$E$44:$O$44</definedName>
    <definedName name="OSRRefE14_23x" localSheetId="49">'300 &amp; 317'!$E$41:$O$41</definedName>
    <definedName name="OSRRefE14_23x" localSheetId="2">Summary!$E$45:$O$45</definedName>
    <definedName name="OSRRefE14_24x" localSheetId="49">'300 &amp; 317'!$E$42:$O$42</definedName>
    <definedName name="OSRRefE14_24x" localSheetId="2">Summary!$E$46:$O$46</definedName>
    <definedName name="OSRRefE14_25x" localSheetId="49">'300 &amp; 317'!$E$43:$O$43</definedName>
    <definedName name="OSRRefE14_25x" localSheetId="2">Summary!$E$47:$O$47</definedName>
    <definedName name="OSRRefE14_26x" localSheetId="49">'300 &amp; 317'!$E$44:$O$44</definedName>
    <definedName name="OSRRefE14_26x" localSheetId="2">Summary!$E$48:$O$48</definedName>
    <definedName name="OSRRefE14_27x" localSheetId="2">Summary!$E$49:$O$49</definedName>
    <definedName name="OSRRefE14_28x" localSheetId="2">Summary!$E$50:$O$50</definedName>
    <definedName name="OSRRefE14_2x" localSheetId="48">'300'!$E$20:$O$20</definedName>
    <definedName name="OSRRefE14_2x" localSheetId="49">'300 &amp; 317'!$E$20:$O$20</definedName>
    <definedName name="OSRRefE14_2x" localSheetId="53">'308'!$E$19:$O$19</definedName>
    <definedName name="OSRRefE14_2x" localSheetId="70">'310 &amp; 491'!$E$19:$O$19</definedName>
    <definedName name="OSRRefE14_2x" localSheetId="54">'311'!$E$19:$O$19</definedName>
    <definedName name="OSRRefE14_2x" localSheetId="57">'315'!$E$19:$O$19</definedName>
    <definedName name="OSRRefE14_2x" localSheetId="62">'317'!$E$19:$O$19</definedName>
    <definedName name="OSRRefE14_2x" localSheetId="56">'331'!$E$19:$O$19</definedName>
    <definedName name="OSRRefE14_2x" localSheetId="76">'415'!$E$19:$O$19</definedName>
    <definedName name="OSRRefE14_2x" localSheetId="85">'444'!$E$19:$O$19</definedName>
    <definedName name="OSRRefE14_2x" localSheetId="71">'491'!$E$19:$O$19</definedName>
    <definedName name="OSRRefE14_2x" localSheetId="82">'492'!$E$19:$O$19</definedName>
    <definedName name="OSRRefE14_2x" localSheetId="41">'Div 3'!$E$20:$O$20</definedName>
    <definedName name="OSRRefE14_2x" localSheetId="69">'Div 4'!$E$21:$O$21</definedName>
    <definedName name="OSRRefE14_2x" localSheetId="61">'Div 6'!$E$19:$O$19</definedName>
    <definedName name="OSRRefE14_2x" localSheetId="2">Summary!$E$24:$O$24</definedName>
    <definedName name="OSRRefE14_3x" localSheetId="48">'300'!$E$21:$O$21</definedName>
    <definedName name="OSRRefE14_3x" localSheetId="49">'300 &amp; 317'!$E$21:$O$21</definedName>
    <definedName name="OSRRefE14_3x" localSheetId="53">'308'!$E$20:$O$20</definedName>
    <definedName name="OSRRefE14_3x" localSheetId="54">'311'!$E$20:$O$20</definedName>
    <definedName name="OSRRefE14_3x" localSheetId="57">'315'!$E$20:$O$20</definedName>
    <definedName name="OSRRefE14_3x" localSheetId="62">'317'!$E$20:$O$20</definedName>
    <definedName name="OSRRefE14_3x" localSheetId="56">'331'!$E$20:$O$20</definedName>
    <definedName name="OSRRefE14_3x" localSheetId="41">'Div 3'!$E$21:$O$21</definedName>
    <definedName name="OSRRefE14_3x" localSheetId="61">'Div 6'!$E$20:$O$20</definedName>
    <definedName name="OSRRefE14_3x" localSheetId="2">Summary!$E$25:$O$25</definedName>
    <definedName name="OSRRefE14_4x" localSheetId="48">'300'!$E$22:$O$22</definedName>
    <definedName name="OSRRefE14_4x" localSheetId="49">'300 &amp; 317'!$E$22:$O$22</definedName>
    <definedName name="OSRRefE14_4x" localSheetId="53">'308'!$E$21:$O$21</definedName>
    <definedName name="OSRRefE14_4x" localSheetId="54">'311'!$E$21:$O$21</definedName>
    <definedName name="OSRRefE14_4x" localSheetId="57">'315'!$E$21:$O$21</definedName>
    <definedName name="OSRRefE14_4x" localSheetId="62">'317'!$E$21:$O$21</definedName>
    <definedName name="OSRRefE14_4x" localSheetId="56">'331'!$E$21:$O$21</definedName>
    <definedName name="OSRRefE14_4x" localSheetId="41">'Div 3'!$E$22:$O$22</definedName>
    <definedName name="OSRRefE14_4x" localSheetId="61">'Div 6'!$E$21:$O$21</definedName>
    <definedName name="OSRRefE14_4x" localSheetId="2">Summary!$E$26:$O$26</definedName>
    <definedName name="OSRRefE14_5x" localSheetId="48">'300'!$E$23:$O$23</definedName>
    <definedName name="OSRRefE14_5x" localSheetId="49">'300 &amp; 317'!$E$23:$O$23</definedName>
    <definedName name="OSRRefE14_5x" localSheetId="53">'308'!$E$22:$O$22</definedName>
    <definedName name="OSRRefE14_5x" localSheetId="54">'311'!$E$22:$O$22</definedName>
    <definedName name="OSRRefE14_5x" localSheetId="57">'315'!$E$22:$O$22</definedName>
    <definedName name="OSRRefE14_5x" localSheetId="62">'317'!$E$22:$O$22</definedName>
    <definedName name="OSRRefE14_5x" localSheetId="56">'331'!$E$22:$O$22</definedName>
    <definedName name="OSRRefE14_5x" localSheetId="41">'Div 3'!$E$23:$O$23</definedName>
    <definedName name="OSRRefE14_5x" localSheetId="61">'Div 6'!$E$22:$O$22</definedName>
    <definedName name="OSRRefE14_5x" localSheetId="2">Summary!$E$27:$O$27</definedName>
    <definedName name="OSRRefE14_6x" localSheetId="48">'300'!$E$24:$O$24</definedName>
    <definedName name="OSRRefE14_6x" localSheetId="49">'300 &amp; 317'!$E$24:$O$24</definedName>
    <definedName name="OSRRefE14_6x" localSheetId="53">'308'!$E$23:$O$23</definedName>
    <definedName name="OSRRefE14_6x" localSheetId="54">'311'!$E$23:$O$23</definedName>
    <definedName name="OSRRefE14_6x" localSheetId="57">'315'!$E$23:$O$23</definedName>
    <definedName name="OSRRefE14_6x" localSheetId="62">'317'!$E$23:$O$23</definedName>
    <definedName name="OSRRefE14_6x" localSheetId="56">'331'!$E$23:$O$23</definedName>
    <definedName name="OSRRefE14_6x" localSheetId="41">'Div 3'!$E$24:$O$24</definedName>
    <definedName name="OSRRefE14_6x" localSheetId="61">'Div 6'!$E$23:$O$23</definedName>
    <definedName name="OSRRefE14_6x" localSheetId="2">Summary!$E$28:$O$28</definedName>
    <definedName name="OSRRefE14_7x" localSheetId="48">'300'!$E$25:$O$25</definedName>
    <definedName name="OSRRefE14_7x" localSheetId="49">'300 &amp; 317'!$E$25:$O$25</definedName>
    <definedName name="OSRRefE14_7x" localSheetId="53">'308'!$E$24:$O$24</definedName>
    <definedName name="OSRRefE14_7x" localSheetId="54">'311'!$E$24:$O$24</definedName>
    <definedName name="OSRRefE14_7x" localSheetId="57">'315'!$E$24:$O$24</definedName>
    <definedName name="OSRRefE14_7x" localSheetId="62">'317'!$E$24:$O$24</definedName>
    <definedName name="OSRRefE14_7x" localSheetId="56">'331'!$E$24:$O$24</definedName>
    <definedName name="OSRRefE14_7x" localSheetId="41">'Div 3'!$E$25:$O$25</definedName>
    <definedName name="OSRRefE14_7x" localSheetId="61">'Div 6'!$E$24:$O$24</definedName>
    <definedName name="OSRRefE14_7x" localSheetId="2">Summary!$E$29:$O$29</definedName>
    <definedName name="OSRRefE14_8x" localSheetId="48">'300'!$E$26:$O$26</definedName>
    <definedName name="OSRRefE14_8x" localSheetId="49">'300 &amp; 317'!$E$26:$O$26</definedName>
    <definedName name="OSRRefE14_8x" localSheetId="53">'308'!$E$25:$O$25</definedName>
    <definedName name="OSRRefE14_8x" localSheetId="54">'311'!$E$25:$O$25</definedName>
    <definedName name="OSRRefE14_8x" localSheetId="57">'315'!$E$25:$O$25</definedName>
    <definedName name="OSRRefE14_8x" localSheetId="62">'317'!$E$25:$O$25</definedName>
    <definedName name="OSRRefE14_8x" localSheetId="56">'331'!$E$25:$O$25</definedName>
    <definedName name="OSRRefE14_8x" localSheetId="41">'Div 3'!$E$26:$O$26</definedName>
    <definedName name="OSRRefE14_8x" localSheetId="61">'Div 6'!$E$25:$O$25</definedName>
    <definedName name="OSRRefE14_8x" localSheetId="2">Summary!$E$30:$O$30</definedName>
    <definedName name="OSRRefE14_9x" localSheetId="48">'300'!$E$27:$O$27</definedName>
    <definedName name="OSRRefE14_9x" localSheetId="49">'300 &amp; 317'!$E$27:$O$27</definedName>
    <definedName name="OSRRefE14_9x" localSheetId="53">'308'!$E$26:$O$26</definedName>
    <definedName name="OSRRefE14_9x" localSheetId="54">'311'!$E$26:$O$26</definedName>
    <definedName name="OSRRefE14_9x" localSheetId="57">'315'!$E$26:$O$26</definedName>
    <definedName name="OSRRefE14_9x" localSheetId="62">'317'!$E$26:$O$26</definedName>
    <definedName name="OSRRefE14_9x" localSheetId="56">'331'!$E$26:$O$26</definedName>
    <definedName name="OSRRefE14_9x" localSheetId="41">'Div 3'!$E$27:$O$27</definedName>
    <definedName name="OSRRefE14_9x" localSheetId="61">'Div 6'!$E$26:$O$26</definedName>
    <definedName name="OSRRefE14_9x" localSheetId="2">Summary!$E$31:$O$31</definedName>
    <definedName name="OSRRefE14x_0" localSheetId="48">'300'!$E$18:$E$38</definedName>
    <definedName name="OSRRefE14x_0" localSheetId="49">'300 &amp; 317'!$E$18:$E$44</definedName>
    <definedName name="OSRRefE14x_0" localSheetId="52">'307'!$E$15</definedName>
    <definedName name="OSRRefE14x_0" localSheetId="53">'308'!$E$17:$E$26</definedName>
    <definedName name="OSRRefE14x_0" localSheetId="63">'310'!$E$15:$E$16</definedName>
    <definedName name="OSRRefE14x_0" localSheetId="70">'310 &amp; 491'!$E$17:$E$19</definedName>
    <definedName name="OSRRefE14x_0" localSheetId="54">'311'!$E$17:$E$26</definedName>
    <definedName name="OSRRefE14x_0" localSheetId="57">'315'!$E$17:$E$31</definedName>
    <definedName name="OSRRefE14x_0" localSheetId="60">'316'!$E$16</definedName>
    <definedName name="OSRRefE14x_0" localSheetId="62">'317'!$E$17:$E$26</definedName>
    <definedName name="OSRRefE14x_0" localSheetId="66">'321'!$E$15</definedName>
    <definedName name="OSRRefE14x_0" localSheetId="55">'324'!$E$15</definedName>
    <definedName name="OSRRefE14x_0" localSheetId="67">'325'!$E$15:$E$16</definedName>
    <definedName name="OSRRefE14x_0" localSheetId="58">'326'!$E$16:$E$17</definedName>
    <definedName name="OSRRefE14x_0" localSheetId="68">'327'!$E$14</definedName>
    <definedName name="OSRRefE14x_0" localSheetId="51">'330'!$E$15</definedName>
    <definedName name="OSRRefE14x_0" localSheetId="56">'331'!$E$17:$E$31</definedName>
    <definedName name="OSRRefE14x_0" localSheetId="59">'332'!$E$16</definedName>
    <definedName name="OSRRefE14x_0" localSheetId="72">'405'!$E$15</definedName>
    <definedName name="OSRRefE14x_0" localSheetId="76">'415'!$E$17:$E$19</definedName>
    <definedName name="OSRRefE14x_0" localSheetId="77">'418'!$E$15</definedName>
    <definedName name="OSRRefE14x_0" localSheetId="80">'425'!$E$13</definedName>
    <definedName name="OSRRefE14x_0" localSheetId="84">'433'!$E$14</definedName>
    <definedName name="OSRRefE14x_0" localSheetId="85">'444'!$E$17:$E$19</definedName>
    <definedName name="OSRRefE14x_0" localSheetId="86">'450'!$E$14</definedName>
    <definedName name="OSRRefE14x_0" localSheetId="71">'491'!$E$17:$E$19</definedName>
    <definedName name="OSRRefE14x_0" localSheetId="82">'492'!$E$17:$E$19</definedName>
    <definedName name="OSRRefE14x_0" localSheetId="41">'Div 3'!$E$18:$E$39</definedName>
    <definedName name="OSRRefE14x_0" localSheetId="69">'Div 4'!$E$19:$E$21</definedName>
    <definedName name="OSRRefE14x_0" localSheetId="61">'Div 6'!$E$17:$E$26</definedName>
    <definedName name="OSRRefE14x_0" localSheetId="2">Summary!$E$22:$E$50</definedName>
    <definedName name="OSRRefE14x_1" localSheetId="48">'300'!$F$18:$F$38</definedName>
    <definedName name="OSRRefE14x_1" localSheetId="49">'300 &amp; 317'!$F$18:$F$44</definedName>
    <definedName name="OSRRefE14x_1" localSheetId="52">'307'!$F$15</definedName>
    <definedName name="OSRRefE14x_1" localSheetId="53">'308'!$F$17:$F$26</definedName>
    <definedName name="OSRRefE14x_1" localSheetId="63">'310'!$F$15:$F$16</definedName>
    <definedName name="OSRRefE14x_1" localSheetId="70">'310 &amp; 491'!$F$17:$F$19</definedName>
    <definedName name="OSRRefE14x_1" localSheetId="54">'311'!$F$17:$F$26</definedName>
    <definedName name="OSRRefE14x_1" localSheetId="57">'315'!$F$17:$F$31</definedName>
    <definedName name="OSRRefE14x_1" localSheetId="60">'316'!$F$16</definedName>
    <definedName name="OSRRefE14x_1" localSheetId="62">'317'!$F$17:$F$26</definedName>
    <definedName name="OSRRefE14x_1" localSheetId="66">'321'!$F$15</definedName>
    <definedName name="OSRRefE14x_1" localSheetId="55">'324'!$F$15</definedName>
    <definedName name="OSRRefE14x_1" localSheetId="67">'325'!$F$15:$F$16</definedName>
    <definedName name="OSRRefE14x_1" localSheetId="58">'326'!$F$16:$F$17</definedName>
    <definedName name="OSRRefE14x_1" localSheetId="68">'327'!$F$14</definedName>
    <definedName name="OSRRefE14x_1" localSheetId="51">'330'!$F$15</definedName>
    <definedName name="OSRRefE14x_1" localSheetId="56">'331'!$F$17:$F$31</definedName>
    <definedName name="OSRRefE14x_1" localSheetId="59">'332'!$F$16</definedName>
    <definedName name="OSRRefE14x_1" localSheetId="72">'405'!$F$15</definedName>
    <definedName name="OSRRefE14x_1" localSheetId="76">'415'!$F$17:$F$19</definedName>
    <definedName name="OSRRefE14x_1" localSheetId="77">'418'!$F$15</definedName>
    <definedName name="OSRRefE14x_1" localSheetId="80">'425'!$F$13</definedName>
    <definedName name="OSRRefE14x_1" localSheetId="84">'433'!$F$14</definedName>
    <definedName name="OSRRefE14x_1" localSheetId="85">'444'!$F$17:$F$19</definedName>
    <definedName name="OSRRefE14x_1" localSheetId="86">'450'!$F$14</definedName>
    <definedName name="OSRRefE14x_1" localSheetId="71">'491'!$F$17:$F$19</definedName>
    <definedName name="OSRRefE14x_1" localSheetId="82">'492'!$F$17:$F$19</definedName>
    <definedName name="OSRRefE14x_1" localSheetId="41">'Div 3'!$F$18:$F$39</definedName>
    <definedName name="OSRRefE14x_1" localSheetId="69">'Div 4'!$F$19:$F$21</definedName>
    <definedName name="OSRRefE14x_1" localSheetId="61">'Div 6'!$F$17:$F$26</definedName>
    <definedName name="OSRRefE14x_1" localSheetId="2">Summary!$F$22:$F$50</definedName>
    <definedName name="OSRRefE14x_10" localSheetId="48">'300'!$O$18:$O$38</definedName>
    <definedName name="OSRRefE14x_10" localSheetId="49">'300 &amp; 317'!$O$18:$O$44</definedName>
    <definedName name="OSRRefE14x_10" localSheetId="52">'307'!$O$15</definedName>
    <definedName name="OSRRefE14x_10" localSheetId="53">'308'!$O$17:$O$26</definedName>
    <definedName name="OSRRefE14x_10" localSheetId="63">'310'!$O$15:$O$16</definedName>
    <definedName name="OSRRefE14x_10" localSheetId="70">'310 &amp; 491'!$O$17:$O$19</definedName>
    <definedName name="OSRRefE14x_10" localSheetId="54">'311'!$O$17:$O$26</definedName>
    <definedName name="OSRRefE14x_10" localSheetId="57">'315'!$O$17:$O$31</definedName>
    <definedName name="OSRRefE14x_10" localSheetId="60">'316'!$O$16</definedName>
    <definedName name="OSRRefE14x_10" localSheetId="62">'317'!$O$17:$O$26</definedName>
    <definedName name="OSRRefE14x_10" localSheetId="66">'321'!$O$15</definedName>
    <definedName name="OSRRefE14x_10" localSheetId="55">'324'!$O$15</definedName>
    <definedName name="OSRRefE14x_10" localSheetId="67">'325'!$O$15:$O$16</definedName>
    <definedName name="OSRRefE14x_10" localSheetId="58">'326'!$O$16:$O$17</definedName>
    <definedName name="OSRRefE14x_10" localSheetId="68">'327'!$O$14</definedName>
    <definedName name="OSRRefE14x_10" localSheetId="51">'330'!$O$15</definedName>
    <definedName name="OSRRefE14x_10" localSheetId="56">'331'!$O$17:$O$31</definedName>
    <definedName name="OSRRefE14x_10" localSheetId="59">'332'!$O$16</definedName>
    <definedName name="OSRRefE14x_10" localSheetId="72">'405'!$O$15</definedName>
    <definedName name="OSRRefE14x_10" localSheetId="76">'415'!$O$17:$O$19</definedName>
    <definedName name="OSRRefE14x_10" localSheetId="77">'418'!$O$15</definedName>
    <definedName name="OSRRefE14x_10" localSheetId="80">'425'!$O$13</definedName>
    <definedName name="OSRRefE14x_10" localSheetId="84">'433'!$O$14</definedName>
    <definedName name="OSRRefE14x_10" localSheetId="85">'444'!$O$17:$O$19</definedName>
    <definedName name="OSRRefE14x_10" localSheetId="86">'450'!$O$14</definedName>
    <definedName name="OSRRefE14x_10" localSheetId="71">'491'!$O$17:$O$19</definedName>
    <definedName name="OSRRefE14x_10" localSheetId="82">'492'!$O$17:$O$19</definedName>
    <definedName name="OSRRefE14x_10" localSheetId="41">'Div 3'!$O$18:$O$39</definedName>
    <definedName name="OSRRefE14x_10" localSheetId="69">'Div 4'!$O$19:$O$21</definedName>
    <definedName name="OSRRefE14x_10" localSheetId="61">'Div 6'!$O$17:$O$26</definedName>
    <definedName name="OSRRefE14x_10" localSheetId="2">Summary!$O$22:$O$50</definedName>
    <definedName name="OSRRefE14x_2" localSheetId="48">'300'!$G$18:$G$38</definedName>
    <definedName name="OSRRefE14x_2" localSheetId="49">'300 &amp; 317'!$G$18:$G$44</definedName>
    <definedName name="OSRRefE14x_2" localSheetId="52">'307'!$G$15</definedName>
    <definedName name="OSRRefE14x_2" localSheetId="53">'308'!$G$17:$G$26</definedName>
    <definedName name="OSRRefE14x_2" localSheetId="63">'310'!$G$15:$G$16</definedName>
    <definedName name="OSRRefE14x_2" localSheetId="70">'310 &amp; 491'!$G$17:$G$19</definedName>
    <definedName name="OSRRefE14x_2" localSheetId="54">'311'!$G$17:$G$26</definedName>
    <definedName name="OSRRefE14x_2" localSheetId="57">'315'!$G$17:$G$31</definedName>
    <definedName name="OSRRefE14x_2" localSheetId="60">'316'!$G$16</definedName>
    <definedName name="OSRRefE14x_2" localSheetId="62">'317'!$G$17:$G$26</definedName>
    <definedName name="OSRRefE14x_2" localSheetId="66">'321'!$G$15</definedName>
    <definedName name="OSRRefE14x_2" localSheetId="55">'324'!$G$15</definedName>
    <definedName name="OSRRefE14x_2" localSheetId="67">'325'!$G$15:$G$16</definedName>
    <definedName name="OSRRefE14x_2" localSheetId="58">'326'!$G$16:$G$17</definedName>
    <definedName name="OSRRefE14x_2" localSheetId="68">'327'!$G$14</definedName>
    <definedName name="OSRRefE14x_2" localSheetId="51">'330'!$G$15</definedName>
    <definedName name="OSRRefE14x_2" localSheetId="56">'331'!$G$17:$G$31</definedName>
    <definedName name="OSRRefE14x_2" localSheetId="59">'332'!$G$16</definedName>
    <definedName name="OSRRefE14x_2" localSheetId="72">'405'!$G$15</definedName>
    <definedName name="OSRRefE14x_2" localSheetId="76">'415'!$G$17:$G$19</definedName>
    <definedName name="OSRRefE14x_2" localSheetId="77">'418'!$G$15</definedName>
    <definedName name="OSRRefE14x_2" localSheetId="80">'425'!$G$13</definedName>
    <definedName name="OSRRefE14x_2" localSheetId="84">'433'!$G$14</definedName>
    <definedName name="OSRRefE14x_2" localSheetId="85">'444'!$G$17:$G$19</definedName>
    <definedName name="OSRRefE14x_2" localSheetId="86">'450'!$G$14</definedName>
    <definedName name="OSRRefE14x_2" localSheetId="71">'491'!$G$17:$G$19</definedName>
    <definedName name="OSRRefE14x_2" localSheetId="82">'492'!$G$17:$G$19</definedName>
    <definedName name="OSRRefE14x_2" localSheetId="41">'Div 3'!$G$18:$G$39</definedName>
    <definedName name="OSRRefE14x_2" localSheetId="69">'Div 4'!$G$19:$G$21</definedName>
    <definedName name="OSRRefE14x_2" localSheetId="61">'Div 6'!$G$17:$G$26</definedName>
    <definedName name="OSRRefE14x_2" localSheetId="2">Summary!$G$22:$G$50</definedName>
    <definedName name="OSRRefE14x_3" localSheetId="48">'300'!$H$18:$H$38</definedName>
    <definedName name="OSRRefE14x_3" localSheetId="49">'300 &amp; 317'!$H$18:$H$44</definedName>
    <definedName name="OSRRefE14x_3" localSheetId="52">'307'!$H$15</definedName>
    <definedName name="OSRRefE14x_3" localSheetId="53">'308'!$H$17:$H$26</definedName>
    <definedName name="OSRRefE14x_3" localSheetId="63">'310'!$H$15:$H$16</definedName>
    <definedName name="OSRRefE14x_3" localSheetId="70">'310 &amp; 491'!$H$17:$H$19</definedName>
    <definedName name="OSRRefE14x_3" localSheetId="54">'311'!$H$17:$H$26</definedName>
    <definedName name="OSRRefE14x_3" localSheetId="57">'315'!$H$17:$H$31</definedName>
    <definedName name="OSRRefE14x_3" localSheetId="60">'316'!$H$16</definedName>
    <definedName name="OSRRefE14x_3" localSheetId="62">'317'!$H$17:$H$26</definedName>
    <definedName name="OSRRefE14x_3" localSheetId="66">'321'!$H$15</definedName>
    <definedName name="OSRRefE14x_3" localSheetId="55">'324'!$H$15</definedName>
    <definedName name="OSRRefE14x_3" localSheetId="67">'325'!$H$15:$H$16</definedName>
    <definedName name="OSRRefE14x_3" localSheetId="58">'326'!$H$16:$H$17</definedName>
    <definedName name="OSRRefE14x_3" localSheetId="68">'327'!$H$14</definedName>
    <definedName name="OSRRefE14x_3" localSheetId="51">'330'!$H$15</definedName>
    <definedName name="OSRRefE14x_3" localSheetId="56">'331'!$H$17:$H$31</definedName>
    <definedName name="OSRRefE14x_3" localSheetId="59">'332'!$H$16</definedName>
    <definedName name="OSRRefE14x_3" localSheetId="72">'405'!$H$15</definedName>
    <definedName name="OSRRefE14x_3" localSheetId="76">'415'!$H$17:$H$19</definedName>
    <definedName name="OSRRefE14x_3" localSheetId="77">'418'!$H$15</definedName>
    <definedName name="OSRRefE14x_3" localSheetId="80">'425'!$H$13</definedName>
    <definedName name="OSRRefE14x_3" localSheetId="84">'433'!$H$14</definedName>
    <definedName name="OSRRefE14x_3" localSheetId="85">'444'!$H$17:$H$19</definedName>
    <definedName name="OSRRefE14x_3" localSheetId="86">'450'!$H$14</definedName>
    <definedName name="OSRRefE14x_3" localSheetId="71">'491'!$H$17:$H$19</definedName>
    <definedName name="OSRRefE14x_3" localSheetId="82">'492'!$H$17:$H$19</definedName>
    <definedName name="OSRRefE14x_3" localSheetId="41">'Div 3'!$H$18:$H$39</definedName>
    <definedName name="OSRRefE14x_3" localSheetId="69">'Div 4'!$H$19:$H$21</definedName>
    <definedName name="OSRRefE14x_3" localSheetId="61">'Div 6'!$H$17:$H$26</definedName>
    <definedName name="OSRRefE14x_3" localSheetId="2">Summary!$H$22:$H$50</definedName>
    <definedName name="OSRRefE14x_4" localSheetId="48">'300'!$I$18:$I$38</definedName>
    <definedName name="OSRRefE14x_4" localSheetId="49">'300 &amp; 317'!$I$18:$I$44</definedName>
    <definedName name="OSRRefE14x_4" localSheetId="52">'307'!$I$15</definedName>
    <definedName name="OSRRefE14x_4" localSheetId="53">'308'!$I$17:$I$26</definedName>
    <definedName name="OSRRefE14x_4" localSheetId="63">'310'!$I$15:$I$16</definedName>
    <definedName name="OSRRefE14x_4" localSheetId="70">'310 &amp; 491'!$I$17:$I$19</definedName>
    <definedName name="OSRRefE14x_4" localSheetId="54">'311'!$I$17:$I$26</definedName>
    <definedName name="OSRRefE14x_4" localSheetId="57">'315'!$I$17:$I$31</definedName>
    <definedName name="OSRRefE14x_4" localSheetId="60">'316'!$I$16</definedName>
    <definedName name="OSRRefE14x_4" localSheetId="62">'317'!$I$17:$I$26</definedName>
    <definedName name="OSRRefE14x_4" localSheetId="66">'321'!$I$15</definedName>
    <definedName name="OSRRefE14x_4" localSheetId="55">'324'!$I$15</definedName>
    <definedName name="OSRRefE14x_4" localSheetId="67">'325'!$I$15:$I$16</definedName>
    <definedName name="OSRRefE14x_4" localSheetId="58">'326'!$I$16:$I$17</definedName>
    <definedName name="OSRRefE14x_4" localSheetId="68">'327'!$I$14</definedName>
    <definedName name="OSRRefE14x_4" localSheetId="51">'330'!$I$15</definedName>
    <definedName name="OSRRefE14x_4" localSheetId="56">'331'!$I$17:$I$31</definedName>
    <definedName name="OSRRefE14x_4" localSheetId="59">'332'!$I$16</definedName>
    <definedName name="OSRRefE14x_4" localSheetId="72">'405'!$I$15</definedName>
    <definedName name="OSRRefE14x_4" localSheetId="76">'415'!$I$17:$I$19</definedName>
    <definedName name="OSRRefE14x_4" localSheetId="77">'418'!$I$15</definedName>
    <definedName name="OSRRefE14x_4" localSheetId="80">'425'!$I$13</definedName>
    <definedName name="OSRRefE14x_4" localSheetId="84">'433'!$I$14</definedName>
    <definedName name="OSRRefE14x_4" localSheetId="85">'444'!$I$17:$I$19</definedName>
    <definedName name="OSRRefE14x_4" localSheetId="86">'450'!$I$14</definedName>
    <definedName name="OSRRefE14x_4" localSheetId="71">'491'!$I$17:$I$19</definedName>
    <definedName name="OSRRefE14x_4" localSheetId="82">'492'!$I$17:$I$19</definedName>
    <definedName name="OSRRefE14x_4" localSheetId="41">'Div 3'!$I$18:$I$39</definedName>
    <definedName name="OSRRefE14x_4" localSheetId="69">'Div 4'!$I$19:$I$21</definedName>
    <definedName name="OSRRefE14x_4" localSheetId="61">'Div 6'!$I$17:$I$26</definedName>
    <definedName name="OSRRefE14x_4" localSheetId="2">Summary!$I$22:$I$50</definedName>
    <definedName name="OSRRefE14x_5" localSheetId="48">'300'!$J$18:$J$38</definedName>
    <definedName name="OSRRefE14x_5" localSheetId="49">'300 &amp; 317'!$J$18:$J$44</definedName>
    <definedName name="OSRRefE14x_5" localSheetId="52">'307'!$J$15</definedName>
    <definedName name="OSRRefE14x_5" localSheetId="53">'308'!$J$17:$J$26</definedName>
    <definedName name="OSRRefE14x_5" localSheetId="63">'310'!$J$15:$J$16</definedName>
    <definedName name="OSRRefE14x_5" localSheetId="70">'310 &amp; 491'!$J$17:$J$19</definedName>
    <definedName name="OSRRefE14x_5" localSheetId="54">'311'!$J$17:$J$26</definedName>
    <definedName name="OSRRefE14x_5" localSheetId="57">'315'!$J$17:$J$31</definedName>
    <definedName name="OSRRefE14x_5" localSheetId="60">'316'!$J$16</definedName>
    <definedName name="OSRRefE14x_5" localSheetId="62">'317'!$J$17:$J$26</definedName>
    <definedName name="OSRRefE14x_5" localSheetId="66">'321'!$J$15</definedName>
    <definedName name="OSRRefE14x_5" localSheetId="55">'324'!$J$15</definedName>
    <definedName name="OSRRefE14x_5" localSheetId="67">'325'!$J$15:$J$16</definedName>
    <definedName name="OSRRefE14x_5" localSheetId="58">'326'!$J$16:$J$17</definedName>
    <definedName name="OSRRefE14x_5" localSheetId="68">'327'!$J$14</definedName>
    <definedName name="OSRRefE14x_5" localSheetId="51">'330'!$J$15</definedName>
    <definedName name="OSRRefE14x_5" localSheetId="56">'331'!$J$17:$J$31</definedName>
    <definedName name="OSRRefE14x_5" localSheetId="59">'332'!$J$16</definedName>
    <definedName name="OSRRefE14x_5" localSheetId="72">'405'!$J$15</definedName>
    <definedName name="OSRRefE14x_5" localSheetId="76">'415'!$J$17:$J$19</definedName>
    <definedName name="OSRRefE14x_5" localSheetId="77">'418'!$J$15</definedName>
    <definedName name="OSRRefE14x_5" localSheetId="80">'425'!$J$13</definedName>
    <definedName name="OSRRefE14x_5" localSheetId="84">'433'!$J$14</definedName>
    <definedName name="OSRRefE14x_5" localSheetId="85">'444'!$J$17:$J$19</definedName>
    <definedName name="OSRRefE14x_5" localSheetId="86">'450'!$J$14</definedName>
    <definedName name="OSRRefE14x_5" localSheetId="71">'491'!$J$17:$J$19</definedName>
    <definedName name="OSRRefE14x_5" localSheetId="82">'492'!$J$17:$J$19</definedName>
    <definedName name="OSRRefE14x_5" localSheetId="41">'Div 3'!$J$18:$J$39</definedName>
    <definedName name="OSRRefE14x_5" localSheetId="69">'Div 4'!$J$19:$J$21</definedName>
    <definedName name="OSRRefE14x_5" localSheetId="61">'Div 6'!$J$17:$J$26</definedName>
    <definedName name="OSRRefE14x_5" localSheetId="2">Summary!$J$22:$J$50</definedName>
    <definedName name="OSRRefE14x_6" localSheetId="48">'300'!$K$18:$K$38</definedName>
    <definedName name="OSRRefE14x_6" localSheetId="49">'300 &amp; 317'!$K$18:$K$44</definedName>
    <definedName name="OSRRefE14x_6" localSheetId="52">'307'!$K$15</definedName>
    <definedName name="OSRRefE14x_6" localSheetId="53">'308'!$K$17:$K$26</definedName>
    <definedName name="OSRRefE14x_6" localSheetId="63">'310'!$K$15:$K$16</definedName>
    <definedName name="OSRRefE14x_6" localSheetId="70">'310 &amp; 491'!$K$17:$K$19</definedName>
    <definedName name="OSRRefE14x_6" localSheetId="54">'311'!$K$17:$K$26</definedName>
    <definedName name="OSRRefE14x_6" localSheetId="57">'315'!$K$17:$K$31</definedName>
    <definedName name="OSRRefE14x_6" localSheetId="60">'316'!$K$16</definedName>
    <definedName name="OSRRefE14x_6" localSheetId="62">'317'!$K$17:$K$26</definedName>
    <definedName name="OSRRefE14x_6" localSheetId="66">'321'!$K$15</definedName>
    <definedName name="OSRRefE14x_6" localSheetId="55">'324'!$K$15</definedName>
    <definedName name="OSRRefE14x_6" localSheetId="67">'325'!$K$15:$K$16</definedName>
    <definedName name="OSRRefE14x_6" localSheetId="58">'326'!$K$16:$K$17</definedName>
    <definedName name="OSRRefE14x_6" localSheetId="68">'327'!$K$14</definedName>
    <definedName name="OSRRefE14x_6" localSheetId="51">'330'!$K$15</definedName>
    <definedName name="OSRRefE14x_6" localSheetId="56">'331'!$K$17:$K$31</definedName>
    <definedName name="OSRRefE14x_6" localSheetId="59">'332'!$K$16</definedName>
    <definedName name="OSRRefE14x_6" localSheetId="72">'405'!$K$15</definedName>
    <definedName name="OSRRefE14x_6" localSheetId="76">'415'!$K$17:$K$19</definedName>
    <definedName name="OSRRefE14x_6" localSheetId="77">'418'!$K$15</definedName>
    <definedName name="OSRRefE14x_6" localSheetId="80">'425'!$K$13</definedName>
    <definedName name="OSRRefE14x_6" localSheetId="84">'433'!$K$14</definedName>
    <definedName name="OSRRefE14x_6" localSheetId="85">'444'!$K$17:$K$19</definedName>
    <definedName name="OSRRefE14x_6" localSheetId="86">'450'!$K$14</definedName>
    <definedName name="OSRRefE14x_6" localSheetId="71">'491'!$K$17:$K$19</definedName>
    <definedName name="OSRRefE14x_6" localSheetId="82">'492'!$K$17:$K$19</definedName>
    <definedName name="OSRRefE14x_6" localSheetId="41">'Div 3'!$K$18:$K$39</definedName>
    <definedName name="OSRRefE14x_6" localSheetId="69">'Div 4'!$K$19:$K$21</definedName>
    <definedName name="OSRRefE14x_6" localSheetId="61">'Div 6'!$K$17:$K$26</definedName>
    <definedName name="OSRRefE14x_6" localSheetId="2">Summary!$K$22:$K$50</definedName>
    <definedName name="OSRRefE14x_7" localSheetId="48">'300'!$L$18:$L$38</definedName>
    <definedName name="OSRRefE14x_7" localSheetId="49">'300 &amp; 317'!$L$18:$L$44</definedName>
    <definedName name="OSRRefE14x_7" localSheetId="52">'307'!$L$15</definedName>
    <definedName name="OSRRefE14x_7" localSheetId="53">'308'!$L$17:$L$26</definedName>
    <definedName name="OSRRefE14x_7" localSheetId="63">'310'!$L$15:$L$16</definedName>
    <definedName name="OSRRefE14x_7" localSheetId="70">'310 &amp; 491'!$L$17:$L$19</definedName>
    <definedName name="OSRRefE14x_7" localSheetId="54">'311'!$L$17:$L$26</definedName>
    <definedName name="OSRRefE14x_7" localSheetId="57">'315'!$L$17:$L$31</definedName>
    <definedName name="OSRRefE14x_7" localSheetId="60">'316'!$L$16</definedName>
    <definedName name="OSRRefE14x_7" localSheetId="62">'317'!$L$17:$L$26</definedName>
    <definedName name="OSRRefE14x_7" localSheetId="66">'321'!$L$15</definedName>
    <definedName name="OSRRefE14x_7" localSheetId="55">'324'!$L$15</definedName>
    <definedName name="OSRRefE14x_7" localSheetId="67">'325'!$L$15:$L$16</definedName>
    <definedName name="OSRRefE14x_7" localSheetId="58">'326'!$L$16:$L$17</definedName>
    <definedName name="OSRRefE14x_7" localSheetId="68">'327'!$L$14</definedName>
    <definedName name="OSRRefE14x_7" localSheetId="51">'330'!$L$15</definedName>
    <definedName name="OSRRefE14x_7" localSheetId="56">'331'!$L$17:$L$31</definedName>
    <definedName name="OSRRefE14x_7" localSheetId="59">'332'!$L$16</definedName>
    <definedName name="OSRRefE14x_7" localSheetId="72">'405'!$L$15</definedName>
    <definedName name="OSRRefE14x_7" localSheetId="76">'415'!$L$17:$L$19</definedName>
    <definedName name="OSRRefE14x_7" localSheetId="77">'418'!$L$15</definedName>
    <definedName name="OSRRefE14x_7" localSheetId="80">'425'!$L$13</definedName>
    <definedName name="OSRRefE14x_7" localSheetId="84">'433'!$L$14</definedName>
    <definedName name="OSRRefE14x_7" localSheetId="85">'444'!$L$17:$L$19</definedName>
    <definedName name="OSRRefE14x_7" localSheetId="86">'450'!$L$14</definedName>
    <definedName name="OSRRefE14x_7" localSheetId="71">'491'!$L$17:$L$19</definedName>
    <definedName name="OSRRefE14x_7" localSheetId="82">'492'!$L$17:$L$19</definedName>
    <definedName name="OSRRefE14x_7" localSheetId="41">'Div 3'!$L$18:$L$39</definedName>
    <definedName name="OSRRefE14x_7" localSheetId="69">'Div 4'!$L$19:$L$21</definedName>
    <definedName name="OSRRefE14x_7" localSheetId="61">'Div 6'!$L$17:$L$26</definedName>
    <definedName name="OSRRefE14x_7" localSheetId="2">Summary!$L$22:$L$50</definedName>
    <definedName name="OSRRefE14x_8" localSheetId="48">'300'!$M$18:$M$38</definedName>
    <definedName name="OSRRefE14x_8" localSheetId="49">'300 &amp; 317'!$M$18:$M$44</definedName>
    <definedName name="OSRRefE14x_8" localSheetId="52">'307'!$M$15</definedName>
    <definedName name="OSRRefE14x_8" localSheetId="53">'308'!$M$17:$M$26</definedName>
    <definedName name="OSRRefE14x_8" localSheetId="63">'310'!$M$15:$M$16</definedName>
    <definedName name="OSRRefE14x_8" localSheetId="70">'310 &amp; 491'!$M$17:$M$19</definedName>
    <definedName name="OSRRefE14x_8" localSheetId="54">'311'!$M$17:$M$26</definedName>
    <definedName name="OSRRefE14x_8" localSheetId="57">'315'!$M$17:$M$31</definedName>
    <definedName name="OSRRefE14x_8" localSheetId="60">'316'!$M$16</definedName>
    <definedName name="OSRRefE14x_8" localSheetId="62">'317'!$M$17:$M$26</definedName>
    <definedName name="OSRRefE14x_8" localSheetId="66">'321'!$M$15</definedName>
    <definedName name="OSRRefE14x_8" localSheetId="55">'324'!$M$15</definedName>
    <definedName name="OSRRefE14x_8" localSheetId="67">'325'!$M$15:$M$16</definedName>
    <definedName name="OSRRefE14x_8" localSheetId="58">'326'!$M$16:$M$17</definedName>
    <definedName name="OSRRefE14x_8" localSheetId="68">'327'!$M$14</definedName>
    <definedName name="OSRRefE14x_8" localSheetId="51">'330'!$M$15</definedName>
    <definedName name="OSRRefE14x_8" localSheetId="56">'331'!$M$17:$M$31</definedName>
    <definedName name="OSRRefE14x_8" localSheetId="59">'332'!$M$16</definedName>
    <definedName name="OSRRefE14x_8" localSheetId="72">'405'!$M$15</definedName>
    <definedName name="OSRRefE14x_8" localSheetId="76">'415'!$M$17:$M$19</definedName>
    <definedName name="OSRRefE14x_8" localSheetId="77">'418'!$M$15</definedName>
    <definedName name="OSRRefE14x_8" localSheetId="80">'425'!$M$13</definedName>
    <definedName name="OSRRefE14x_8" localSheetId="84">'433'!$M$14</definedName>
    <definedName name="OSRRefE14x_8" localSheetId="85">'444'!$M$17:$M$19</definedName>
    <definedName name="OSRRefE14x_8" localSheetId="86">'450'!$M$14</definedName>
    <definedName name="OSRRefE14x_8" localSheetId="71">'491'!$M$17:$M$19</definedName>
    <definedName name="OSRRefE14x_8" localSheetId="82">'492'!$M$17:$M$19</definedName>
    <definedName name="OSRRefE14x_8" localSheetId="41">'Div 3'!$M$18:$M$39</definedName>
    <definedName name="OSRRefE14x_8" localSheetId="69">'Div 4'!$M$19:$M$21</definedName>
    <definedName name="OSRRefE14x_8" localSheetId="61">'Div 6'!$M$17:$M$26</definedName>
    <definedName name="OSRRefE14x_8" localSheetId="2">Summary!$M$22:$M$50</definedName>
    <definedName name="OSRRefE14x_9" localSheetId="48">'300'!$N$18:$N$38</definedName>
    <definedName name="OSRRefE14x_9" localSheetId="49">'300 &amp; 317'!$N$18:$N$44</definedName>
    <definedName name="OSRRefE14x_9" localSheetId="52">'307'!$N$15</definedName>
    <definedName name="OSRRefE14x_9" localSheetId="53">'308'!$N$17:$N$26</definedName>
    <definedName name="OSRRefE14x_9" localSheetId="63">'310'!$N$15:$N$16</definedName>
    <definedName name="OSRRefE14x_9" localSheetId="70">'310 &amp; 491'!$N$17:$N$19</definedName>
    <definedName name="OSRRefE14x_9" localSheetId="54">'311'!$N$17:$N$26</definedName>
    <definedName name="OSRRefE14x_9" localSheetId="57">'315'!$N$17:$N$31</definedName>
    <definedName name="OSRRefE14x_9" localSheetId="60">'316'!$N$16</definedName>
    <definedName name="OSRRefE14x_9" localSheetId="62">'317'!$N$17:$N$26</definedName>
    <definedName name="OSRRefE14x_9" localSheetId="66">'321'!$N$15</definedName>
    <definedName name="OSRRefE14x_9" localSheetId="55">'324'!$N$15</definedName>
    <definedName name="OSRRefE14x_9" localSheetId="67">'325'!$N$15:$N$16</definedName>
    <definedName name="OSRRefE14x_9" localSheetId="58">'326'!$N$16:$N$17</definedName>
    <definedName name="OSRRefE14x_9" localSheetId="68">'327'!$N$14</definedName>
    <definedName name="OSRRefE14x_9" localSheetId="51">'330'!$N$15</definedName>
    <definedName name="OSRRefE14x_9" localSheetId="56">'331'!$N$17:$N$31</definedName>
    <definedName name="OSRRefE14x_9" localSheetId="59">'332'!$N$16</definedName>
    <definedName name="OSRRefE14x_9" localSheetId="72">'405'!$N$15</definedName>
    <definedName name="OSRRefE14x_9" localSheetId="76">'415'!$N$17:$N$19</definedName>
    <definedName name="OSRRefE14x_9" localSheetId="77">'418'!$N$15</definedName>
    <definedName name="OSRRefE14x_9" localSheetId="80">'425'!$N$13</definedName>
    <definedName name="OSRRefE14x_9" localSheetId="84">'433'!$N$14</definedName>
    <definedName name="OSRRefE14x_9" localSheetId="85">'444'!$N$17:$N$19</definedName>
    <definedName name="OSRRefE14x_9" localSheetId="86">'450'!$N$14</definedName>
    <definedName name="OSRRefE14x_9" localSheetId="71">'491'!$N$17:$N$19</definedName>
    <definedName name="OSRRefE14x_9" localSheetId="82">'492'!$N$17:$N$19</definedName>
    <definedName name="OSRRefE14x_9" localSheetId="41">'Div 3'!$N$18:$N$39</definedName>
    <definedName name="OSRRefE14x_9" localSheetId="69">'Div 4'!$N$19:$N$21</definedName>
    <definedName name="OSRRefE14x_9" localSheetId="61">'Div 6'!$N$17:$N$26</definedName>
    <definedName name="OSRRefE14x_9" localSheetId="2">Summary!$N$22:$N$50</definedName>
    <definedName name="OSRRefE20_0x" localSheetId="40">'200'!$E$18:$O$18</definedName>
    <definedName name="OSRRefE20_0x" localSheetId="42">'201'!$E$18:$O$18</definedName>
    <definedName name="OSRRefE20_0x" localSheetId="43">'202'!$E$18:$O$18</definedName>
    <definedName name="OSRRefE20_0x" localSheetId="44">'203'!$E$18:$O$18</definedName>
    <definedName name="OSRRefE20_0x" localSheetId="45">'204'!$E$18:$O$18</definedName>
    <definedName name="OSRRefE20_0x" localSheetId="46">'205'!$E$18:$O$18</definedName>
    <definedName name="OSRRefE20_0x" localSheetId="47">'206'!$E$18:$O$18</definedName>
    <definedName name="OSRRefE20_0x" localSheetId="48">'300'!$E$44:$O$44</definedName>
    <definedName name="OSRRefE20_0x" localSheetId="49">'300 &amp; 317'!$E$50:$O$50</definedName>
    <definedName name="OSRRefE20_0x" localSheetId="50">'301'!$E$18:$O$18</definedName>
    <definedName name="OSRRefE20_0x" localSheetId="52">'307'!$E$21:$O$21</definedName>
    <definedName name="OSRRefE20_0x" localSheetId="53">'308'!$E$32:$O$32</definedName>
    <definedName name="OSRRefE20_0x" localSheetId="64">'309'!$E$18:$O$18</definedName>
    <definedName name="OSRRefE20_0x" localSheetId="63">'310'!$E$22:$O$22</definedName>
    <definedName name="OSRRefE20_0x" localSheetId="70">'310 &amp; 491'!$E$25:$O$25</definedName>
    <definedName name="OSRRefE20_0x" localSheetId="54">'311'!$E$32:$O$32</definedName>
    <definedName name="OSRRefE20_0x" localSheetId="65">'313'!$E$18:$O$18</definedName>
    <definedName name="OSRRefE20_0x" localSheetId="57">'315'!$E$37:$O$37</definedName>
    <definedName name="OSRRefE20_0x" localSheetId="60">'316'!$E$22:$O$22</definedName>
    <definedName name="OSRRefE20_0x" localSheetId="62">'317'!$E$32:$O$32</definedName>
    <definedName name="OSRRefE20_0x" localSheetId="66">'321'!$E$21:$O$21</definedName>
    <definedName name="OSRRefE20_0x" localSheetId="67">'325'!$E$22:$O$22</definedName>
    <definedName name="OSRRefE20_0x" localSheetId="58">'326'!$E$23:$O$23</definedName>
    <definedName name="OSRRefE20_0x" localSheetId="68">'327'!$E$20:$O$20</definedName>
    <definedName name="OSRRefE20_0x" localSheetId="51">'330'!$E$21:$O$21</definedName>
    <definedName name="OSRRefE20_0x" localSheetId="56">'331'!$E$37:$O$37</definedName>
    <definedName name="OSRRefE20_0x" localSheetId="59">'332'!$E$22:$O$22</definedName>
    <definedName name="OSRRefE20_0x" localSheetId="72">'405'!$E$21:$O$21</definedName>
    <definedName name="OSRRefE20_0x" localSheetId="73">'411'!$E$18:$O$18</definedName>
    <definedName name="OSRRefE20_0x" localSheetId="74">'412'!$E$18:$O$18</definedName>
    <definedName name="OSRRefE20_0x" localSheetId="75">'413'!$E$18:$O$18</definedName>
    <definedName name="OSRRefE20_0x" localSheetId="76">'415'!$E$25:$O$25</definedName>
    <definedName name="OSRRefE20_0x" localSheetId="77">'418'!$E$21:$O$21</definedName>
    <definedName name="OSRRefE20_0x" localSheetId="78">'423'!$E$18:$O$18</definedName>
    <definedName name="OSRRefE20_0x" localSheetId="79">'424'!$E$18:$O$18</definedName>
    <definedName name="OSRRefE20_0x" localSheetId="80">'425'!$E$19:$O$19</definedName>
    <definedName name="OSRRefE20_0x" localSheetId="83">'430'!$E$18:$O$18</definedName>
    <definedName name="OSRRefE20_0x" localSheetId="84">'433'!$E$20:$O$20</definedName>
    <definedName name="OSRRefE20_0x" localSheetId="85">'444'!$E$25:$O$25</definedName>
    <definedName name="OSRRefE20_0x" localSheetId="86">'450'!$E$20:$O$20</definedName>
    <definedName name="OSRRefE20_0x" localSheetId="71">'491'!$E$25:$O$25</definedName>
    <definedName name="OSRRefE20_0x" localSheetId="82">'492'!$E$25:$O$25</definedName>
    <definedName name="OSRRefE20_0x" localSheetId="88">'501'!$E$19:$O$19</definedName>
    <definedName name="OSRRefE20_0x" localSheetId="39">'Div 2'!$E$18:$O$18</definedName>
    <definedName name="OSRRefE20_0x" localSheetId="41">'Div 3'!$E$45:$O$45</definedName>
    <definedName name="OSRRefE20_0x" localSheetId="69">'Div 4'!$E$27:$O$27</definedName>
    <definedName name="OSRRefE20_0x" localSheetId="87">'Div 5'!$E$19:$O$19</definedName>
    <definedName name="OSRRefE20_0x" localSheetId="61">'Div 6'!$E$32:$O$32</definedName>
    <definedName name="OSRRefE20_0x" localSheetId="2">Summary!$E$56:$O$56</definedName>
    <definedName name="OSRRefE20_10x" localSheetId="42">'201'!$E$57:$O$57</definedName>
    <definedName name="OSRRefE20_10x" localSheetId="43">'202'!$E$57:$O$57</definedName>
    <definedName name="OSRRefE20_10x" localSheetId="44">'203'!$E$58:$O$58</definedName>
    <definedName name="OSRRefE20_10x" localSheetId="48">'300'!$E$84:$O$84</definedName>
    <definedName name="OSRRefE20_10x" localSheetId="49">'300 &amp; 317'!$E$90:$O$90</definedName>
    <definedName name="OSRRefE20_10x" localSheetId="50">'301'!$E$57:$O$57</definedName>
    <definedName name="OSRRefE20_10x" localSheetId="53">'308'!$E$73:$O$73</definedName>
    <definedName name="OSRRefE20_10x" localSheetId="63">'310'!$E$59:$O$59</definedName>
    <definedName name="OSRRefE20_10x" localSheetId="70">'310 &amp; 491'!$E$64:$O$64</definedName>
    <definedName name="OSRRefE20_10x" localSheetId="54">'311'!$E$73:$O$73</definedName>
    <definedName name="OSRRefE20_10x" localSheetId="57">'315'!$E$75:$O$75</definedName>
    <definedName name="OSRRefE20_10x" localSheetId="66">'321'!$E$59:$O$59</definedName>
    <definedName name="OSRRefE20_10x" localSheetId="67">'325'!$E$59:$O$59</definedName>
    <definedName name="OSRRefE20_10x" localSheetId="58">'326'!$E$60:$O$60</definedName>
    <definedName name="OSRRefE20_10x" localSheetId="56">'331'!$E$76:$O$76</definedName>
    <definedName name="OSRRefE20_10x" localSheetId="72">'405'!$E$62:$O$62</definedName>
    <definedName name="OSRRefE20_10x" localSheetId="73">'411'!$E$59:$O$59</definedName>
    <definedName name="OSRRefE20_10x" localSheetId="76">'415'!$E$63:$O$63</definedName>
    <definedName name="OSRRefE20_10x" localSheetId="77">'418'!$E$63:$O$63</definedName>
    <definedName name="OSRRefE20_10x" localSheetId="84">'433'!$E$58:$O$58</definedName>
    <definedName name="OSRRefE20_10x" localSheetId="85">'444'!$E$63:$O$63</definedName>
    <definedName name="OSRRefE20_10x" localSheetId="86">'450'!$E$58:$O$58</definedName>
    <definedName name="OSRRefE20_10x" localSheetId="71">'491'!$E$64:$O$64</definedName>
    <definedName name="OSRRefE20_10x" localSheetId="82">'492'!$E$63:$O$63</definedName>
    <definedName name="OSRRefE20_10x" localSheetId="88">'501'!$E$58:$O$58</definedName>
    <definedName name="OSRRefE20_10x" localSheetId="39">'Div 2'!$E$58:$O$58</definedName>
    <definedName name="OSRRefE20_10x" localSheetId="41">'Div 3'!$E$85:$O$85</definedName>
    <definedName name="OSRRefE20_10x" localSheetId="69">'Div 4'!$E$67:$O$67</definedName>
    <definedName name="OSRRefE20_10x" localSheetId="87">'Div 5'!$E$58:$O$58</definedName>
    <definedName name="OSRRefE20_10x" localSheetId="2">Summary!$E$96:$O$96</definedName>
    <definedName name="OSRRefE20_11x" localSheetId="42">'201'!$E$59:$O$59</definedName>
    <definedName name="OSRRefE20_11x" localSheetId="43">'202'!$E$59:$O$59</definedName>
    <definedName name="OSRRefE20_11x" localSheetId="44">'203'!$E$60:$O$60</definedName>
    <definedName name="OSRRefE20_11x" localSheetId="48">'300'!$E$87:$O$87</definedName>
    <definedName name="OSRRefE20_11x" localSheetId="49">'300 &amp; 317'!$E$93:$O$93</definedName>
    <definedName name="OSRRefE20_11x" localSheetId="50">'301'!$E$59:$O$59</definedName>
    <definedName name="OSRRefE20_11x" localSheetId="53">'308'!$E$76:$O$76</definedName>
    <definedName name="OSRRefE20_11x" localSheetId="63">'310'!$E$61:$O$61</definedName>
    <definedName name="OSRRefE20_11x" localSheetId="70">'310 &amp; 491'!$E$66:$O$66</definedName>
    <definedName name="OSRRefE20_11x" localSheetId="54">'311'!$E$76:$O$76</definedName>
    <definedName name="OSRRefE20_11x" localSheetId="57">'315'!$E$77:$O$77</definedName>
    <definedName name="OSRRefE20_11x" localSheetId="66">'321'!$E$61:$O$61</definedName>
    <definedName name="OSRRefE20_11x" localSheetId="67">'325'!$E$62:$O$62</definedName>
    <definedName name="OSRRefE20_11x" localSheetId="58">'326'!$E$63:$O$63</definedName>
    <definedName name="OSRRefE20_11x" localSheetId="56">'331'!$E$78:$O$78</definedName>
    <definedName name="OSRRefE20_11x" localSheetId="72">'405'!$E$64:$O$64</definedName>
    <definedName name="OSRRefE20_11x" localSheetId="73">'411'!$E$61:$O$61</definedName>
    <definedName name="OSRRefE20_11x" localSheetId="76">'415'!$E$65:$O$65</definedName>
    <definedName name="OSRRefE20_11x" localSheetId="77">'418'!$E$65:$O$65</definedName>
    <definedName name="OSRRefE20_11x" localSheetId="84">'433'!$E$60:$O$60</definedName>
    <definedName name="OSRRefE20_11x" localSheetId="85">'444'!$E$65:$O$65</definedName>
    <definedName name="OSRRefE20_11x" localSheetId="86">'450'!$E$60:$O$60</definedName>
    <definedName name="OSRRefE20_11x" localSheetId="71">'491'!$E$66:$O$66</definedName>
    <definedName name="OSRRefE20_11x" localSheetId="82">'492'!$E$65:$O$65</definedName>
    <definedName name="OSRRefE20_11x" localSheetId="88">'501'!$E$60:$O$60</definedName>
    <definedName name="OSRRefE20_11x" localSheetId="39">'Div 2'!$E$60:$O$60</definedName>
    <definedName name="OSRRefE20_11x" localSheetId="41">'Div 3'!$E$88:$O$88</definedName>
    <definedName name="OSRRefE20_11x" localSheetId="69">'Div 4'!$E$69:$O$69</definedName>
    <definedName name="OSRRefE20_11x" localSheetId="87">'Div 5'!$E$60:$O$60</definedName>
    <definedName name="OSRRefE20_11x" localSheetId="2">Summary!$E$99:$O$99</definedName>
    <definedName name="OSRRefE20_12x" localSheetId="42">'201'!$E$61:$O$61</definedName>
    <definedName name="OSRRefE20_12x" localSheetId="44">'203'!$E$65:$O$65</definedName>
    <definedName name="OSRRefE20_12x" localSheetId="48">'300'!$E$90:$O$90</definedName>
    <definedName name="OSRRefE20_12x" localSheetId="49">'300 &amp; 317'!$E$96:$O$96</definedName>
    <definedName name="OSRRefE20_12x" localSheetId="50">'301'!$E$61:$O$61</definedName>
    <definedName name="OSRRefE20_12x" localSheetId="53">'308'!$E$79:$O$79</definedName>
    <definedName name="OSRRefE20_12x" localSheetId="63">'310'!$E$65:$O$65</definedName>
    <definedName name="OSRRefE20_12x" localSheetId="70">'310 &amp; 491'!$E$68:$O$68</definedName>
    <definedName name="OSRRefE20_12x" localSheetId="54">'311'!$E$79:$O$79</definedName>
    <definedName name="OSRRefE20_12x" localSheetId="57">'315'!$E$81:$O$81</definedName>
    <definedName name="OSRRefE20_12x" localSheetId="67">'325'!$E$65:$O$65</definedName>
    <definedName name="OSRRefE20_12x" localSheetId="58">'326'!$E$66:$O$66</definedName>
    <definedName name="OSRRefE20_12x" localSheetId="56">'331'!$E$80:$O$80</definedName>
    <definedName name="OSRRefE20_12x" localSheetId="72">'405'!$E$72:$O$72</definedName>
    <definedName name="OSRRefE20_12x" localSheetId="73">'411'!$E$63:$O$63</definedName>
    <definedName name="OSRRefE20_12x" localSheetId="76">'415'!$E$68:$O$68</definedName>
    <definedName name="OSRRefE20_12x" localSheetId="77">'418'!$E$73:$O$73</definedName>
    <definedName name="OSRRefE20_12x" localSheetId="84">'433'!$E$64:$O$64</definedName>
    <definedName name="OSRRefE20_12x" localSheetId="85">'444'!$E$68:$O$68</definedName>
    <definedName name="OSRRefE20_12x" localSheetId="86">'450'!$E$63:$O$63</definedName>
    <definedName name="OSRRefE20_12x" localSheetId="71">'491'!$E$68:$O$68</definedName>
    <definedName name="OSRRefE20_12x" localSheetId="82">'492'!$E$67:$O$67</definedName>
    <definedName name="OSRRefE20_12x" localSheetId="88">'501'!$E$63:$O$63</definedName>
    <definedName name="OSRRefE20_12x" localSheetId="39">'Div 2'!$E$62:$O$62</definedName>
    <definedName name="OSRRefE20_12x" localSheetId="41">'Div 3'!$E$91:$O$91</definedName>
    <definedName name="OSRRefE20_12x" localSheetId="69">'Div 4'!$E$71:$O$71</definedName>
    <definedName name="OSRRefE20_12x" localSheetId="87">'Div 5'!$E$63:$O$63</definedName>
    <definedName name="OSRRefE20_12x" localSheetId="2">Summary!$E$103:$O$103</definedName>
    <definedName name="OSRRefE20_13x" localSheetId="42">'201'!$E$64:$O$64</definedName>
    <definedName name="OSRRefE20_13x" localSheetId="44">'203'!$E$67:$O$67</definedName>
    <definedName name="OSRRefE20_13x" localSheetId="48">'300'!$E$92:$O$92</definedName>
    <definedName name="OSRRefE20_13x" localSheetId="49">'300 &amp; 317'!$E$98:$O$98</definedName>
    <definedName name="OSRRefE20_13x" localSheetId="50">'301'!$E$63:$O$63</definedName>
    <definedName name="OSRRefE20_13x" localSheetId="63">'310'!$E$67:$O$67</definedName>
    <definedName name="OSRRefE20_13x" localSheetId="70">'310 &amp; 491'!$E$73:$O$73</definedName>
    <definedName name="OSRRefE20_13x" localSheetId="57">'315'!$E$84:$O$84</definedName>
    <definedName name="OSRRefE20_13x" localSheetId="67">'325'!$E$71:$O$71</definedName>
    <definedName name="OSRRefE20_13x" localSheetId="58">'326'!$E$69:$O$69</definedName>
    <definedName name="OSRRefE20_13x" localSheetId="56">'331'!$E$83:$O$83</definedName>
    <definedName name="OSRRefE20_13x" localSheetId="72">'405'!$E$74:$O$74</definedName>
    <definedName name="OSRRefE20_13x" localSheetId="76">'415'!$E$73:$O$73</definedName>
    <definedName name="OSRRefE20_13x" localSheetId="77">'418'!$E$76:$O$76</definedName>
    <definedName name="OSRRefE20_13x" localSheetId="84">'433'!$E$69:$O$69</definedName>
    <definedName name="OSRRefE20_13x" localSheetId="85">'444'!$E$73:$O$73</definedName>
    <definedName name="OSRRefE20_13x" localSheetId="86">'450'!$E$68:$O$68</definedName>
    <definedName name="OSRRefE20_13x" localSheetId="71">'491'!$E$72:$O$72</definedName>
    <definedName name="OSRRefE20_13x" localSheetId="82">'492'!$E$71:$O$71</definedName>
    <definedName name="OSRRefE20_13x" localSheetId="88">'501'!$E$65:$O$65</definedName>
    <definedName name="OSRRefE20_13x" localSheetId="39">'Div 2'!$E$67:$O$67</definedName>
    <definedName name="OSRRefE20_13x" localSheetId="41">'Div 3'!$E$93:$O$93</definedName>
    <definedName name="OSRRefE20_13x" localSheetId="69">'Div 4'!$E$73:$O$73</definedName>
    <definedName name="OSRRefE20_13x" localSheetId="87">'Div 5'!$E$65:$O$65</definedName>
    <definedName name="OSRRefE20_13x" localSheetId="2">Summary!$E$105:$O$105</definedName>
    <definedName name="OSRRefE20_14x" localSheetId="42">'201'!$E$66:$O$66</definedName>
    <definedName name="OSRRefE20_14x" localSheetId="44">'203'!$E$69:$O$69</definedName>
    <definedName name="OSRRefE20_14x" localSheetId="48">'300'!$E$94:$O$94</definedName>
    <definedName name="OSRRefE20_14x" localSheetId="49">'300 &amp; 317'!$E$100:$O$100</definedName>
    <definedName name="OSRRefE20_14x" localSheetId="50">'301'!$E$68:$O$68</definedName>
    <definedName name="OSRRefE20_14x" localSheetId="63">'310'!$E$70:$O$70</definedName>
    <definedName name="OSRRefE20_14x" localSheetId="70">'310 &amp; 491'!$E$75:$O$75</definedName>
    <definedName name="OSRRefE20_14x" localSheetId="57">'315'!$E$88:$O$88</definedName>
    <definedName name="OSRRefE20_14x" localSheetId="67">'325'!$E$74:$O$74</definedName>
    <definedName name="OSRRefE20_14x" localSheetId="58">'326'!$E$73:$O$73</definedName>
    <definedName name="OSRRefE20_14x" localSheetId="56">'331'!$E$87:$O$87</definedName>
    <definedName name="OSRRefE20_14x" localSheetId="72">'405'!$E$76:$O$76</definedName>
    <definedName name="OSRRefE20_14x" localSheetId="76">'415'!$E$75:$O$75</definedName>
    <definedName name="OSRRefE20_14x" localSheetId="77">'418'!$E$78:$O$78</definedName>
    <definedName name="OSRRefE20_14x" localSheetId="84">'433'!$E$76:$O$76</definedName>
    <definedName name="OSRRefE20_14x" localSheetId="85">'444'!$E$75:$O$75</definedName>
    <definedName name="OSRRefE20_14x" localSheetId="86">'450'!$E$75:$O$75</definedName>
    <definedName name="OSRRefE20_14x" localSheetId="71">'491'!$E$78:$O$78</definedName>
    <definedName name="OSRRefE20_14x" localSheetId="82">'492'!$E$76:$O$76</definedName>
    <definedName name="OSRRefE20_14x" localSheetId="39">'Div 2'!$E$72:$O$72</definedName>
    <definedName name="OSRRefE20_14x" localSheetId="41">'Div 3'!$E$95:$O$95</definedName>
    <definedName name="OSRRefE20_14x" localSheetId="69">'Div 4'!$E$75:$O$75</definedName>
    <definedName name="OSRRefE20_14x" localSheetId="2">Summary!$E$107:$O$107</definedName>
    <definedName name="OSRRefE20_15x" localSheetId="42">'201'!$E$68:$O$68</definedName>
    <definedName name="OSRRefE20_15x" localSheetId="48">'300'!$E$96:$O$96</definedName>
    <definedName name="OSRRefE20_15x" localSheetId="49">'300 &amp; 317'!$E$102:$O$102</definedName>
    <definedName name="OSRRefE20_15x" localSheetId="50">'301'!$E$71:$O$71</definedName>
    <definedName name="OSRRefE20_15x" localSheetId="63">'310'!$E$76:$O$76</definedName>
    <definedName name="OSRRefE20_15x" localSheetId="70">'310 &amp; 491'!$E$81:$O$81</definedName>
    <definedName name="OSRRefE20_15x" localSheetId="57">'315'!$E$90:$O$90</definedName>
    <definedName name="OSRRefE20_15x" localSheetId="58">'326'!$E$75:$O$75</definedName>
    <definedName name="OSRRefE20_15x" localSheetId="56">'331'!$E$90:$O$90</definedName>
    <definedName name="OSRRefE20_15x" localSheetId="72">'405'!$E$78:$O$78</definedName>
    <definedName name="OSRRefE20_15x" localSheetId="76">'415'!$E$82:$O$82</definedName>
    <definedName name="OSRRefE20_15x" localSheetId="77">'418'!$E$80:$O$80</definedName>
    <definedName name="OSRRefE20_15x" localSheetId="84">'433'!$E$78:$O$78</definedName>
    <definedName name="OSRRefE20_15x" localSheetId="85">'444'!$E$82:$O$82</definedName>
    <definedName name="OSRRefE20_15x" localSheetId="86">'450'!$E$77:$O$77</definedName>
    <definedName name="OSRRefE20_15x" localSheetId="71">'491'!$E$80:$O$80</definedName>
    <definedName name="OSRRefE20_15x" localSheetId="82">'492'!$E$78:$O$78</definedName>
    <definedName name="OSRRefE20_15x" localSheetId="39">'Div 2'!$E$75:$O$75</definedName>
    <definedName name="OSRRefE20_15x" localSheetId="41">'Div 3'!$E$97:$O$97</definedName>
    <definedName name="OSRRefE20_15x" localSheetId="69">'Div 4'!$E$80:$O$80</definedName>
    <definedName name="OSRRefE20_15x" localSheetId="2">Summary!$E$109:$O$109</definedName>
    <definedName name="OSRRefE20_16x" localSheetId="48">'300'!$E$98:$O$98</definedName>
    <definedName name="OSRRefE20_16x" localSheetId="49">'300 &amp; 317'!$E$104:$O$104</definedName>
    <definedName name="OSRRefE20_16x" localSheetId="50">'301'!$E$73:$O$73</definedName>
    <definedName name="OSRRefE20_16x" localSheetId="63">'310'!$E$79:$O$79</definedName>
    <definedName name="OSRRefE20_16x" localSheetId="70">'310 &amp; 491'!$E$83:$O$83</definedName>
    <definedName name="OSRRefE20_16x" localSheetId="58">'326'!$E$78:$O$78</definedName>
    <definedName name="OSRRefE20_16x" localSheetId="56">'331'!$E$93:$O$93</definedName>
    <definedName name="OSRRefE20_16x" localSheetId="76">'415'!$E$85:$O$85</definedName>
    <definedName name="OSRRefE20_16x" localSheetId="85">'444'!$E$84:$O$84</definedName>
    <definedName name="OSRRefE20_16x" localSheetId="71">'491'!$E$90:$O$90</definedName>
    <definedName name="OSRRefE20_16x" localSheetId="82">'492'!$E$86:$O$86</definedName>
    <definedName name="OSRRefE20_16x" localSheetId="39">'Div 2'!$E$78:$O$78</definedName>
    <definedName name="OSRRefE20_16x" localSheetId="41">'Div 3'!$E$99:$O$99</definedName>
    <definedName name="OSRRefE20_16x" localSheetId="69">'Div 4'!$E$86:$O$86</definedName>
    <definedName name="OSRRefE20_16x" localSheetId="2">Summary!$E$111:$O$111</definedName>
    <definedName name="OSRRefE20_17x" localSheetId="48">'300'!$E$103:$O$103</definedName>
    <definedName name="OSRRefE20_17x" localSheetId="49">'300 &amp; 317'!$E$109:$O$109</definedName>
    <definedName name="OSRRefE20_17x" localSheetId="50">'301'!$E$79:$O$79</definedName>
    <definedName name="OSRRefE20_17x" localSheetId="63">'310'!$E$81:$O$81</definedName>
    <definedName name="OSRRefE20_17x" localSheetId="70">'310 &amp; 491'!$E$94:$O$94</definedName>
    <definedName name="OSRRefE20_17x" localSheetId="56">'331'!$E$98:$O$98</definedName>
    <definedName name="OSRRefE20_17x" localSheetId="76">'415'!$E$87:$O$87</definedName>
    <definedName name="OSRRefE20_17x" localSheetId="71">'491'!$E$93:$O$93</definedName>
    <definedName name="OSRRefE20_17x" localSheetId="82">'492'!$E$89:$O$89</definedName>
    <definedName name="OSRRefE20_17x" localSheetId="39">'Div 2'!$E$84:$O$84</definedName>
    <definedName name="OSRRefE20_17x" localSheetId="41">'Div 3'!$E$101:$O$101</definedName>
    <definedName name="OSRRefE20_17x" localSheetId="69">'Div 4'!$E$89:$O$89</definedName>
    <definedName name="OSRRefE20_17x" localSheetId="2">Summary!$E$113:$O$113</definedName>
    <definedName name="OSRRefE20_18x" localSheetId="48">'300'!$E$108:$O$108</definedName>
    <definedName name="OSRRefE20_18x" localSheetId="49">'300 &amp; 317'!$E$114:$O$114</definedName>
    <definedName name="OSRRefE20_18x" localSheetId="50">'301'!$E$81:$O$81</definedName>
    <definedName name="OSRRefE20_18x" localSheetId="70">'310 &amp; 491'!$E$97:$O$97</definedName>
    <definedName name="OSRRefE20_18x" localSheetId="56">'331'!$E$100:$O$100</definedName>
    <definedName name="OSRRefE20_18x" localSheetId="71">'491'!$E$95:$O$95</definedName>
    <definedName name="OSRRefE20_18x" localSheetId="39">'Div 2'!$E$87:$O$87</definedName>
    <definedName name="OSRRefE20_18x" localSheetId="41">'Div 3'!$E$106:$O$106</definedName>
    <definedName name="OSRRefE20_18x" localSheetId="69">'Div 4'!$E$100:$O$100</definedName>
    <definedName name="OSRRefE20_18x" localSheetId="2">Summary!$E$115:$O$115</definedName>
    <definedName name="OSRRefE20_19x" localSheetId="48">'300'!$E$112:$O$112</definedName>
    <definedName name="OSRRefE20_19x" localSheetId="49">'300 &amp; 317'!$E$118:$O$118</definedName>
    <definedName name="OSRRefE20_19x" localSheetId="50">'301'!$E$83:$O$83</definedName>
    <definedName name="OSRRefE20_19x" localSheetId="70">'310 &amp; 491'!$E$99:$O$99</definedName>
    <definedName name="OSRRefE20_19x" localSheetId="56">'331'!$E$103:$O$103</definedName>
    <definedName name="OSRRefE20_19x" localSheetId="71">'491'!$E$97:$O$97</definedName>
    <definedName name="OSRRefE20_19x" localSheetId="39">'Div 2'!$E$89:$O$89</definedName>
    <definedName name="OSRRefE20_19x" localSheetId="41">'Div 3'!$E$111:$O$111</definedName>
    <definedName name="OSRRefE20_19x" localSheetId="69">'Div 4'!$E$103:$O$103</definedName>
    <definedName name="OSRRefE20_19x" localSheetId="2">Summary!$E$120:$O$120</definedName>
    <definedName name="OSRRefE20_1x" localSheetId="40">'200'!$E$20:$O$20</definedName>
    <definedName name="OSRRefE20_1x" localSheetId="42">'201'!$E$28:$O$28</definedName>
    <definedName name="OSRRefE20_1x" localSheetId="43">'202'!$E$28:$O$28</definedName>
    <definedName name="OSRRefE20_1x" localSheetId="44">'203'!$E$29:$O$29</definedName>
    <definedName name="OSRRefE20_1x" localSheetId="45">'204'!$E$28:$O$28</definedName>
    <definedName name="OSRRefE20_1x" localSheetId="46">'205'!$E$28:$O$28</definedName>
    <definedName name="OSRRefE20_1x" localSheetId="47">'206'!$E$28:$O$28</definedName>
    <definedName name="OSRRefE20_1x" localSheetId="48">'300'!$E$55:$O$55</definedName>
    <definedName name="OSRRefE20_1x" localSheetId="49">'300 &amp; 317'!$E$61:$O$61</definedName>
    <definedName name="OSRRefE20_1x" localSheetId="50">'301'!$E$29:$O$29</definedName>
    <definedName name="OSRRefE20_1x" localSheetId="52">'307'!$E$30:$O$30</definedName>
    <definedName name="OSRRefE20_1x" localSheetId="53">'308'!$E$43:$O$43</definedName>
    <definedName name="OSRRefE20_1x" localSheetId="64">'309'!$E$20:$O$20</definedName>
    <definedName name="OSRRefE20_1x" localSheetId="63">'310'!$E$31:$O$31</definedName>
    <definedName name="OSRRefE20_1x" localSheetId="70">'310 &amp; 491'!$E$35:$O$35</definedName>
    <definedName name="OSRRefE20_1x" localSheetId="54">'311'!$E$43:$O$43</definedName>
    <definedName name="OSRRefE20_1x" localSheetId="57">'315'!$E$47:$O$47</definedName>
    <definedName name="OSRRefE20_1x" localSheetId="60">'316'!$E$32:$O$32</definedName>
    <definedName name="OSRRefE20_1x" localSheetId="62">'317'!$E$43:$O$43</definedName>
    <definedName name="OSRRefE20_1x" localSheetId="66">'321'!$E$30:$O$30</definedName>
    <definedName name="OSRRefE20_1x" localSheetId="67">'325'!$E$31:$O$31</definedName>
    <definedName name="OSRRefE20_1x" localSheetId="58">'326'!$E$33:$O$33</definedName>
    <definedName name="OSRRefE20_1x" localSheetId="51">'330'!$E$30:$O$30</definedName>
    <definedName name="OSRRefE20_1x" localSheetId="56">'331'!$E$47:$O$47</definedName>
    <definedName name="OSRRefE20_1x" localSheetId="59">'332'!$E$32:$O$32</definedName>
    <definedName name="OSRRefE20_1x" localSheetId="72">'405'!$E$31:$O$31</definedName>
    <definedName name="OSRRefE20_1x" localSheetId="73">'411'!$E$28:$O$28</definedName>
    <definedName name="OSRRefE20_1x" localSheetId="74">'412'!$E$20:$O$20</definedName>
    <definedName name="OSRRefE20_1x" localSheetId="76">'415'!$E$35:$O$35</definedName>
    <definedName name="OSRRefE20_1x" localSheetId="77">'418'!$E$31:$O$31</definedName>
    <definedName name="OSRRefE20_1x" localSheetId="78">'423'!$E$27:$O$27</definedName>
    <definedName name="OSRRefE20_1x" localSheetId="83">'430'!$E$28:$O$28</definedName>
    <definedName name="OSRRefE20_1x" localSheetId="84">'433'!$E$31:$O$31</definedName>
    <definedName name="OSRRefE20_1x" localSheetId="85">'444'!$E$36:$O$36</definedName>
    <definedName name="OSRRefE20_1x" localSheetId="86">'450'!$E$31:$O$31</definedName>
    <definedName name="OSRRefE20_1x" localSheetId="71">'491'!$E$35:$O$35</definedName>
    <definedName name="OSRRefE20_1x" localSheetId="82">'492'!$E$36:$O$36</definedName>
    <definedName name="OSRRefE20_1x" localSheetId="88">'501'!$E$29:$O$29</definedName>
    <definedName name="OSRRefE20_1x" localSheetId="39">'Div 2'!$E$30:$O$30</definedName>
    <definedName name="OSRRefE20_1x" localSheetId="41">'Div 3'!$E$56:$O$56</definedName>
    <definedName name="OSRRefE20_1x" localSheetId="69">'Div 4'!$E$38:$O$38</definedName>
    <definedName name="OSRRefE20_1x" localSheetId="87">'Div 5'!$E$29:$O$29</definedName>
    <definedName name="OSRRefE20_1x" localSheetId="61">'Div 6'!$E$43:$O$43</definedName>
    <definedName name="OSRRefE20_1x" localSheetId="2">Summary!$E$67:$O$67</definedName>
    <definedName name="OSRRefE20_20x" localSheetId="48">'300'!$E$115:$O$115</definedName>
    <definedName name="OSRRefE20_20x" localSheetId="49">'300 &amp; 317'!$E$121:$O$121</definedName>
    <definedName name="OSRRefE20_20x" localSheetId="50">'301'!$E$85:$O$85</definedName>
    <definedName name="OSRRefE20_20x" localSheetId="70">'310 &amp; 491'!$E$101:$O$101</definedName>
    <definedName name="OSRRefE20_20x" localSheetId="41">'Div 3'!$E$116:$O$116</definedName>
    <definedName name="OSRRefE20_20x" localSheetId="69">'Div 4'!$E$105:$O$105</definedName>
    <definedName name="OSRRefE20_20x" localSheetId="2">Summary!$E$125:$O$125</definedName>
    <definedName name="OSRRefE20_21x" localSheetId="48">'300'!$E$123:$O$123</definedName>
    <definedName name="OSRRefE20_21x" localSheetId="49">'300 &amp; 317'!$E$129:$O$129</definedName>
    <definedName name="OSRRefE20_21x" localSheetId="41">'Div 3'!$E$119:$O$119</definedName>
    <definedName name="OSRRefE20_21x" localSheetId="69">'Div 4'!$E$107:$O$107</definedName>
    <definedName name="OSRRefE20_21x" localSheetId="2">Summary!$E$131:$O$131</definedName>
    <definedName name="OSRRefE20_22x" localSheetId="48">'300'!$E$126:$O$126</definedName>
    <definedName name="OSRRefE20_22x" localSheetId="49">'300 &amp; 317'!$E$132:$O$132</definedName>
    <definedName name="OSRRefE20_22x" localSheetId="41">'Div 3'!$E$127:$O$127</definedName>
    <definedName name="OSRRefE20_22x" localSheetId="2">Summary!$E$134:$O$134</definedName>
    <definedName name="OSRRefE20_23x" localSheetId="48">'300'!$E$128:$O$128</definedName>
    <definedName name="OSRRefE20_23x" localSheetId="49">'300 &amp; 317'!$E$134:$O$134</definedName>
    <definedName name="OSRRefE20_23x" localSheetId="41">'Div 3'!$E$130:$O$130</definedName>
    <definedName name="OSRRefE20_23x" localSheetId="2">Summary!$E$145:$O$145</definedName>
    <definedName name="OSRRefE20_24x" localSheetId="48">'300'!$E$132:$O$132</definedName>
    <definedName name="OSRRefE20_24x" localSheetId="49">'300 &amp; 317'!$E$138:$O$138</definedName>
    <definedName name="OSRRefE20_24x" localSheetId="41">'Div 3'!$E$132:$O$132</definedName>
    <definedName name="OSRRefE20_24x" localSheetId="2">Summary!$E$148:$O$148</definedName>
    <definedName name="OSRRefE20_25x" localSheetId="41">'Div 3'!$E$136:$O$136</definedName>
    <definedName name="OSRRefE20_25x" localSheetId="2">Summary!$E$150:$O$150</definedName>
    <definedName name="OSRRefE20_26x" localSheetId="2">Summary!$E$154:$O$154</definedName>
    <definedName name="OSRRefE20_2x" localSheetId="40">'200'!$E$22:$O$22</definedName>
    <definedName name="OSRRefE20_2x" localSheetId="42">'201'!$E$39:$O$39</definedName>
    <definedName name="OSRRefE20_2x" localSheetId="43">'202'!$E$39:$O$39</definedName>
    <definedName name="OSRRefE20_2x" localSheetId="44">'203'!$E$40:$O$40</definedName>
    <definedName name="OSRRefE20_2x" localSheetId="45">'204'!$E$39:$O$39</definedName>
    <definedName name="OSRRefE20_2x" localSheetId="46">'205'!$E$39:$O$39</definedName>
    <definedName name="OSRRefE20_2x" localSheetId="47">'206'!$E$39:$O$39</definedName>
    <definedName name="OSRRefE20_2x" localSheetId="48">'300'!$E$66:$O$66</definedName>
    <definedName name="OSRRefE20_2x" localSheetId="49">'300 &amp; 317'!$E$72:$O$72</definedName>
    <definedName name="OSRRefE20_2x" localSheetId="50">'301'!$E$40:$O$40</definedName>
    <definedName name="OSRRefE20_2x" localSheetId="52">'307'!$E$41:$O$41</definedName>
    <definedName name="OSRRefE20_2x" localSheetId="53">'308'!$E$54:$O$54</definedName>
    <definedName name="OSRRefE20_2x" localSheetId="64">'309'!$E$22:$O$22</definedName>
    <definedName name="OSRRefE20_2x" localSheetId="63">'310'!$E$42:$O$42</definedName>
    <definedName name="OSRRefE20_2x" localSheetId="70">'310 &amp; 491'!$E$46:$O$46</definedName>
    <definedName name="OSRRefE20_2x" localSheetId="54">'311'!$E$54:$O$54</definedName>
    <definedName name="OSRRefE20_2x" localSheetId="57">'315'!$E$58:$O$58</definedName>
    <definedName name="OSRRefE20_2x" localSheetId="60">'316'!$E$43:$O$43</definedName>
    <definedName name="OSRRefE20_2x" localSheetId="62">'317'!$E$54:$O$54</definedName>
    <definedName name="OSRRefE20_2x" localSheetId="66">'321'!$E$41:$O$41</definedName>
    <definedName name="OSRRefE20_2x" localSheetId="67">'325'!$E$42:$O$42</definedName>
    <definedName name="OSRRefE20_2x" localSheetId="58">'326'!$E$44:$O$44</definedName>
    <definedName name="OSRRefE20_2x" localSheetId="51">'330'!$E$41:$O$41</definedName>
    <definedName name="OSRRefE20_2x" localSheetId="56">'331'!$E$58:$O$58</definedName>
    <definedName name="OSRRefE20_2x" localSheetId="59">'332'!$E$43:$O$43</definedName>
    <definedName name="OSRRefE20_2x" localSheetId="72">'405'!$E$42:$O$42</definedName>
    <definedName name="OSRRefE20_2x" localSheetId="73">'411'!$E$39:$O$39</definedName>
    <definedName name="OSRRefE20_2x" localSheetId="76">'415'!$E$46:$O$46</definedName>
    <definedName name="OSRRefE20_2x" localSheetId="77">'418'!$E$42:$O$42</definedName>
    <definedName name="OSRRefE20_2x" localSheetId="78">'423'!$E$38:$O$38</definedName>
    <definedName name="OSRRefE20_2x" localSheetId="83">'430'!$E$39:$O$39</definedName>
    <definedName name="OSRRefE20_2x" localSheetId="84">'433'!$E$42:$O$42</definedName>
    <definedName name="OSRRefE20_2x" localSheetId="85">'444'!$E$47:$O$47</definedName>
    <definedName name="OSRRefE20_2x" localSheetId="86">'450'!$E$42:$O$42</definedName>
    <definedName name="OSRRefE20_2x" localSheetId="71">'491'!$E$46:$O$46</definedName>
    <definedName name="OSRRefE20_2x" localSheetId="82">'492'!$E$47:$O$47</definedName>
    <definedName name="OSRRefE20_2x" localSheetId="88">'501'!$E$40:$O$40</definedName>
    <definedName name="OSRRefE20_2x" localSheetId="39">'Div 2'!$E$41:$O$41</definedName>
    <definedName name="OSRRefE20_2x" localSheetId="41">'Div 3'!$E$67:$O$67</definedName>
    <definedName name="OSRRefE20_2x" localSheetId="69">'Div 4'!$E$49:$O$49</definedName>
    <definedName name="OSRRefE20_2x" localSheetId="87">'Div 5'!$E$40:$O$40</definedName>
    <definedName name="OSRRefE20_2x" localSheetId="61">'Div 6'!$E$54:$O$54</definedName>
    <definedName name="OSRRefE20_2x" localSheetId="2">Summary!$E$78:$O$78</definedName>
    <definedName name="OSRRefE20_3x" localSheetId="40">'200'!$E$24:$O$24</definedName>
    <definedName name="OSRRefE20_3x" localSheetId="42">'201'!$E$41:$O$41</definedName>
    <definedName name="OSRRefE20_3x" localSheetId="43">'202'!$E$41:$O$41</definedName>
    <definedName name="OSRRefE20_3x" localSheetId="44">'203'!$E$42:$O$42</definedName>
    <definedName name="OSRRefE20_3x" localSheetId="45">'204'!$E$42:$O$42</definedName>
    <definedName name="OSRRefE20_3x" localSheetId="46">'205'!$E$41:$O$41</definedName>
    <definedName name="OSRRefE20_3x" localSheetId="47">'206'!$E$41:$O$41</definedName>
    <definedName name="OSRRefE20_3x" localSheetId="48">'300'!$E$68:$O$68</definedName>
    <definedName name="OSRRefE20_3x" localSheetId="49">'300 &amp; 317'!$E$74:$O$74</definedName>
    <definedName name="OSRRefE20_3x" localSheetId="50">'301'!$E$42:$O$42</definedName>
    <definedName name="OSRRefE20_3x" localSheetId="52">'307'!$E$43:$O$43</definedName>
    <definedName name="OSRRefE20_3x" localSheetId="53">'308'!$E$56:$O$56</definedName>
    <definedName name="OSRRefE20_3x" localSheetId="63">'310'!$E$44:$O$44</definedName>
    <definedName name="OSRRefE20_3x" localSheetId="70">'310 &amp; 491'!$E$48:$O$48</definedName>
    <definedName name="OSRRefE20_3x" localSheetId="54">'311'!$E$56:$O$56</definedName>
    <definedName name="OSRRefE20_3x" localSheetId="57">'315'!$E$60:$O$60</definedName>
    <definedName name="OSRRefE20_3x" localSheetId="60">'316'!$E$45:$O$45</definedName>
    <definedName name="OSRRefE20_3x" localSheetId="62">'317'!$E$56:$O$56</definedName>
    <definedName name="OSRRefE20_3x" localSheetId="66">'321'!$E$43:$O$43</definedName>
    <definedName name="OSRRefE20_3x" localSheetId="67">'325'!$E$44:$O$44</definedName>
    <definedName name="OSRRefE20_3x" localSheetId="58">'326'!$E$46:$O$46</definedName>
    <definedName name="OSRRefE20_3x" localSheetId="51">'330'!$E$43:$O$43</definedName>
    <definedName name="OSRRefE20_3x" localSheetId="56">'331'!$E$60:$O$60</definedName>
    <definedName name="OSRRefE20_3x" localSheetId="59">'332'!$E$45:$O$45</definedName>
    <definedName name="OSRRefE20_3x" localSheetId="72">'405'!$E$44:$O$44</definedName>
    <definedName name="OSRRefE20_3x" localSheetId="73">'411'!$E$41:$O$41</definedName>
    <definedName name="OSRRefE20_3x" localSheetId="76">'415'!$E$48:$O$48</definedName>
    <definedName name="OSRRefE20_3x" localSheetId="77">'418'!$E$44:$O$44</definedName>
    <definedName name="OSRRefE20_3x" localSheetId="78">'423'!$E$40:$O$40</definedName>
    <definedName name="OSRRefE20_3x" localSheetId="83">'430'!$E$41:$O$41</definedName>
    <definedName name="OSRRefE20_3x" localSheetId="84">'433'!$E$44:$O$44</definedName>
    <definedName name="OSRRefE20_3x" localSheetId="85">'444'!$E$49:$O$49</definedName>
    <definedName name="OSRRefE20_3x" localSheetId="86">'450'!$E$44:$O$44</definedName>
    <definedName name="OSRRefE20_3x" localSheetId="71">'491'!$E$48:$O$48</definedName>
    <definedName name="OSRRefE20_3x" localSheetId="82">'492'!$E$49:$O$49</definedName>
    <definedName name="OSRRefE20_3x" localSheetId="88">'501'!$E$42:$O$42</definedName>
    <definedName name="OSRRefE20_3x" localSheetId="39">'Div 2'!$E$43:$O$43</definedName>
    <definedName name="OSRRefE20_3x" localSheetId="41">'Div 3'!$E$69:$O$69</definedName>
    <definedName name="OSRRefE20_3x" localSheetId="69">'Div 4'!$E$51:$O$51</definedName>
    <definedName name="OSRRefE20_3x" localSheetId="87">'Div 5'!$E$42:$O$42</definedName>
    <definedName name="OSRRefE20_3x" localSheetId="61">'Div 6'!$E$56:$O$56</definedName>
    <definedName name="OSRRefE20_3x" localSheetId="2">Summary!$E$80:$O$80</definedName>
    <definedName name="OSRRefE20_4x" localSheetId="42">'201'!$E$43:$O$43</definedName>
    <definedName name="OSRRefE20_4x" localSheetId="43">'202'!$E$43:$O$43</definedName>
    <definedName name="OSRRefE20_4x" localSheetId="44">'203'!$E$44:$O$44</definedName>
    <definedName name="OSRRefE20_4x" localSheetId="45">'204'!$E$44:$O$44</definedName>
    <definedName name="OSRRefE20_4x" localSheetId="46">'205'!$E$43:$O$43</definedName>
    <definedName name="OSRRefE20_4x" localSheetId="47">'206'!$E$43:$O$43</definedName>
    <definedName name="OSRRefE20_4x" localSheetId="48">'300'!$E$70:$O$70</definedName>
    <definedName name="OSRRefE20_4x" localSheetId="49">'300 &amp; 317'!$E$76:$O$76</definedName>
    <definedName name="OSRRefE20_4x" localSheetId="50">'301'!$E$44:$O$44</definedName>
    <definedName name="OSRRefE20_4x" localSheetId="52">'307'!$E$45:$O$45</definedName>
    <definedName name="OSRRefE20_4x" localSheetId="53">'308'!$E$58:$O$58</definedName>
    <definedName name="OSRRefE20_4x" localSheetId="63">'310'!$E$46:$O$46</definedName>
    <definedName name="OSRRefE20_4x" localSheetId="70">'310 &amp; 491'!$E$50:$O$50</definedName>
    <definedName name="OSRRefE20_4x" localSheetId="54">'311'!$E$58:$O$58</definedName>
    <definedName name="OSRRefE20_4x" localSheetId="57">'315'!$E$62:$O$62</definedName>
    <definedName name="OSRRefE20_4x" localSheetId="60">'316'!$E$47:$O$47</definedName>
    <definedName name="OSRRefE20_4x" localSheetId="62">'317'!$E$58:$O$58</definedName>
    <definedName name="OSRRefE20_4x" localSheetId="66">'321'!$E$45:$O$45</definedName>
    <definedName name="OSRRefE20_4x" localSheetId="67">'325'!$E$46:$O$46</definedName>
    <definedName name="OSRRefE20_4x" localSheetId="58">'326'!$E$48:$O$48</definedName>
    <definedName name="OSRRefE20_4x" localSheetId="51">'330'!$E$45:$O$45</definedName>
    <definedName name="OSRRefE20_4x" localSheetId="56">'331'!$E$62:$O$62</definedName>
    <definedName name="OSRRefE20_4x" localSheetId="59">'332'!$E$47:$O$47</definedName>
    <definedName name="OSRRefE20_4x" localSheetId="72">'405'!$E$46:$O$46</definedName>
    <definedName name="OSRRefE20_4x" localSheetId="73">'411'!$E$44:$O$44</definedName>
    <definedName name="OSRRefE20_4x" localSheetId="76">'415'!$E$50:$O$50</definedName>
    <definedName name="OSRRefE20_4x" localSheetId="77">'418'!$E$46:$O$46</definedName>
    <definedName name="OSRRefE20_4x" localSheetId="83">'430'!$E$43:$O$43</definedName>
    <definedName name="OSRRefE20_4x" localSheetId="84">'433'!$E$46:$O$46</definedName>
    <definedName name="OSRRefE20_4x" localSheetId="85">'444'!$E$51:$O$51</definedName>
    <definedName name="OSRRefE20_4x" localSheetId="86">'450'!$E$46:$O$46</definedName>
    <definedName name="OSRRefE20_4x" localSheetId="71">'491'!$E$50:$O$50</definedName>
    <definedName name="OSRRefE20_4x" localSheetId="82">'492'!$E$51:$O$51</definedName>
    <definedName name="OSRRefE20_4x" localSheetId="88">'501'!$E$44:$O$44</definedName>
    <definedName name="OSRRefE20_4x" localSheetId="39">'Div 2'!$E$45:$O$45</definedName>
    <definedName name="OSRRefE20_4x" localSheetId="41">'Div 3'!$E$71:$O$71</definedName>
    <definedName name="OSRRefE20_4x" localSheetId="69">'Div 4'!$E$53:$O$53</definedName>
    <definedName name="OSRRefE20_4x" localSheetId="87">'Div 5'!$E$44:$O$44</definedName>
    <definedName name="OSRRefE20_4x" localSheetId="61">'Div 6'!$E$58:$O$58</definedName>
    <definedName name="OSRRefE20_4x" localSheetId="2">Summary!$E$82:$O$82</definedName>
    <definedName name="OSRRefE20_5x" localSheetId="42">'201'!$E$45:$O$45</definedName>
    <definedName name="OSRRefE20_5x" localSheetId="43">'202'!$E$45:$O$45</definedName>
    <definedName name="OSRRefE20_5x" localSheetId="44">'203'!$E$46:$O$46</definedName>
    <definedName name="OSRRefE20_5x" localSheetId="45">'204'!$E$48:$O$48</definedName>
    <definedName name="OSRRefE20_5x" localSheetId="46">'205'!$E$47:$O$47</definedName>
    <definedName name="OSRRefE20_5x" localSheetId="47">'206'!$E$45:$O$45</definedName>
    <definedName name="OSRRefE20_5x" localSheetId="48">'300'!$E$72:$O$72</definedName>
    <definedName name="OSRRefE20_5x" localSheetId="49">'300 &amp; 317'!$E$78:$O$78</definedName>
    <definedName name="OSRRefE20_5x" localSheetId="50">'301'!$E$47:$O$47</definedName>
    <definedName name="OSRRefE20_5x" localSheetId="52">'307'!$E$47:$O$47</definedName>
    <definedName name="OSRRefE20_5x" localSheetId="53">'308'!$E$60:$O$60</definedName>
    <definedName name="OSRRefE20_5x" localSheetId="63">'310'!$E$48:$O$48</definedName>
    <definedName name="OSRRefE20_5x" localSheetId="70">'310 &amp; 491'!$E$52:$O$52</definedName>
    <definedName name="OSRRefE20_5x" localSheetId="54">'311'!$E$60:$O$60</definedName>
    <definedName name="OSRRefE20_5x" localSheetId="57">'315'!$E$64:$O$64</definedName>
    <definedName name="OSRRefE20_5x" localSheetId="60">'316'!$E$49:$O$49</definedName>
    <definedName name="OSRRefE20_5x" localSheetId="62">'317'!$E$60:$O$60</definedName>
    <definedName name="OSRRefE20_5x" localSheetId="66">'321'!$E$47:$O$47</definedName>
    <definedName name="OSRRefE20_5x" localSheetId="67">'325'!$E$49:$O$49</definedName>
    <definedName name="OSRRefE20_5x" localSheetId="58">'326'!$E$50:$O$50</definedName>
    <definedName name="OSRRefE20_5x" localSheetId="51">'330'!$E$47:$O$47</definedName>
    <definedName name="OSRRefE20_5x" localSheetId="56">'331'!$E$64:$O$64</definedName>
    <definedName name="OSRRefE20_5x" localSheetId="59">'332'!$E$49:$O$49</definedName>
    <definedName name="OSRRefE20_5x" localSheetId="72">'405'!$E$49:$O$49</definedName>
    <definedName name="OSRRefE20_5x" localSheetId="73">'411'!$E$46:$O$46</definedName>
    <definedName name="OSRRefE20_5x" localSheetId="76">'415'!$E$52:$O$52</definedName>
    <definedName name="OSRRefE20_5x" localSheetId="77">'418'!$E$49:$O$49</definedName>
    <definedName name="OSRRefE20_5x" localSheetId="83">'430'!$E$45:$O$45</definedName>
    <definedName name="OSRRefE20_5x" localSheetId="84">'433'!$E$48:$O$48</definedName>
    <definedName name="OSRRefE20_5x" localSheetId="85">'444'!$E$53:$O$53</definedName>
    <definedName name="OSRRefE20_5x" localSheetId="86">'450'!$E$48:$O$48</definedName>
    <definedName name="OSRRefE20_5x" localSheetId="71">'491'!$E$52:$O$52</definedName>
    <definedName name="OSRRefE20_5x" localSheetId="82">'492'!$E$53:$O$53</definedName>
    <definedName name="OSRRefE20_5x" localSheetId="88">'501'!$E$46:$O$46</definedName>
    <definedName name="OSRRefE20_5x" localSheetId="39">'Div 2'!$E$47:$O$47</definedName>
    <definedName name="OSRRefE20_5x" localSheetId="41">'Div 3'!$E$73:$O$73</definedName>
    <definedName name="OSRRefE20_5x" localSheetId="69">'Div 4'!$E$55:$O$55</definedName>
    <definedName name="OSRRefE20_5x" localSheetId="87">'Div 5'!$E$46:$O$46</definedName>
    <definedName name="OSRRefE20_5x" localSheetId="61">'Div 6'!$E$60:$O$60</definedName>
    <definedName name="OSRRefE20_5x" localSheetId="2">Summary!$E$84:$O$84</definedName>
    <definedName name="OSRRefE20_6x" localSheetId="42">'201'!$E$47:$O$47</definedName>
    <definedName name="OSRRefE20_6x" localSheetId="43">'202'!$E$47:$O$47</definedName>
    <definedName name="OSRRefE20_6x" localSheetId="44">'203'!$E$48:$O$48</definedName>
    <definedName name="OSRRefE20_6x" localSheetId="45">'204'!$E$51:$O$51</definedName>
    <definedName name="OSRRefE20_6x" localSheetId="46">'205'!$E$49:$O$49</definedName>
    <definedName name="OSRRefE20_6x" localSheetId="48">'300'!$E$75:$O$75</definedName>
    <definedName name="OSRRefE20_6x" localSheetId="49">'300 &amp; 317'!$E$81:$O$81</definedName>
    <definedName name="OSRRefE20_6x" localSheetId="50">'301'!$E$49:$O$49</definedName>
    <definedName name="OSRRefE20_6x" localSheetId="52">'307'!$E$49:$O$49</definedName>
    <definedName name="OSRRefE20_6x" localSheetId="53">'308'!$E$62:$O$62</definedName>
    <definedName name="OSRRefE20_6x" localSheetId="63">'310'!$E$51:$O$51</definedName>
    <definedName name="OSRRefE20_6x" localSheetId="70">'310 &amp; 491'!$E$55:$O$55</definedName>
    <definedName name="OSRRefE20_6x" localSheetId="54">'311'!$E$62:$O$62</definedName>
    <definedName name="OSRRefE20_6x" localSheetId="57">'315'!$E$66:$O$66</definedName>
    <definedName name="OSRRefE20_6x" localSheetId="60">'316'!$E$52:$O$52</definedName>
    <definedName name="OSRRefE20_6x" localSheetId="62">'317'!$E$62:$O$62</definedName>
    <definedName name="OSRRefE20_6x" localSheetId="66">'321'!$E$49:$O$49</definedName>
    <definedName name="OSRRefE20_6x" localSheetId="67">'325'!$E$51:$O$51</definedName>
    <definedName name="OSRRefE20_6x" localSheetId="58">'326'!$E$52:$O$52</definedName>
    <definedName name="OSRRefE20_6x" localSheetId="51">'330'!$E$49:$O$49</definedName>
    <definedName name="OSRRefE20_6x" localSheetId="56">'331'!$E$66:$O$66</definedName>
    <definedName name="OSRRefE20_6x" localSheetId="59">'332'!$E$52:$O$52</definedName>
    <definedName name="OSRRefE20_6x" localSheetId="72">'405'!$E$51:$O$51</definedName>
    <definedName name="OSRRefE20_6x" localSheetId="73">'411'!$E$48:$O$48</definedName>
    <definedName name="OSRRefE20_6x" localSheetId="76">'415'!$E$55:$O$55</definedName>
    <definedName name="OSRRefE20_6x" localSheetId="77">'418'!$E$51:$O$51</definedName>
    <definedName name="OSRRefE20_6x" localSheetId="83">'430'!$E$48:$O$48</definedName>
    <definedName name="OSRRefE20_6x" localSheetId="84">'433'!$E$50:$O$50</definedName>
    <definedName name="OSRRefE20_6x" localSheetId="85">'444'!$E$55:$O$55</definedName>
    <definedName name="OSRRefE20_6x" localSheetId="86">'450'!$E$50:$O$50</definedName>
    <definedName name="OSRRefE20_6x" localSheetId="71">'491'!$E$55:$O$55</definedName>
    <definedName name="OSRRefE20_6x" localSheetId="82">'492'!$E$55:$O$55</definedName>
    <definedName name="OSRRefE20_6x" localSheetId="88">'501'!$E$48:$O$48</definedName>
    <definedName name="OSRRefE20_6x" localSheetId="39">'Div 2'!$E$50:$O$50</definedName>
    <definedName name="OSRRefE20_6x" localSheetId="41">'Div 3'!$E$76:$O$76</definedName>
    <definedName name="OSRRefE20_6x" localSheetId="69">'Div 4'!$E$58:$O$58</definedName>
    <definedName name="OSRRefE20_6x" localSheetId="87">'Div 5'!$E$48:$O$48</definedName>
    <definedName name="OSRRefE20_6x" localSheetId="61">'Div 6'!$E$62:$O$62</definedName>
    <definedName name="OSRRefE20_6x" localSheetId="2">Summary!$E$87:$O$87</definedName>
    <definedName name="OSRRefE20_7x" localSheetId="42">'201'!$E$49:$O$49</definedName>
    <definedName name="OSRRefE20_7x" localSheetId="43">'202'!$E$51:$O$51</definedName>
    <definedName name="OSRRefE20_7x" localSheetId="44">'203'!$E$50:$O$50</definedName>
    <definedName name="OSRRefE20_7x" localSheetId="45">'204'!$E$53:$O$53</definedName>
    <definedName name="OSRRefE20_7x" localSheetId="46">'205'!$E$51:$O$51</definedName>
    <definedName name="OSRRefE20_7x" localSheetId="48">'300'!$E$78:$O$78</definedName>
    <definedName name="OSRRefE20_7x" localSheetId="49">'300 &amp; 317'!$E$84:$O$84</definedName>
    <definedName name="OSRRefE20_7x" localSheetId="50">'301'!$E$51:$O$51</definedName>
    <definedName name="OSRRefE20_7x" localSheetId="52">'307'!$E$51:$O$51</definedName>
    <definedName name="OSRRefE20_7x" localSheetId="53">'308'!$E$64:$O$64</definedName>
    <definedName name="OSRRefE20_7x" localSheetId="63">'310'!$E$53:$O$53</definedName>
    <definedName name="OSRRefE20_7x" localSheetId="70">'310 &amp; 491'!$E$57:$O$57</definedName>
    <definedName name="OSRRefE20_7x" localSheetId="54">'311'!$E$64:$O$64</definedName>
    <definedName name="OSRRefE20_7x" localSheetId="57">'315'!$E$69:$O$69</definedName>
    <definedName name="OSRRefE20_7x" localSheetId="60">'316'!$E$56:$O$56</definedName>
    <definedName name="OSRRefE20_7x" localSheetId="62">'317'!$E$64:$O$64</definedName>
    <definedName name="OSRRefE20_7x" localSheetId="66">'321'!$E$52:$O$52</definedName>
    <definedName name="OSRRefE20_7x" localSheetId="67">'325'!$E$53:$O$53</definedName>
    <definedName name="OSRRefE20_7x" localSheetId="58">'326'!$E$54:$O$54</definedName>
    <definedName name="OSRRefE20_7x" localSheetId="51">'330'!$E$51:$O$51</definedName>
    <definedName name="OSRRefE20_7x" localSheetId="56">'331'!$E$69:$O$69</definedName>
    <definedName name="OSRRefE20_7x" localSheetId="59">'332'!$E$56:$O$56</definedName>
    <definedName name="OSRRefE20_7x" localSheetId="72">'405'!$E$53:$O$53</definedName>
    <definedName name="OSRRefE20_7x" localSheetId="73">'411'!$E$50:$O$50</definedName>
    <definedName name="OSRRefE20_7x" localSheetId="76">'415'!$E$57:$O$57</definedName>
    <definedName name="OSRRefE20_7x" localSheetId="77">'418'!$E$53:$O$53</definedName>
    <definedName name="OSRRefE20_7x" localSheetId="84">'433'!$E$52:$O$52</definedName>
    <definedName name="OSRRefE20_7x" localSheetId="85">'444'!$E$57:$O$57</definedName>
    <definedName name="OSRRefE20_7x" localSheetId="86">'450'!$E$52:$O$52</definedName>
    <definedName name="OSRRefE20_7x" localSheetId="71">'491'!$E$57:$O$57</definedName>
    <definedName name="OSRRefE20_7x" localSheetId="82">'492'!$E$57:$O$57</definedName>
    <definedName name="OSRRefE20_7x" localSheetId="88">'501'!$E$50:$O$50</definedName>
    <definedName name="OSRRefE20_7x" localSheetId="39">'Div 2'!$E$52:$O$52</definedName>
    <definedName name="OSRRefE20_7x" localSheetId="41">'Div 3'!$E$79:$O$79</definedName>
    <definedName name="OSRRefE20_7x" localSheetId="69">'Div 4'!$E$60:$O$60</definedName>
    <definedName name="OSRRefE20_7x" localSheetId="87">'Div 5'!$E$50:$O$50</definedName>
    <definedName name="OSRRefE20_7x" localSheetId="61">'Div 6'!$E$64:$O$64</definedName>
    <definedName name="OSRRefE20_7x" localSheetId="2">Summary!$E$90:$O$90</definedName>
    <definedName name="OSRRefE20_8x" localSheetId="42">'201'!$E$51:$O$51</definedName>
    <definedName name="OSRRefE20_8x" localSheetId="43">'202'!$E$53:$O$53</definedName>
    <definedName name="OSRRefE20_8x" localSheetId="44">'203'!$E$52:$O$52</definedName>
    <definedName name="OSRRefE20_8x" localSheetId="45">'204'!$E$56:$O$56</definedName>
    <definedName name="OSRRefE20_8x" localSheetId="48">'300'!$E$80:$O$80</definedName>
    <definedName name="OSRRefE20_8x" localSheetId="49">'300 &amp; 317'!$E$86:$O$86</definedName>
    <definedName name="OSRRefE20_8x" localSheetId="50">'301'!$E$53:$O$53</definedName>
    <definedName name="OSRRefE20_8x" localSheetId="52">'307'!$E$53:$O$53</definedName>
    <definedName name="OSRRefE20_8x" localSheetId="53">'308'!$E$66:$O$66</definedName>
    <definedName name="OSRRefE20_8x" localSheetId="63">'310'!$E$55:$O$55</definedName>
    <definedName name="OSRRefE20_8x" localSheetId="70">'310 &amp; 491'!$E$59:$O$59</definedName>
    <definedName name="OSRRefE20_8x" localSheetId="54">'311'!$E$66:$O$66</definedName>
    <definedName name="OSRRefE20_8x" localSheetId="57">'315'!$E$71:$O$71</definedName>
    <definedName name="OSRRefE20_8x" localSheetId="60">'316'!$E$58:$O$58</definedName>
    <definedName name="OSRRefE20_8x" localSheetId="62">'317'!$E$66:$O$66</definedName>
    <definedName name="OSRRefE20_8x" localSheetId="66">'321'!$E$54:$O$54</definedName>
    <definedName name="OSRRefE20_8x" localSheetId="67">'325'!$E$55:$O$55</definedName>
    <definedName name="OSRRefE20_8x" localSheetId="58">'326'!$E$56:$O$56</definedName>
    <definedName name="OSRRefE20_8x" localSheetId="51">'330'!$E$53:$O$53</definedName>
    <definedName name="OSRRefE20_8x" localSheetId="56">'331'!$E$72:$O$72</definedName>
    <definedName name="OSRRefE20_8x" localSheetId="59">'332'!$E$58:$O$58</definedName>
    <definedName name="OSRRefE20_8x" localSheetId="72">'405'!$E$55:$O$55</definedName>
    <definedName name="OSRRefE20_8x" localSheetId="73">'411'!$E$54:$O$54</definedName>
    <definedName name="OSRRefE20_8x" localSheetId="76">'415'!$E$59:$O$59</definedName>
    <definedName name="OSRRefE20_8x" localSheetId="77">'418'!$E$56:$O$56</definedName>
    <definedName name="OSRRefE20_8x" localSheetId="84">'433'!$E$54:$O$54</definedName>
    <definedName name="OSRRefE20_8x" localSheetId="85">'444'!$E$59:$O$59</definedName>
    <definedName name="OSRRefE20_8x" localSheetId="86">'450'!$E$54:$O$54</definedName>
    <definedName name="OSRRefE20_8x" localSheetId="71">'491'!$E$59:$O$59</definedName>
    <definedName name="OSRRefE20_8x" localSheetId="82">'492'!$E$59:$O$59</definedName>
    <definedName name="OSRRefE20_8x" localSheetId="88">'501'!$E$52:$O$52</definedName>
    <definedName name="OSRRefE20_8x" localSheetId="39">'Div 2'!$E$54:$O$54</definedName>
    <definedName name="OSRRefE20_8x" localSheetId="41">'Div 3'!$E$81:$O$81</definedName>
    <definedName name="OSRRefE20_8x" localSheetId="69">'Div 4'!$E$62:$O$62</definedName>
    <definedName name="OSRRefE20_8x" localSheetId="87">'Div 5'!$E$52:$O$52</definedName>
    <definedName name="OSRRefE20_8x" localSheetId="61">'Div 6'!$E$66:$O$66</definedName>
    <definedName name="OSRRefE20_8x" localSheetId="2">Summary!$E$92:$O$92</definedName>
    <definedName name="OSRRefE20_9x" localSheetId="42">'201'!$E$53:$O$53</definedName>
    <definedName name="OSRRefE20_9x" localSheetId="43">'202'!$E$55:$O$55</definedName>
    <definedName name="OSRRefE20_9x" localSheetId="44">'203'!$E$56:$O$56</definedName>
    <definedName name="OSRRefE20_9x" localSheetId="48">'300'!$E$82:$O$82</definedName>
    <definedName name="OSRRefE20_9x" localSheetId="49">'300 &amp; 317'!$E$88:$O$88</definedName>
    <definedName name="OSRRefE20_9x" localSheetId="50">'301'!$E$55:$O$55</definedName>
    <definedName name="OSRRefE20_9x" localSheetId="52">'307'!$E$57:$O$57</definedName>
    <definedName name="OSRRefE20_9x" localSheetId="53">'308'!$E$70:$O$70</definedName>
    <definedName name="OSRRefE20_9x" localSheetId="63">'310'!$E$57:$O$57</definedName>
    <definedName name="OSRRefE20_9x" localSheetId="70">'310 &amp; 491'!$E$62:$O$62</definedName>
    <definedName name="OSRRefE20_9x" localSheetId="54">'311'!$E$70:$O$70</definedName>
    <definedName name="OSRRefE20_9x" localSheetId="57">'315'!$E$73:$O$73</definedName>
    <definedName name="OSRRefE20_9x" localSheetId="60">'316'!$E$63:$O$63</definedName>
    <definedName name="OSRRefE20_9x" localSheetId="62">'317'!$E$69:$O$69</definedName>
    <definedName name="OSRRefE20_9x" localSheetId="66">'321'!$E$56:$O$56</definedName>
    <definedName name="OSRRefE20_9x" localSheetId="67">'325'!$E$57:$O$57</definedName>
    <definedName name="OSRRefE20_9x" localSheetId="58">'326'!$E$58:$O$58</definedName>
    <definedName name="OSRRefE20_9x" localSheetId="51">'330'!$E$57:$O$57</definedName>
    <definedName name="OSRRefE20_9x" localSheetId="56">'331'!$E$74:$O$74</definedName>
    <definedName name="OSRRefE20_9x" localSheetId="59">'332'!$E$63:$O$63</definedName>
    <definedName name="OSRRefE20_9x" localSheetId="72">'405'!$E$58:$O$58</definedName>
    <definedName name="OSRRefE20_9x" localSheetId="73">'411'!$E$57:$O$57</definedName>
    <definedName name="OSRRefE20_9x" localSheetId="76">'415'!$E$61:$O$61</definedName>
    <definedName name="OSRRefE20_9x" localSheetId="77">'418'!$E$59:$O$59</definedName>
    <definedName name="OSRRefE20_9x" localSheetId="84">'433'!$E$56:$O$56</definedName>
    <definedName name="OSRRefE20_9x" localSheetId="85">'444'!$E$61:$O$61</definedName>
    <definedName name="OSRRefE20_9x" localSheetId="86">'450'!$E$56:$O$56</definedName>
    <definedName name="OSRRefE20_9x" localSheetId="71">'491'!$E$62:$O$62</definedName>
    <definedName name="OSRRefE20_9x" localSheetId="82">'492'!$E$61:$O$61</definedName>
    <definedName name="OSRRefE20_9x" localSheetId="88">'501'!$E$54:$O$54</definedName>
    <definedName name="OSRRefE20_9x" localSheetId="39">'Div 2'!$E$56:$O$56</definedName>
    <definedName name="OSRRefE20_9x" localSheetId="41">'Div 3'!$E$83:$O$83</definedName>
    <definedName name="OSRRefE20_9x" localSheetId="69">'Div 4'!$E$64:$O$64</definedName>
    <definedName name="OSRRefE20_9x" localSheetId="87">'Div 5'!$E$54:$O$54</definedName>
    <definedName name="OSRRefE20_9x" localSheetId="61">'Div 6'!$E$69:$O$69</definedName>
    <definedName name="OSRRefE20_9x" localSheetId="2">Summary!$E$94:$O$94</definedName>
    <definedName name="OSRRefE20x_0" localSheetId="40">'200'!$E$18,'200'!$E$20,'200'!$E$22,'200'!$E$24</definedName>
    <definedName name="OSRRefE20x_0" localSheetId="42">'201'!$E$18,'201'!$E$28,'201'!$E$39,'201'!$E$41,'201'!$E$43,'201'!$E$45,'201'!$E$47,'201'!$E$49,'201'!$E$51,'201'!$E$53,'201'!$E$57,'201'!$E$59,'201'!$E$61,'201'!$E$64,'201'!$E$66,'201'!$E$68</definedName>
    <definedName name="OSRRefE20x_0" localSheetId="43">'202'!$E$18,'202'!$E$28,'202'!$E$39,'202'!$E$41,'202'!$E$43,'202'!$E$45,'202'!$E$47,'202'!$E$51,'202'!$E$53,'202'!$E$55,'202'!$E$57,'202'!$E$59</definedName>
    <definedName name="OSRRefE20x_0" localSheetId="44">'203'!$E$18,'203'!$E$29,'203'!$E$40,'203'!$E$42,'203'!$E$44,'203'!$E$46,'203'!$E$48,'203'!$E$50,'203'!$E$52,'203'!$E$56,'203'!$E$58,'203'!$E$60,'203'!$E$65,'203'!$E$67,'203'!$E$69</definedName>
    <definedName name="OSRRefE20x_0" localSheetId="45">'204'!$E$18,'204'!$E$28,'204'!$E$39,'204'!$E$42,'204'!$E$44,'204'!$E$48,'204'!$E$51,'204'!$E$53,'204'!$E$56</definedName>
    <definedName name="OSRRefE20x_0" localSheetId="46">'205'!$E$18,'205'!$E$28,'205'!$E$39,'205'!$E$41,'205'!$E$43,'205'!$E$47,'205'!$E$49,'205'!$E$51</definedName>
    <definedName name="OSRRefE20x_0" localSheetId="47">'206'!$E$18,'206'!$E$28,'206'!$E$39,'206'!$E$41,'206'!$E$43,'206'!$E$45</definedName>
    <definedName name="OSRRefE20x_0" localSheetId="48">'300'!$E$44,'300'!$E$55,'300'!$E$66,'300'!$E$68,'300'!$E$70,'300'!$E$72,'300'!$E$75,'300'!$E$78,'300'!$E$80,'300'!$E$82,'300'!$E$84,'300'!$E$87,'300'!$E$90,'300'!$E$92,'300'!$E$94,'300'!$E$96,'300'!$E$98,'300'!$E$103,'300'!$E$108,'300'!$E$112,'300'!$E$115,'300'!$E$123,'300'!$E$126,'300'!$E$128,'300'!$E$132</definedName>
    <definedName name="OSRRefE20x_0" localSheetId="49">'300 &amp; 317'!$E$50,'300 &amp; 317'!$E$61,'300 &amp; 317'!$E$72,'300 &amp; 317'!$E$74,'300 &amp; 317'!$E$76,'300 &amp; 317'!$E$78,'300 &amp; 317'!$E$81,'300 &amp; 317'!$E$84,'300 &amp; 317'!$E$86,'300 &amp; 317'!$E$88,'300 &amp; 317'!$E$90,'300 &amp; 317'!$E$93,'300 &amp; 317'!$E$96,'300 &amp; 317'!$E$98,'300 &amp; 317'!$E$100,'300 &amp; 317'!$E$102,'300 &amp; 317'!$E$104,'300 &amp; 317'!$E$109,'300 &amp; 317'!$E$114,'300 &amp; 317'!$E$118,'300 &amp; 317'!$E$121,'300 &amp; 317'!$E$129,'300 &amp; 317'!$E$132,'300 &amp; 317'!$E$134,'300 &amp; 317'!$E$138</definedName>
    <definedName name="OSRRefE20x_0" localSheetId="50">'301'!$E$18,'301'!$E$29,'301'!$E$40,'301'!$E$42,'301'!$E$44,'301'!$E$47,'301'!$E$49,'301'!$E$51,'301'!$E$53,'301'!$E$55,'301'!$E$57,'301'!$E$59,'301'!$E$61,'301'!$E$63,'301'!$E$68,'301'!$E$71,'301'!$E$73,'301'!$E$79,'301'!$E$81,'301'!$E$83,'301'!$E$85</definedName>
    <definedName name="OSRRefE20x_0" localSheetId="52">'307'!$E$21,'307'!$E$30,'307'!$E$41,'307'!$E$43,'307'!$E$45,'307'!$E$47,'307'!$E$49,'307'!$E$51,'307'!$E$53,'307'!$E$57</definedName>
    <definedName name="OSRRefE20x_0" localSheetId="53">'308'!$E$32,'308'!$E$43,'308'!$E$54,'308'!$E$56,'308'!$E$58,'308'!$E$60,'308'!$E$62,'308'!$E$64,'308'!$E$66,'308'!$E$70,'308'!$E$73,'308'!$E$76,'308'!$E$79</definedName>
    <definedName name="OSRRefE20x_0" localSheetId="64">'309'!$E$18,'309'!$E$20,'309'!$E$22</definedName>
    <definedName name="OSRRefE20x_0" localSheetId="63">'310'!$E$22,'310'!$E$31,'310'!$E$42,'310'!$E$44,'310'!$E$46,'310'!$E$48,'310'!$E$51,'310'!$E$53,'310'!$E$55,'310'!$E$57,'310'!$E$59,'310'!$E$61,'310'!$E$65,'310'!$E$67,'310'!$E$70,'310'!$E$76,'310'!$E$79,'310'!$E$81</definedName>
    <definedName name="OSRRefE20x_0" localSheetId="70">'310 &amp; 491'!$E$25,'310 &amp; 491'!$E$35,'310 &amp; 491'!$E$46,'310 &amp; 491'!$E$48,'310 &amp; 491'!$E$50,'310 &amp; 491'!$E$52,'310 &amp; 491'!$E$55,'310 &amp; 491'!$E$57,'310 &amp; 491'!$E$59,'310 &amp; 491'!$E$62,'310 &amp; 491'!$E$64,'310 &amp; 491'!$E$66,'310 &amp; 491'!$E$68,'310 &amp; 491'!$E$73,'310 &amp; 491'!$E$75,'310 &amp; 491'!$E$81,'310 &amp; 491'!$E$83,'310 &amp; 491'!$E$94,'310 &amp; 491'!$E$97,'310 &amp; 491'!$E$99,'310 &amp; 491'!$E$101</definedName>
    <definedName name="OSRRefE20x_0" localSheetId="54">'311'!$E$32,'311'!$E$43,'311'!$E$54,'311'!$E$56,'311'!$E$58,'311'!$E$60,'311'!$E$62,'311'!$E$64,'311'!$E$66,'311'!$E$70,'311'!$E$73,'311'!$E$76,'311'!$E$79</definedName>
    <definedName name="OSRRefE20x_0" localSheetId="65">'313'!$E$18</definedName>
    <definedName name="OSRRefE20x_0" localSheetId="57">'315'!$E$37,'315'!$E$47,'315'!$E$58,'315'!$E$60,'315'!$E$62,'315'!$E$64,'315'!$E$66,'315'!$E$69,'315'!$E$71,'315'!$E$73,'315'!$E$75,'315'!$E$77,'315'!$E$81,'315'!$E$84,'315'!$E$88,'315'!$E$90</definedName>
    <definedName name="OSRRefE20x_0" localSheetId="60">'316'!$E$22,'316'!$E$32,'316'!$E$43,'316'!$E$45,'316'!$E$47,'316'!$E$49,'316'!$E$52,'316'!$E$56,'316'!$E$58,'316'!$E$63</definedName>
    <definedName name="OSRRefE20x_0" localSheetId="62">'317'!$E$32,'317'!$E$43,'317'!$E$54,'317'!$E$56,'317'!$E$58,'317'!$E$60,'317'!$E$62,'317'!$E$64,'317'!$E$66,'317'!$E$69</definedName>
    <definedName name="OSRRefE20x_0" localSheetId="66">'321'!$E$21,'321'!$E$30,'321'!$E$41,'321'!$E$43,'321'!$E$45,'321'!$E$47,'321'!$E$49,'321'!$E$52,'321'!$E$54,'321'!$E$56,'321'!$E$59,'321'!$E$61</definedName>
    <definedName name="OSRRefE20x_0" localSheetId="67">'325'!$E$22,'325'!$E$31,'325'!$E$42,'325'!$E$44,'325'!$E$46,'325'!$E$49,'325'!$E$51,'325'!$E$53,'325'!$E$55,'325'!$E$57,'325'!$E$59,'325'!$E$62,'325'!$E$65,'325'!$E$71,'325'!$E$74</definedName>
    <definedName name="OSRRefE20x_0" localSheetId="58">'326'!$E$23,'326'!$E$33,'326'!$E$44,'326'!$E$46,'326'!$E$48,'326'!$E$50,'326'!$E$52,'326'!$E$54,'326'!$E$56,'326'!$E$58,'326'!$E$60,'326'!$E$63,'326'!$E$66,'326'!$E$69,'326'!$E$73,'326'!$E$75,'326'!$E$78</definedName>
    <definedName name="OSRRefE20x_0" localSheetId="68">'327'!$E$20</definedName>
    <definedName name="OSRRefE20x_0" localSheetId="51">'330'!$E$21,'330'!$E$30,'330'!$E$41,'330'!$E$43,'330'!$E$45,'330'!$E$47,'330'!$E$49,'330'!$E$51,'330'!$E$53,'330'!$E$57</definedName>
    <definedName name="OSRRefE20x_0" localSheetId="56">'331'!$E$37,'331'!$E$47,'331'!$E$58,'331'!$E$60,'331'!$E$62,'331'!$E$64,'331'!$E$66,'331'!$E$69,'331'!$E$72,'331'!$E$74,'331'!$E$76,'331'!$E$78,'331'!$E$80,'331'!$E$83,'331'!$E$87,'331'!$E$90,'331'!$E$93,'331'!$E$98,'331'!$E$100,'331'!$E$103</definedName>
    <definedName name="OSRRefE20x_0" localSheetId="59">'332'!$E$22,'332'!$E$32,'332'!$E$43,'332'!$E$45,'332'!$E$47,'332'!$E$49,'332'!$E$52,'332'!$E$56,'332'!$E$58,'332'!$E$63</definedName>
    <definedName name="OSRRefE20x_0" localSheetId="72">'405'!$E$21,'405'!$E$31,'405'!$E$42,'405'!$E$44,'405'!$E$46,'405'!$E$49,'405'!$E$51,'405'!$E$53,'405'!$E$55,'405'!$E$58,'405'!$E$62,'405'!$E$64,'405'!$E$72,'405'!$E$74,'405'!$E$76,'405'!$E$78</definedName>
    <definedName name="OSRRefE20x_0" localSheetId="73">'411'!$E$18,'411'!$E$28,'411'!$E$39,'411'!$E$41,'411'!$E$44,'411'!$E$46,'411'!$E$48,'411'!$E$50,'411'!$E$54,'411'!$E$57,'411'!$E$59,'411'!$E$61,'411'!$E$63</definedName>
    <definedName name="OSRRefE20x_0" localSheetId="74">'412'!$E$18,'412'!$E$20</definedName>
    <definedName name="OSRRefE20x_0" localSheetId="75">'413'!$E$18</definedName>
    <definedName name="OSRRefE20x_0" localSheetId="76">'415'!$E$25,'415'!$E$35,'415'!$E$46,'415'!$E$48,'415'!$E$50,'415'!$E$52,'415'!$E$55,'415'!$E$57,'415'!$E$59,'415'!$E$61,'415'!$E$63,'415'!$E$65,'415'!$E$68,'415'!$E$73,'415'!$E$75,'415'!$E$82,'415'!$E$85,'415'!$E$87</definedName>
    <definedName name="OSRRefE20x_0" localSheetId="77">'418'!$E$21,'418'!$E$31,'418'!$E$42,'418'!$E$44,'418'!$E$46,'418'!$E$49,'418'!$E$51,'418'!$E$53,'418'!$E$56,'418'!$E$59,'418'!$E$63,'418'!$E$65,'418'!$E$73,'418'!$E$76,'418'!$E$78,'418'!$E$80</definedName>
    <definedName name="OSRRefE20x_0" localSheetId="78">'423'!$E$18,'423'!$E$27,'423'!$E$38,'423'!$E$40</definedName>
    <definedName name="OSRRefE20x_0" localSheetId="79">'424'!$E$18</definedName>
    <definedName name="OSRRefE20x_0" localSheetId="80">'425'!$E$19</definedName>
    <definedName name="OSRRefE20x_0" localSheetId="83">'430'!$E$18,'430'!$E$28,'430'!$E$39,'430'!$E$41,'430'!$E$43,'430'!$E$45,'430'!$E$48</definedName>
    <definedName name="OSRRefE20x_0" localSheetId="84">'433'!$E$20,'433'!$E$31,'433'!$E$42,'433'!$E$44,'433'!$E$46,'433'!$E$48,'433'!$E$50,'433'!$E$52,'433'!$E$54,'433'!$E$56,'433'!$E$58,'433'!$E$60,'433'!$E$64,'433'!$E$69,'433'!$E$76,'433'!$E$78</definedName>
    <definedName name="OSRRefE20x_0" localSheetId="85">'444'!$E$25,'444'!$E$36,'444'!$E$47,'444'!$E$49,'444'!$E$51,'444'!$E$53,'444'!$E$55,'444'!$E$57,'444'!$E$59,'444'!$E$61,'444'!$E$63,'444'!$E$65,'444'!$E$68,'444'!$E$73,'444'!$E$75,'444'!$E$82,'444'!$E$84</definedName>
    <definedName name="OSRRefE20x_0" localSheetId="86">'450'!$E$20,'450'!$E$31,'450'!$E$42,'450'!$E$44,'450'!$E$46,'450'!$E$48,'450'!$E$50,'450'!$E$52,'450'!$E$54,'450'!$E$56,'450'!$E$58,'450'!$E$60,'450'!$E$63,'450'!$E$68,'450'!$E$75,'450'!$E$77</definedName>
    <definedName name="OSRRefE20x_0" localSheetId="71">'491'!$E$25,'491'!$E$35,'491'!$E$46,'491'!$E$48,'491'!$E$50,'491'!$E$52,'491'!$E$55,'491'!$E$57,'491'!$E$59,'491'!$E$62,'491'!$E$64,'491'!$E$66,'491'!$E$68,'491'!$E$72,'491'!$E$78,'491'!$E$80,'491'!$E$90,'491'!$E$93,'491'!$E$95,'491'!$E$97</definedName>
    <definedName name="OSRRefE20x_0" localSheetId="82">'492'!$E$25,'492'!$E$36,'492'!$E$47,'492'!$E$49,'492'!$E$51,'492'!$E$53,'492'!$E$55,'492'!$E$57,'492'!$E$59,'492'!$E$61,'492'!$E$63,'492'!$E$65,'492'!$E$67,'492'!$E$71,'492'!$E$76,'492'!$E$78,'492'!$E$86,'492'!$E$89</definedName>
    <definedName name="OSRRefE20x_0" localSheetId="88">'501'!$E$19,'501'!$E$29,'501'!$E$40,'501'!$E$42,'501'!$E$44,'501'!$E$46,'501'!$E$48,'501'!$E$50,'501'!$E$52,'501'!$E$54,'501'!$E$58,'501'!$E$60,'501'!$E$63,'501'!$E$65</definedName>
    <definedName name="OSRRefE20x_0" localSheetId="39">'Div 2'!$E$18,'Div 2'!$E$30,'Div 2'!$E$41,'Div 2'!$E$43,'Div 2'!$E$45,'Div 2'!$E$47,'Div 2'!$E$50,'Div 2'!$E$52,'Div 2'!$E$54,'Div 2'!$E$56,'Div 2'!$E$58,'Div 2'!$E$60,'Div 2'!$E$62,'Div 2'!$E$67,'Div 2'!$E$72,'Div 2'!$E$75,'Div 2'!$E$78,'Div 2'!$E$84,'Div 2'!$E$87,'Div 2'!$E$89</definedName>
    <definedName name="OSRRefE20x_0" localSheetId="41">'Div 3'!$E$45,'Div 3'!$E$56,'Div 3'!$E$67,'Div 3'!$E$69,'Div 3'!$E$71,'Div 3'!$E$73,'Div 3'!$E$76,'Div 3'!$E$79,'Div 3'!$E$81,'Div 3'!$E$83,'Div 3'!$E$85,'Div 3'!$E$88,'Div 3'!$E$91,'Div 3'!$E$93,'Div 3'!$E$95,'Div 3'!$E$97,'Div 3'!$E$99,'Div 3'!$E$101,'Div 3'!$E$106,'Div 3'!$E$111,'Div 3'!$E$116,'Div 3'!$E$119,'Div 3'!$E$127,'Div 3'!$E$130,'Div 3'!$E$132,'Div 3'!$E$136</definedName>
    <definedName name="OSRRefE20x_0" localSheetId="69">'Div 4'!$E$27,'Div 4'!$E$38,'Div 4'!$E$49,'Div 4'!$E$51,'Div 4'!$E$53,'Div 4'!$E$55,'Div 4'!$E$58,'Div 4'!$E$60,'Div 4'!$E$62,'Div 4'!$E$64,'Div 4'!$E$67,'Div 4'!$E$69,'Div 4'!$E$71,'Div 4'!$E$73,'Div 4'!$E$75,'Div 4'!$E$80,'Div 4'!$E$86,'Div 4'!$E$89,'Div 4'!$E$100,'Div 4'!$E$103,'Div 4'!$E$105,'Div 4'!$E$107</definedName>
    <definedName name="OSRRefE20x_0" localSheetId="87">'Div 5'!$E$19,'Div 5'!$E$29,'Div 5'!$E$40,'Div 5'!$E$42,'Div 5'!$E$44,'Div 5'!$E$46,'Div 5'!$E$48,'Div 5'!$E$50,'Div 5'!$E$52,'Div 5'!$E$54,'Div 5'!$E$58,'Div 5'!$E$60,'Div 5'!$E$63,'Div 5'!$E$65</definedName>
    <definedName name="OSRRefE20x_0" localSheetId="61">'Div 6'!$E$32,'Div 6'!$E$43,'Div 6'!$E$54,'Div 6'!$E$56,'Div 6'!$E$58,'Div 6'!$E$60,'Div 6'!$E$62,'Div 6'!$E$64,'Div 6'!$E$66,'Div 6'!$E$69</definedName>
    <definedName name="OSRRefE20x_0" localSheetId="2">Summary!$E$56,Summary!$E$67,Summary!$E$78,Summary!$E$80,Summary!$E$82,Summary!$E$84,Summary!$E$87,Summary!$E$90,Summary!$E$92,Summary!$E$94,Summary!$E$96,Summary!$E$99,Summary!$E$103,Summary!$E$105,Summary!$E$107,Summary!$E$109,Summary!$E$111,Summary!$E$113,Summary!$E$115,Summary!$E$120,Summary!$E$125,Summary!$E$131,Summary!$E$134,Summary!$E$145,Summary!$E$148,Summary!$E$150,Summary!$E$154</definedName>
    <definedName name="OSRRefE20x_1" localSheetId="40">'200'!$F$18,'200'!$F$20,'200'!$F$22,'200'!$F$24</definedName>
    <definedName name="OSRRefE20x_1" localSheetId="42">'201'!$F$18,'201'!$F$28,'201'!$F$39,'201'!$F$41,'201'!$F$43,'201'!$F$45,'201'!$F$47,'201'!$F$49,'201'!$F$51,'201'!$F$53,'201'!$F$57,'201'!$F$59,'201'!$F$61,'201'!$F$64,'201'!$F$66,'201'!$F$68</definedName>
    <definedName name="OSRRefE20x_1" localSheetId="43">'202'!$F$18,'202'!$F$28,'202'!$F$39,'202'!$F$41,'202'!$F$43,'202'!$F$45,'202'!$F$47,'202'!$F$51,'202'!$F$53,'202'!$F$55,'202'!$F$57,'202'!$F$59</definedName>
    <definedName name="OSRRefE20x_1" localSheetId="44">'203'!$F$18,'203'!$F$29,'203'!$F$40,'203'!$F$42,'203'!$F$44,'203'!$F$46,'203'!$F$48,'203'!$F$50,'203'!$F$52,'203'!$F$56,'203'!$F$58,'203'!$F$60,'203'!$F$65,'203'!$F$67,'203'!$F$69</definedName>
    <definedName name="OSRRefE20x_1" localSheetId="45">'204'!$F$18,'204'!$F$28,'204'!$F$39,'204'!$F$42,'204'!$F$44,'204'!$F$48,'204'!$F$51,'204'!$F$53,'204'!$F$56</definedName>
    <definedName name="OSRRefE20x_1" localSheetId="46">'205'!$F$18,'205'!$F$28,'205'!$F$39,'205'!$F$41,'205'!$F$43,'205'!$F$47,'205'!$F$49,'205'!$F$51</definedName>
    <definedName name="OSRRefE20x_1" localSheetId="47">'206'!$F$18,'206'!$F$28,'206'!$F$39,'206'!$F$41,'206'!$F$43,'206'!$F$45</definedName>
    <definedName name="OSRRefE20x_1" localSheetId="48">'300'!$F$44,'300'!$F$55,'300'!$F$66,'300'!$F$68,'300'!$F$70,'300'!$F$72,'300'!$F$75,'300'!$F$78,'300'!$F$80,'300'!$F$82,'300'!$F$84,'300'!$F$87,'300'!$F$90,'300'!$F$92,'300'!$F$94,'300'!$F$96,'300'!$F$98,'300'!$F$103,'300'!$F$108,'300'!$F$112,'300'!$F$115,'300'!$F$123,'300'!$F$126,'300'!$F$128,'300'!$F$132</definedName>
    <definedName name="OSRRefE20x_1" localSheetId="49">'300 &amp; 317'!$F$50,'300 &amp; 317'!$F$61,'300 &amp; 317'!$F$72,'300 &amp; 317'!$F$74,'300 &amp; 317'!$F$76,'300 &amp; 317'!$F$78,'300 &amp; 317'!$F$81,'300 &amp; 317'!$F$84,'300 &amp; 317'!$F$86,'300 &amp; 317'!$F$88,'300 &amp; 317'!$F$90,'300 &amp; 317'!$F$93,'300 &amp; 317'!$F$96,'300 &amp; 317'!$F$98,'300 &amp; 317'!$F$100,'300 &amp; 317'!$F$102,'300 &amp; 317'!$F$104,'300 &amp; 317'!$F$109,'300 &amp; 317'!$F$114,'300 &amp; 317'!$F$118,'300 &amp; 317'!$F$121,'300 &amp; 317'!$F$129,'300 &amp; 317'!$F$132,'300 &amp; 317'!$F$134,'300 &amp; 317'!$F$138</definedName>
    <definedName name="OSRRefE20x_1" localSheetId="50">'301'!$F$18,'301'!$F$29,'301'!$F$40,'301'!$F$42,'301'!$F$44,'301'!$F$47,'301'!$F$49,'301'!$F$51,'301'!$F$53,'301'!$F$55,'301'!$F$57,'301'!$F$59,'301'!$F$61,'301'!$F$63,'301'!$F$68,'301'!$F$71,'301'!$F$73,'301'!$F$79,'301'!$F$81,'301'!$F$83,'301'!$F$85</definedName>
    <definedName name="OSRRefE20x_1" localSheetId="52">'307'!$F$21,'307'!$F$30,'307'!$F$41,'307'!$F$43,'307'!$F$45,'307'!$F$47,'307'!$F$49,'307'!$F$51,'307'!$F$53,'307'!$F$57</definedName>
    <definedName name="OSRRefE20x_1" localSheetId="53">'308'!$F$32,'308'!$F$43,'308'!$F$54,'308'!$F$56,'308'!$F$58,'308'!$F$60,'308'!$F$62,'308'!$F$64,'308'!$F$66,'308'!$F$70,'308'!$F$73,'308'!$F$76,'308'!$F$79</definedName>
    <definedName name="OSRRefE20x_1" localSheetId="64">'309'!$F$18,'309'!$F$20,'309'!$F$22</definedName>
    <definedName name="OSRRefE20x_1" localSheetId="63">'310'!$F$22,'310'!$F$31,'310'!$F$42,'310'!$F$44,'310'!$F$46,'310'!$F$48,'310'!$F$51,'310'!$F$53,'310'!$F$55,'310'!$F$57,'310'!$F$59,'310'!$F$61,'310'!$F$65,'310'!$F$67,'310'!$F$70,'310'!$F$76,'310'!$F$79,'310'!$F$81</definedName>
    <definedName name="OSRRefE20x_1" localSheetId="70">'310 &amp; 491'!$F$25,'310 &amp; 491'!$F$35,'310 &amp; 491'!$F$46,'310 &amp; 491'!$F$48,'310 &amp; 491'!$F$50,'310 &amp; 491'!$F$52,'310 &amp; 491'!$F$55,'310 &amp; 491'!$F$57,'310 &amp; 491'!$F$59,'310 &amp; 491'!$F$62,'310 &amp; 491'!$F$64,'310 &amp; 491'!$F$66,'310 &amp; 491'!$F$68,'310 &amp; 491'!$F$73,'310 &amp; 491'!$F$75,'310 &amp; 491'!$F$81,'310 &amp; 491'!$F$83,'310 &amp; 491'!$F$94,'310 &amp; 491'!$F$97,'310 &amp; 491'!$F$99,'310 &amp; 491'!$F$101</definedName>
    <definedName name="OSRRefE20x_1" localSheetId="54">'311'!$F$32,'311'!$F$43,'311'!$F$54,'311'!$F$56,'311'!$F$58,'311'!$F$60,'311'!$F$62,'311'!$F$64,'311'!$F$66,'311'!$F$70,'311'!$F$73,'311'!$F$76,'311'!$F$79</definedName>
    <definedName name="OSRRefE20x_1" localSheetId="65">'313'!$F$18</definedName>
    <definedName name="OSRRefE20x_1" localSheetId="57">'315'!$F$37,'315'!$F$47,'315'!$F$58,'315'!$F$60,'315'!$F$62,'315'!$F$64,'315'!$F$66,'315'!$F$69,'315'!$F$71,'315'!$F$73,'315'!$F$75,'315'!$F$77,'315'!$F$81,'315'!$F$84,'315'!$F$88,'315'!$F$90</definedName>
    <definedName name="OSRRefE20x_1" localSheetId="60">'316'!$F$22,'316'!$F$32,'316'!$F$43,'316'!$F$45,'316'!$F$47,'316'!$F$49,'316'!$F$52,'316'!$F$56,'316'!$F$58,'316'!$F$63</definedName>
    <definedName name="OSRRefE20x_1" localSheetId="62">'317'!$F$32,'317'!$F$43,'317'!$F$54,'317'!$F$56,'317'!$F$58,'317'!$F$60,'317'!$F$62,'317'!$F$64,'317'!$F$66,'317'!$F$69</definedName>
    <definedName name="OSRRefE20x_1" localSheetId="66">'321'!$F$21,'321'!$F$30,'321'!$F$41,'321'!$F$43,'321'!$F$45,'321'!$F$47,'321'!$F$49,'321'!$F$52,'321'!$F$54,'321'!$F$56,'321'!$F$59,'321'!$F$61</definedName>
    <definedName name="OSRRefE20x_1" localSheetId="67">'325'!$F$22,'325'!$F$31,'325'!$F$42,'325'!$F$44,'325'!$F$46,'325'!$F$49,'325'!$F$51,'325'!$F$53,'325'!$F$55,'325'!$F$57,'325'!$F$59,'325'!$F$62,'325'!$F$65,'325'!$F$71,'325'!$F$74</definedName>
    <definedName name="OSRRefE20x_1" localSheetId="58">'326'!$F$23,'326'!$F$33,'326'!$F$44,'326'!$F$46,'326'!$F$48,'326'!$F$50,'326'!$F$52,'326'!$F$54,'326'!$F$56,'326'!$F$58,'326'!$F$60,'326'!$F$63,'326'!$F$66,'326'!$F$69,'326'!$F$73,'326'!$F$75,'326'!$F$78</definedName>
    <definedName name="OSRRefE20x_1" localSheetId="68">'327'!$F$20</definedName>
    <definedName name="OSRRefE20x_1" localSheetId="51">'330'!$F$21,'330'!$F$30,'330'!$F$41,'330'!$F$43,'330'!$F$45,'330'!$F$47,'330'!$F$49,'330'!$F$51,'330'!$F$53,'330'!$F$57</definedName>
    <definedName name="OSRRefE20x_1" localSheetId="56">'331'!$F$37,'331'!$F$47,'331'!$F$58,'331'!$F$60,'331'!$F$62,'331'!$F$64,'331'!$F$66,'331'!$F$69,'331'!$F$72,'331'!$F$74,'331'!$F$76,'331'!$F$78,'331'!$F$80,'331'!$F$83,'331'!$F$87,'331'!$F$90,'331'!$F$93,'331'!$F$98,'331'!$F$100,'331'!$F$103</definedName>
    <definedName name="OSRRefE20x_1" localSheetId="59">'332'!$F$22,'332'!$F$32,'332'!$F$43,'332'!$F$45,'332'!$F$47,'332'!$F$49,'332'!$F$52,'332'!$F$56,'332'!$F$58,'332'!$F$63</definedName>
    <definedName name="OSRRefE20x_1" localSheetId="72">'405'!$F$21,'405'!$F$31,'405'!$F$42,'405'!$F$44,'405'!$F$46,'405'!$F$49,'405'!$F$51,'405'!$F$53,'405'!$F$55,'405'!$F$58,'405'!$F$62,'405'!$F$64,'405'!$F$72,'405'!$F$74,'405'!$F$76,'405'!$F$78</definedName>
    <definedName name="OSRRefE20x_1" localSheetId="73">'411'!$F$18,'411'!$F$28,'411'!$F$39,'411'!$F$41,'411'!$F$44,'411'!$F$46,'411'!$F$48,'411'!$F$50,'411'!$F$54,'411'!$F$57,'411'!$F$59,'411'!$F$61,'411'!$F$63</definedName>
    <definedName name="OSRRefE20x_1" localSheetId="74">'412'!$F$18,'412'!$F$20</definedName>
    <definedName name="OSRRefE20x_1" localSheetId="75">'413'!$F$18</definedName>
    <definedName name="OSRRefE20x_1" localSheetId="76">'415'!$F$25,'415'!$F$35,'415'!$F$46,'415'!$F$48,'415'!$F$50,'415'!$F$52,'415'!$F$55,'415'!$F$57,'415'!$F$59,'415'!$F$61,'415'!$F$63,'415'!$F$65,'415'!$F$68,'415'!$F$73,'415'!$F$75,'415'!$F$82,'415'!$F$85,'415'!$F$87</definedName>
    <definedName name="OSRRefE20x_1" localSheetId="77">'418'!$F$21,'418'!$F$31,'418'!$F$42,'418'!$F$44,'418'!$F$46,'418'!$F$49,'418'!$F$51,'418'!$F$53,'418'!$F$56,'418'!$F$59,'418'!$F$63,'418'!$F$65,'418'!$F$73,'418'!$F$76,'418'!$F$78,'418'!$F$80</definedName>
    <definedName name="OSRRefE20x_1" localSheetId="78">'423'!$F$18,'423'!$F$27,'423'!$F$38,'423'!$F$40</definedName>
    <definedName name="OSRRefE20x_1" localSheetId="79">'424'!$F$18</definedName>
    <definedName name="OSRRefE20x_1" localSheetId="80">'425'!$F$19</definedName>
    <definedName name="OSRRefE20x_1" localSheetId="83">'430'!$F$18,'430'!$F$28,'430'!$F$39,'430'!$F$41,'430'!$F$43,'430'!$F$45,'430'!$F$48</definedName>
    <definedName name="OSRRefE20x_1" localSheetId="84">'433'!$F$20,'433'!$F$31,'433'!$F$42,'433'!$F$44,'433'!$F$46,'433'!$F$48,'433'!$F$50,'433'!$F$52,'433'!$F$54,'433'!$F$56,'433'!$F$58,'433'!$F$60,'433'!$F$64,'433'!$F$69,'433'!$F$76,'433'!$F$78</definedName>
    <definedName name="OSRRefE20x_1" localSheetId="85">'444'!$F$25,'444'!$F$36,'444'!$F$47,'444'!$F$49,'444'!$F$51,'444'!$F$53,'444'!$F$55,'444'!$F$57,'444'!$F$59,'444'!$F$61,'444'!$F$63,'444'!$F$65,'444'!$F$68,'444'!$F$73,'444'!$F$75,'444'!$F$82,'444'!$F$84</definedName>
    <definedName name="OSRRefE20x_1" localSheetId="86">'450'!$F$20,'450'!$F$31,'450'!$F$42,'450'!$F$44,'450'!$F$46,'450'!$F$48,'450'!$F$50,'450'!$F$52,'450'!$F$54,'450'!$F$56,'450'!$F$58,'450'!$F$60,'450'!$F$63,'450'!$F$68,'450'!$F$75,'450'!$F$77</definedName>
    <definedName name="OSRRefE20x_1" localSheetId="71">'491'!$F$25,'491'!$F$35,'491'!$F$46,'491'!$F$48,'491'!$F$50,'491'!$F$52,'491'!$F$55,'491'!$F$57,'491'!$F$59,'491'!$F$62,'491'!$F$64,'491'!$F$66,'491'!$F$68,'491'!$F$72,'491'!$F$78,'491'!$F$80,'491'!$F$90,'491'!$F$93,'491'!$F$95,'491'!$F$97</definedName>
    <definedName name="OSRRefE20x_1" localSheetId="82">'492'!$F$25,'492'!$F$36,'492'!$F$47,'492'!$F$49,'492'!$F$51,'492'!$F$53,'492'!$F$55,'492'!$F$57,'492'!$F$59,'492'!$F$61,'492'!$F$63,'492'!$F$65,'492'!$F$67,'492'!$F$71,'492'!$F$76,'492'!$F$78,'492'!$F$86,'492'!$F$89</definedName>
    <definedName name="OSRRefE20x_1" localSheetId="88">'501'!$F$19,'501'!$F$29,'501'!$F$40,'501'!$F$42,'501'!$F$44,'501'!$F$46,'501'!$F$48,'501'!$F$50,'501'!$F$52,'501'!$F$54,'501'!$F$58,'501'!$F$60,'501'!$F$63,'501'!$F$65</definedName>
    <definedName name="OSRRefE20x_1" localSheetId="39">'Div 2'!$F$18,'Div 2'!$F$30,'Div 2'!$F$41,'Div 2'!$F$43,'Div 2'!$F$45,'Div 2'!$F$47,'Div 2'!$F$50,'Div 2'!$F$52,'Div 2'!$F$54,'Div 2'!$F$56,'Div 2'!$F$58,'Div 2'!$F$60,'Div 2'!$F$62,'Div 2'!$F$67,'Div 2'!$F$72,'Div 2'!$F$75,'Div 2'!$F$78,'Div 2'!$F$84,'Div 2'!$F$87,'Div 2'!$F$89</definedName>
    <definedName name="OSRRefE20x_1" localSheetId="41">'Div 3'!$F$45,'Div 3'!$F$56,'Div 3'!$F$67,'Div 3'!$F$69,'Div 3'!$F$71,'Div 3'!$F$73,'Div 3'!$F$76,'Div 3'!$F$79,'Div 3'!$F$81,'Div 3'!$F$83,'Div 3'!$F$85,'Div 3'!$F$88,'Div 3'!$F$91,'Div 3'!$F$93,'Div 3'!$F$95,'Div 3'!$F$97,'Div 3'!$F$99,'Div 3'!$F$101,'Div 3'!$F$106,'Div 3'!$F$111,'Div 3'!$F$116,'Div 3'!$F$119,'Div 3'!$F$127,'Div 3'!$F$130,'Div 3'!$F$132,'Div 3'!$F$136</definedName>
    <definedName name="OSRRefE20x_1" localSheetId="69">'Div 4'!$F$27,'Div 4'!$F$38,'Div 4'!$F$49,'Div 4'!$F$51,'Div 4'!$F$53,'Div 4'!$F$55,'Div 4'!$F$58,'Div 4'!$F$60,'Div 4'!$F$62,'Div 4'!$F$64,'Div 4'!$F$67,'Div 4'!$F$69,'Div 4'!$F$71,'Div 4'!$F$73,'Div 4'!$F$75,'Div 4'!$F$80,'Div 4'!$F$86,'Div 4'!$F$89,'Div 4'!$F$100,'Div 4'!$F$103,'Div 4'!$F$105,'Div 4'!$F$107</definedName>
    <definedName name="OSRRefE20x_1" localSheetId="87">'Div 5'!$F$19,'Div 5'!$F$29,'Div 5'!$F$40,'Div 5'!$F$42,'Div 5'!$F$44,'Div 5'!$F$46,'Div 5'!$F$48,'Div 5'!$F$50,'Div 5'!$F$52,'Div 5'!$F$54,'Div 5'!$F$58,'Div 5'!$F$60,'Div 5'!$F$63,'Div 5'!$F$65</definedName>
    <definedName name="OSRRefE20x_1" localSheetId="61">'Div 6'!$F$32,'Div 6'!$F$43,'Div 6'!$F$54,'Div 6'!$F$56,'Div 6'!$F$58,'Div 6'!$F$60,'Div 6'!$F$62,'Div 6'!$F$64,'Div 6'!$F$66,'Div 6'!$F$69</definedName>
    <definedName name="OSRRefE20x_1" localSheetId="2">Summary!$F$56,Summary!$F$67,Summary!$F$78,Summary!$F$80,Summary!$F$82,Summary!$F$84,Summary!$F$87,Summary!$F$90,Summary!$F$92,Summary!$F$94,Summary!$F$96,Summary!$F$99,Summary!$F$103,Summary!$F$105,Summary!$F$107,Summary!$F$109,Summary!$F$111,Summary!$F$113,Summary!$F$115,Summary!$F$120,Summary!$F$125,Summary!$F$131,Summary!$F$134,Summary!$F$145,Summary!$F$148,Summary!$F$150,Summary!$F$154</definedName>
    <definedName name="OSRRefE20x_10" localSheetId="40">'200'!$O$18,'200'!$O$20,'200'!$O$22,'200'!$O$24</definedName>
    <definedName name="OSRRefE20x_10" localSheetId="42">'201'!$O$18,'201'!$O$28,'201'!$O$39,'201'!$O$41,'201'!$O$43,'201'!$O$45,'201'!$O$47,'201'!$O$49,'201'!$O$51,'201'!$O$53,'201'!$O$57,'201'!$O$59,'201'!$O$61,'201'!$O$64,'201'!$O$66,'201'!$O$68</definedName>
    <definedName name="OSRRefE20x_10" localSheetId="43">'202'!$O$18,'202'!$O$28,'202'!$O$39,'202'!$O$41,'202'!$O$43,'202'!$O$45,'202'!$O$47,'202'!$O$51,'202'!$O$53,'202'!$O$55,'202'!$O$57,'202'!$O$59</definedName>
    <definedName name="OSRRefE20x_10" localSheetId="44">'203'!$O$18,'203'!$O$29,'203'!$O$40,'203'!$O$42,'203'!$O$44,'203'!$O$46,'203'!$O$48,'203'!$O$50,'203'!$O$52,'203'!$O$56,'203'!$O$58,'203'!$O$60,'203'!$O$65,'203'!$O$67,'203'!$O$69</definedName>
    <definedName name="OSRRefE20x_10" localSheetId="45">'204'!$O$18,'204'!$O$28,'204'!$O$39,'204'!$O$42,'204'!$O$44,'204'!$O$48,'204'!$O$51,'204'!$O$53,'204'!$O$56</definedName>
    <definedName name="OSRRefE20x_10" localSheetId="46">'205'!$O$18,'205'!$O$28,'205'!$O$39,'205'!$O$41,'205'!$O$43,'205'!$O$47,'205'!$O$49,'205'!$O$51</definedName>
    <definedName name="OSRRefE20x_10" localSheetId="47">'206'!$O$18,'206'!$O$28,'206'!$O$39,'206'!$O$41,'206'!$O$43,'206'!$O$45</definedName>
    <definedName name="OSRRefE20x_10" localSheetId="48">'300'!$O$44,'300'!$O$55,'300'!$O$66,'300'!$O$68,'300'!$O$70,'300'!$O$72,'300'!$O$75,'300'!$O$78,'300'!$O$80,'300'!$O$82,'300'!$O$84,'300'!$O$87,'300'!$O$90,'300'!$O$92,'300'!$O$94,'300'!$O$96,'300'!$O$98,'300'!$O$103,'300'!$O$108,'300'!$O$112,'300'!$O$115,'300'!$O$123,'300'!$O$126,'300'!$O$128,'300'!$O$132</definedName>
    <definedName name="OSRRefE20x_10" localSheetId="49">'300 &amp; 317'!$O$50,'300 &amp; 317'!$O$61,'300 &amp; 317'!$O$72,'300 &amp; 317'!$O$74,'300 &amp; 317'!$O$76,'300 &amp; 317'!$O$78,'300 &amp; 317'!$O$81,'300 &amp; 317'!$O$84,'300 &amp; 317'!$O$86,'300 &amp; 317'!$O$88,'300 &amp; 317'!$O$90,'300 &amp; 317'!$O$93,'300 &amp; 317'!$O$96,'300 &amp; 317'!$O$98,'300 &amp; 317'!$O$100,'300 &amp; 317'!$O$102,'300 &amp; 317'!$O$104,'300 &amp; 317'!$O$109,'300 &amp; 317'!$O$114,'300 &amp; 317'!$O$118,'300 &amp; 317'!$O$121,'300 &amp; 317'!$O$129,'300 &amp; 317'!$O$132,'300 &amp; 317'!$O$134,'300 &amp; 317'!$O$138</definedName>
    <definedName name="OSRRefE20x_10" localSheetId="50">'301'!$O$18,'301'!$O$29,'301'!$O$40,'301'!$O$42,'301'!$O$44,'301'!$O$47,'301'!$O$49,'301'!$O$51,'301'!$O$53,'301'!$O$55,'301'!$O$57,'301'!$O$59,'301'!$O$61,'301'!$O$63,'301'!$O$68,'301'!$O$71,'301'!$O$73,'301'!$O$79,'301'!$O$81,'301'!$O$83,'301'!$O$85</definedName>
    <definedName name="OSRRefE20x_10" localSheetId="52">'307'!$O$21,'307'!$O$30,'307'!$O$41,'307'!$O$43,'307'!$O$45,'307'!$O$47,'307'!$O$49,'307'!$O$51,'307'!$O$53,'307'!$O$57</definedName>
    <definedName name="OSRRefE20x_10" localSheetId="53">'308'!$O$32,'308'!$O$43,'308'!$O$54,'308'!$O$56,'308'!$O$58,'308'!$O$60,'308'!$O$62,'308'!$O$64,'308'!$O$66,'308'!$O$70,'308'!$O$73,'308'!$O$76,'308'!$O$79</definedName>
    <definedName name="OSRRefE20x_10" localSheetId="64">'309'!$O$18,'309'!$O$20,'309'!$O$22</definedName>
    <definedName name="OSRRefE20x_10" localSheetId="63">'310'!$O$22,'310'!$O$31,'310'!$O$42,'310'!$O$44,'310'!$O$46,'310'!$O$48,'310'!$O$51,'310'!$O$53,'310'!$O$55,'310'!$O$57,'310'!$O$59,'310'!$O$61,'310'!$O$65,'310'!$O$67,'310'!$O$70,'310'!$O$76,'310'!$O$79,'310'!$O$81</definedName>
    <definedName name="OSRRefE20x_10" localSheetId="70">'310 &amp; 491'!$O$25,'310 &amp; 491'!$O$35,'310 &amp; 491'!$O$46,'310 &amp; 491'!$O$48,'310 &amp; 491'!$O$50,'310 &amp; 491'!$O$52,'310 &amp; 491'!$O$55,'310 &amp; 491'!$O$57,'310 &amp; 491'!$O$59,'310 &amp; 491'!$O$62,'310 &amp; 491'!$O$64,'310 &amp; 491'!$O$66,'310 &amp; 491'!$O$68,'310 &amp; 491'!$O$73,'310 &amp; 491'!$O$75,'310 &amp; 491'!$O$81,'310 &amp; 491'!$O$83,'310 &amp; 491'!$O$94,'310 &amp; 491'!$O$97,'310 &amp; 491'!$O$99,'310 &amp; 491'!$O$101</definedName>
    <definedName name="OSRRefE20x_10" localSheetId="54">'311'!$O$32,'311'!$O$43,'311'!$O$54,'311'!$O$56,'311'!$O$58,'311'!$O$60,'311'!$O$62,'311'!$O$64,'311'!$O$66,'311'!$O$70,'311'!$O$73,'311'!$O$76,'311'!$O$79</definedName>
    <definedName name="OSRRefE20x_10" localSheetId="65">'313'!$O$18</definedName>
    <definedName name="OSRRefE20x_10" localSheetId="57">'315'!$O$37,'315'!$O$47,'315'!$O$58,'315'!$O$60,'315'!$O$62,'315'!$O$64,'315'!$O$66,'315'!$O$69,'315'!$O$71,'315'!$O$73,'315'!$O$75,'315'!$O$77,'315'!$O$81,'315'!$O$84,'315'!$O$88,'315'!$O$90</definedName>
    <definedName name="OSRRefE20x_10" localSheetId="60">'316'!$O$22,'316'!$O$32,'316'!$O$43,'316'!$O$45,'316'!$O$47,'316'!$O$49,'316'!$O$52,'316'!$O$56,'316'!$O$58,'316'!$O$63</definedName>
    <definedName name="OSRRefE20x_10" localSheetId="62">'317'!$O$32,'317'!$O$43,'317'!$O$54,'317'!$O$56,'317'!$O$58,'317'!$O$60,'317'!$O$62,'317'!$O$64,'317'!$O$66,'317'!$O$69</definedName>
    <definedName name="OSRRefE20x_10" localSheetId="66">'321'!$O$21,'321'!$O$30,'321'!$O$41,'321'!$O$43,'321'!$O$45,'321'!$O$47,'321'!$O$49,'321'!$O$52,'321'!$O$54,'321'!$O$56,'321'!$O$59,'321'!$O$61</definedName>
    <definedName name="OSRRefE20x_10" localSheetId="67">'325'!$O$22,'325'!$O$31,'325'!$O$42,'325'!$O$44,'325'!$O$46,'325'!$O$49,'325'!$O$51,'325'!$O$53,'325'!$O$55,'325'!$O$57,'325'!$O$59,'325'!$O$62,'325'!$O$65,'325'!$O$71,'325'!$O$74</definedName>
    <definedName name="OSRRefE20x_10" localSheetId="58">'326'!$O$23,'326'!$O$33,'326'!$O$44,'326'!$O$46,'326'!$O$48,'326'!$O$50,'326'!$O$52,'326'!$O$54,'326'!$O$56,'326'!$O$58,'326'!$O$60,'326'!$O$63,'326'!$O$66,'326'!$O$69,'326'!$O$73,'326'!$O$75,'326'!$O$78</definedName>
    <definedName name="OSRRefE20x_10" localSheetId="68">'327'!$O$20</definedName>
    <definedName name="OSRRefE20x_10" localSheetId="51">'330'!$O$21,'330'!$O$30,'330'!$O$41,'330'!$O$43,'330'!$O$45,'330'!$O$47,'330'!$O$49,'330'!$O$51,'330'!$O$53,'330'!$O$57</definedName>
    <definedName name="OSRRefE20x_10" localSheetId="56">'331'!$O$37,'331'!$O$47,'331'!$O$58,'331'!$O$60,'331'!$O$62,'331'!$O$64,'331'!$O$66,'331'!$O$69,'331'!$O$72,'331'!$O$74,'331'!$O$76,'331'!$O$78,'331'!$O$80,'331'!$O$83,'331'!$O$87,'331'!$O$90,'331'!$O$93,'331'!$O$98,'331'!$O$100,'331'!$O$103</definedName>
    <definedName name="OSRRefE20x_10" localSheetId="59">'332'!$O$22,'332'!$O$32,'332'!$O$43,'332'!$O$45,'332'!$O$47,'332'!$O$49,'332'!$O$52,'332'!$O$56,'332'!$O$58,'332'!$O$63</definedName>
    <definedName name="OSRRefE20x_10" localSheetId="72">'405'!$O$21,'405'!$O$31,'405'!$O$42,'405'!$O$44,'405'!$O$46,'405'!$O$49,'405'!$O$51,'405'!$O$53,'405'!$O$55,'405'!$O$58,'405'!$O$62,'405'!$O$64,'405'!$O$72,'405'!$O$74,'405'!$O$76,'405'!$O$78</definedName>
    <definedName name="OSRRefE20x_10" localSheetId="73">'411'!$O$18,'411'!$O$28,'411'!$O$39,'411'!$O$41,'411'!$O$44,'411'!$O$46,'411'!$O$48,'411'!$O$50,'411'!$O$54,'411'!$O$57,'411'!$O$59,'411'!$O$61,'411'!$O$63</definedName>
    <definedName name="OSRRefE20x_10" localSheetId="74">'412'!$O$18,'412'!$O$20</definedName>
    <definedName name="OSRRefE20x_10" localSheetId="75">'413'!$O$18</definedName>
    <definedName name="OSRRefE20x_10" localSheetId="76">'415'!$O$25,'415'!$O$35,'415'!$O$46,'415'!$O$48,'415'!$O$50,'415'!$O$52,'415'!$O$55,'415'!$O$57,'415'!$O$59,'415'!$O$61,'415'!$O$63,'415'!$O$65,'415'!$O$68,'415'!$O$73,'415'!$O$75,'415'!$O$82,'415'!$O$85,'415'!$O$87</definedName>
    <definedName name="OSRRefE20x_10" localSheetId="77">'418'!$O$21,'418'!$O$31,'418'!$O$42,'418'!$O$44,'418'!$O$46,'418'!$O$49,'418'!$O$51,'418'!$O$53,'418'!$O$56,'418'!$O$59,'418'!$O$63,'418'!$O$65,'418'!$O$73,'418'!$O$76,'418'!$O$78,'418'!$O$80</definedName>
    <definedName name="OSRRefE20x_10" localSheetId="78">'423'!$O$18,'423'!$O$27,'423'!$O$38,'423'!$O$40</definedName>
    <definedName name="OSRRefE20x_10" localSheetId="79">'424'!$O$18</definedName>
    <definedName name="OSRRefE20x_10" localSheetId="80">'425'!$O$19</definedName>
    <definedName name="OSRRefE20x_10" localSheetId="83">'430'!$O$18,'430'!$O$28,'430'!$O$39,'430'!$O$41,'430'!$O$43,'430'!$O$45,'430'!$O$48</definedName>
    <definedName name="OSRRefE20x_10" localSheetId="84">'433'!$O$20,'433'!$O$31,'433'!$O$42,'433'!$O$44,'433'!$O$46,'433'!$O$48,'433'!$O$50,'433'!$O$52,'433'!$O$54,'433'!$O$56,'433'!$O$58,'433'!$O$60,'433'!$O$64,'433'!$O$69,'433'!$O$76,'433'!$O$78</definedName>
    <definedName name="OSRRefE20x_10" localSheetId="85">'444'!$O$25,'444'!$O$36,'444'!$O$47,'444'!$O$49,'444'!$O$51,'444'!$O$53,'444'!$O$55,'444'!$O$57,'444'!$O$59,'444'!$O$61,'444'!$O$63,'444'!$O$65,'444'!$O$68,'444'!$O$73,'444'!$O$75,'444'!$O$82,'444'!$O$84</definedName>
    <definedName name="OSRRefE20x_10" localSheetId="86">'450'!$O$20,'450'!$O$31,'450'!$O$42,'450'!$O$44,'450'!$O$46,'450'!$O$48,'450'!$O$50,'450'!$O$52,'450'!$O$54,'450'!$O$56,'450'!$O$58,'450'!$O$60,'450'!$O$63,'450'!$O$68,'450'!$O$75,'450'!$O$77</definedName>
    <definedName name="OSRRefE20x_10" localSheetId="71">'491'!$O$25,'491'!$O$35,'491'!$O$46,'491'!$O$48,'491'!$O$50,'491'!$O$52,'491'!$O$55,'491'!$O$57,'491'!$O$59,'491'!$O$62,'491'!$O$64,'491'!$O$66,'491'!$O$68,'491'!$O$72,'491'!$O$78,'491'!$O$80,'491'!$O$90,'491'!$O$93,'491'!$O$95,'491'!$O$97</definedName>
    <definedName name="OSRRefE20x_10" localSheetId="82">'492'!$O$25,'492'!$O$36,'492'!$O$47,'492'!$O$49,'492'!$O$51,'492'!$O$53,'492'!$O$55,'492'!$O$57,'492'!$O$59,'492'!$O$61,'492'!$O$63,'492'!$O$65,'492'!$O$67,'492'!$O$71,'492'!$O$76,'492'!$O$78,'492'!$O$86,'492'!$O$89</definedName>
    <definedName name="OSRRefE20x_10" localSheetId="88">'501'!$O$19,'501'!$O$29,'501'!$O$40,'501'!$O$42,'501'!$O$44,'501'!$O$46,'501'!$O$48,'501'!$O$50,'501'!$O$52,'501'!$O$54,'501'!$O$58,'501'!$O$60,'501'!$O$63,'501'!$O$65</definedName>
    <definedName name="OSRRefE20x_10" localSheetId="39">'Div 2'!$O$18,'Div 2'!$O$30,'Div 2'!$O$41,'Div 2'!$O$43,'Div 2'!$O$45,'Div 2'!$O$47,'Div 2'!$O$50,'Div 2'!$O$52,'Div 2'!$O$54,'Div 2'!$O$56,'Div 2'!$O$58,'Div 2'!$O$60,'Div 2'!$O$62,'Div 2'!$O$67,'Div 2'!$O$72,'Div 2'!$O$75,'Div 2'!$O$78,'Div 2'!$O$84,'Div 2'!$O$87,'Div 2'!$O$89</definedName>
    <definedName name="OSRRefE20x_10" localSheetId="41">'Div 3'!$O$45,'Div 3'!$O$56,'Div 3'!$O$67,'Div 3'!$O$69,'Div 3'!$O$71,'Div 3'!$O$73,'Div 3'!$O$76,'Div 3'!$O$79,'Div 3'!$O$81,'Div 3'!$O$83,'Div 3'!$O$85,'Div 3'!$O$88,'Div 3'!$O$91,'Div 3'!$O$93,'Div 3'!$O$95,'Div 3'!$O$97,'Div 3'!$O$99,'Div 3'!$O$101,'Div 3'!$O$106,'Div 3'!$O$111,'Div 3'!$O$116,'Div 3'!$O$119,'Div 3'!$O$127,'Div 3'!$O$130,'Div 3'!$O$132,'Div 3'!$O$136</definedName>
    <definedName name="OSRRefE20x_10" localSheetId="69">'Div 4'!$O$27,'Div 4'!$O$38,'Div 4'!$O$49,'Div 4'!$O$51,'Div 4'!$O$53,'Div 4'!$O$55,'Div 4'!$O$58,'Div 4'!$O$60,'Div 4'!$O$62,'Div 4'!$O$64,'Div 4'!$O$67,'Div 4'!$O$69,'Div 4'!$O$71,'Div 4'!$O$73,'Div 4'!$O$75,'Div 4'!$O$80,'Div 4'!$O$86,'Div 4'!$O$89,'Div 4'!$O$100,'Div 4'!$O$103,'Div 4'!$O$105,'Div 4'!$O$107</definedName>
    <definedName name="OSRRefE20x_10" localSheetId="87">'Div 5'!$O$19,'Div 5'!$O$29,'Div 5'!$O$40,'Div 5'!$O$42,'Div 5'!$O$44,'Div 5'!$O$46,'Div 5'!$O$48,'Div 5'!$O$50,'Div 5'!$O$52,'Div 5'!$O$54,'Div 5'!$O$58,'Div 5'!$O$60,'Div 5'!$O$63,'Div 5'!$O$65</definedName>
    <definedName name="OSRRefE20x_10" localSheetId="61">'Div 6'!$O$32,'Div 6'!$O$43,'Div 6'!$O$54,'Div 6'!$O$56,'Div 6'!$O$58,'Div 6'!$O$60,'Div 6'!$O$62,'Div 6'!$O$64,'Div 6'!$O$66,'Div 6'!$O$69</definedName>
    <definedName name="OSRRefE20x_10" localSheetId="2">Summary!$O$56,Summary!$O$67,Summary!$O$78,Summary!$O$80,Summary!$O$82,Summary!$O$84,Summary!$O$87,Summary!$O$90,Summary!$O$92,Summary!$O$94,Summary!$O$96,Summary!$O$99,Summary!$O$103,Summary!$O$105,Summary!$O$107,Summary!$O$109,Summary!$O$111,Summary!$O$113,Summary!$O$115,Summary!$O$120,Summary!$O$125,Summary!$O$131,Summary!$O$134,Summary!$O$145,Summary!$O$148,Summary!$O$150,Summary!$O$154</definedName>
    <definedName name="OSRRefE20x_2" localSheetId="40">'200'!$G$18,'200'!$G$20,'200'!$G$22,'200'!$G$24</definedName>
    <definedName name="OSRRefE20x_2" localSheetId="42">'201'!$G$18,'201'!$G$28,'201'!$G$39,'201'!$G$41,'201'!$G$43,'201'!$G$45,'201'!$G$47,'201'!$G$49,'201'!$G$51,'201'!$G$53,'201'!$G$57,'201'!$G$59,'201'!$G$61,'201'!$G$64,'201'!$G$66,'201'!$G$68</definedName>
    <definedName name="OSRRefE20x_2" localSheetId="43">'202'!$G$18,'202'!$G$28,'202'!$G$39,'202'!$G$41,'202'!$G$43,'202'!$G$45,'202'!$G$47,'202'!$G$51,'202'!$G$53,'202'!$G$55,'202'!$G$57,'202'!$G$59</definedName>
    <definedName name="OSRRefE20x_2" localSheetId="44">'203'!$G$18,'203'!$G$29,'203'!$G$40,'203'!$G$42,'203'!$G$44,'203'!$G$46,'203'!$G$48,'203'!$G$50,'203'!$G$52,'203'!$G$56,'203'!$G$58,'203'!$G$60,'203'!$G$65,'203'!$G$67,'203'!$G$69</definedName>
    <definedName name="OSRRefE20x_2" localSheetId="45">'204'!$G$18,'204'!$G$28,'204'!$G$39,'204'!$G$42,'204'!$G$44,'204'!$G$48,'204'!$G$51,'204'!$G$53,'204'!$G$56</definedName>
    <definedName name="OSRRefE20x_2" localSheetId="46">'205'!$G$18,'205'!$G$28,'205'!$G$39,'205'!$G$41,'205'!$G$43,'205'!$G$47,'205'!$G$49,'205'!$G$51</definedName>
    <definedName name="OSRRefE20x_2" localSheetId="47">'206'!$G$18,'206'!$G$28,'206'!$G$39,'206'!$G$41,'206'!$G$43,'206'!$G$45</definedName>
    <definedName name="OSRRefE20x_2" localSheetId="48">'300'!$G$44,'300'!$G$55,'300'!$G$66,'300'!$G$68,'300'!$G$70,'300'!$G$72,'300'!$G$75,'300'!$G$78,'300'!$G$80,'300'!$G$82,'300'!$G$84,'300'!$G$87,'300'!$G$90,'300'!$G$92,'300'!$G$94,'300'!$G$96,'300'!$G$98,'300'!$G$103,'300'!$G$108,'300'!$G$112,'300'!$G$115,'300'!$G$123,'300'!$G$126,'300'!$G$128,'300'!$G$132</definedName>
    <definedName name="OSRRefE20x_2" localSheetId="49">'300 &amp; 317'!$G$50,'300 &amp; 317'!$G$61,'300 &amp; 317'!$G$72,'300 &amp; 317'!$G$74,'300 &amp; 317'!$G$76,'300 &amp; 317'!$G$78,'300 &amp; 317'!$G$81,'300 &amp; 317'!$G$84,'300 &amp; 317'!$G$86,'300 &amp; 317'!$G$88,'300 &amp; 317'!$G$90,'300 &amp; 317'!$G$93,'300 &amp; 317'!$G$96,'300 &amp; 317'!$G$98,'300 &amp; 317'!$G$100,'300 &amp; 317'!$G$102,'300 &amp; 317'!$G$104,'300 &amp; 317'!$G$109,'300 &amp; 317'!$G$114,'300 &amp; 317'!$G$118,'300 &amp; 317'!$G$121,'300 &amp; 317'!$G$129,'300 &amp; 317'!$G$132,'300 &amp; 317'!$G$134,'300 &amp; 317'!$G$138</definedName>
    <definedName name="OSRRefE20x_2" localSheetId="50">'301'!$G$18,'301'!$G$29,'301'!$G$40,'301'!$G$42,'301'!$G$44,'301'!$G$47,'301'!$G$49,'301'!$G$51,'301'!$G$53,'301'!$G$55,'301'!$G$57,'301'!$G$59,'301'!$G$61,'301'!$G$63,'301'!$G$68,'301'!$G$71,'301'!$G$73,'301'!$G$79,'301'!$G$81,'301'!$G$83,'301'!$G$85</definedName>
    <definedName name="OSRRefE20x_2" localSheetId="52">'307'!$G$21,'307'!$G$30,'307'!$G$41,'307'!$G$43,'307'!$G$45,'307'!$G$47,'307'!$G$49,'307'!$G$51,'307'!$G$53,'307'!$G$57</definedName>
    <definedName name="OSRRefE20x_2" localSheetId="53">'308'!$G$32,'308'!$G$43,'308'!$G$54,'308'!$G$56,'308'!$G$58,'308'!$G$60,'308'!$G$62,'308'!$G$64,'308'!$G$66,'308'!$G$70,'308'!$G$73,'308'!$G$76,'308'!$G$79</definedName>
    <definedName name="OSRRefE20x_2" localSheetId="64">'309'!$G$18,'309'!$G$20,'309'!$G$22</definedName>
    <definedName name="OSRRefE20x_2" localSheetId="63">'310'!$G$22,'310'!$G$31,'310'!$G$42,'310'!$G$44,'310'!$G$46,'310'!$G$48,'310'!$G$51,'310'!$G$53,'310'!$G$55,'310'!$G$57,'310'!$G$59,'310'!$G$61,'310'!$G$65,'310'!$G$67,'310'!$G$70,'310'!$G$76,'310'!$G$79,'310'!$G$81</definedName>
    <definedName name="OSRRefE20x_2" localSheetId="70">'310 &amp; 491'!$G$25,'310 &amp; 491'!$G$35,'310 &amp; 491'!$G$46,'310 &amp; 491'!$G$48,'310 &amp; 491'!$G$50,'310 &amp; 491'!$G$52,'310 &amp; 491'!$G$55,'310 &amp; 491'!$G$57,'310 &amp; 491'!$G$59,'310 &amp; 491'!$G$62,'310 &amp; 491'!$G$64,'310 &amp; 491'!$G$66,'310 &amp; 491'!$G$68,'310 &amp; 491'!$G$73,'310 &amp; 491'!$G$75,'310 &amp; 491'!$G$81,'310 &amp; 491'!$G$83,'310 &amp; 491'!$G$94,'310 &amp; 491'!$G$97,'310 &amp; 491'!$G$99,'310 &amp; 491'!$G$101</definedName>
    <definedName name="OSRRefE20x_2" localSheetId="54">'311'!$G$32,'311'!$G$43,'311'!$G$54,'311'!$G$56,'311'!$G$58,'311'!$G$60,'311'!$G$62,'311'!$G$64,'311'!$G$66,'311'!$G$70,'311'!$G$73,'311'!$G$76,'311'!$G$79</definedName>
    <definedName name="OSRRefE20x_2" localSheetId="65">'313'!$G$18</definedName>
    <definedName name="OSRRefE20x_2" localSheetId="57">'315'!$G$37,'315'!$G$47,'315'!$G$58,'315'!$G$60,'315'!$G$62,'315'!$G$64,'315'!$G$66,'315'!$G$69,'315'!$G$71,'315'!$G$73,'315'!$G$75,'315'!$G$77,'315'!$G$81,'315'!$G$84,'315'!$G$88,'315'!$G$90</definedName>
    <definedName name="OSRRefE20x_2" localSheetId="60">'316'!$G$22,'316'!$G$32,'316'!$G$43,'316'!$G$45,'316'!$G$47,'316'!$G$49,'316'!$G$52,'316'!$G$56,'316'!$G$58,'316'!$G$63</definedName>
    <definedName name="OSRRefE20x_2" localSheetId="62">'317'!$G$32,'317'!$G$43,'317'!$G$54,'317'!$G$56,'317'!$G$58,'317'!$G$60,'317'!$G$62,'317'!$G$64,'317'!$G$66,'317'!$G$69</definedName>
    <definedName name="OSRRefE20x_2" localSheetId="66">'321'!$G$21,'321'!$G$30,'321'!$G$41,'321'!$G$43,'321'!$G$45,'321'!$G$47,'321'!$G$49,'321'!$G$52,'321'!$G$54,'321'!$G$56,'321'!$G$59,'321'!$G$61</definedName>
    <definedName name="OSRRefE20x_2" localSheetId="67">'325'!$G$22,'325'!$G$31,'325'!$G$42,'325'!$G$44,'325'!$G$46,'325'!$G$49,'325'!$G$51,'325'!$G$53,'325'!$G$55,'325'!$G$57,'325'!$G$59,'325'!$G$62,'325'!$G$65,'325'!$G$71,'325'!$G$74</definedName>
    <definedName name="OSRRefE20x_2" localSheetId="58">'326'!$G$23,'326'!$G$33,'326'!$G$44,'326'!$G$46,'326'!$G$48,'326'!$G$50,'326'!$G$52,'326'!$G$54,'326'!$G$56,'326'!$G$58,'326'!$G$60,'326'!$G$63,'326'!$G$66,'326'!$G$69,'326'!$G$73,'326'!$G$75,'326'!$G$78</definedName>
    <definedName name="OSRRefE20x_2" localSheetId="68">'327'!$G$20</definedName>
    <definedName name="OSRRefE20x_2" localSheetId="51">'330'!$G$21,'330'!$G$30,'330'!$G$41,'330'!$G$43,'330'!$G$45,'330'!$G$47,'330'!$G$49,'330'!$G$51,'330'!$G$53,'330'!$G$57</definedName>
    <definedName name="OSRRefE20x_2" localSheetId="56">'331'!$G$37,'331'!$G$47,'331'!$G$58,'331'!$G$60,'331'!$G$62,'331'!$G$64,'331'!$G$66,'331'!$G$69,'331'!$G$72,'331'!$G$74,'331'!$G$76,'331'!$G$78,'331'!$G$80,'331'!$G$83,'331'!$G$87,'331'!$G$90,'331'!$G$93,'331'!$G$98,'331'!$G$100,'331'!$G$103</definedName>
    <definedName name="OSRRefE20x_2" localSheetId="59">'332'!$G$22,'332'!$G$32,'332'!$G$43,'332'!$G$45,'332'!$G$47,'332'!$G$49,'332'!$G$52,'332'!$G$56,'332'!$G$58,'332'!$G$63</definedName>
    <definedName name="OSRRefE20x_2" localSheetId="72">'405'!$G$21,'405'!$G$31,'405'!$G$42,'405'!$G$44,'405'!$G$46,'405'!$G$49,'405'!$G$51,'405'!$G$53,'405'!$G$55,'405'!$G$58,'405'!$G$62,'405'!$G$64,'405'!$G$72,'405'!$G$74,'405'!$G$76,'405'!$G$78</definedName>
    <definedName name="OSRRefE20x_2" localSheetId="73">'411'!$G$18,'411'!$G$28,'411'!$G$39,'411'!$G$41,'411'!$G$44,'411'!$G$46,'411'!$G$48,'411'!$G$50,'411'!$G$54,'411'!$G$57,'411'!$G$59,'411'!$G$61,'411'!$G$63</definedName>
    <definedName name="OSRRefE20x_2" localSheetId="74">'412'!$G$18,'412'!$G$20</definedName>
    <definedName name="OSRRefE20x_2" localSheetId="75">'413'!$G$18</definedName>
    <definedName name="OSRRefE20x_2" localSheetId="76">'415'!$G$25,'415'!$G$35,'415'!$G$46,'415'!$G$48,'415'!$G$50,'415'!$G$52,'415'!$G$55,'415'!$G$57,'415'!$G$59,'415'!$G$61,'415'!$G$63,'415'!$G$65,'415'!$G$68,'415'!$G$73,'415'!$G$75,'415'!$G$82,'415'!$G$85,'415'!$G$87</definedName>
    <definedName name="OSRRefE20x_2" localSheetId="77">'418'!$G$21,'418'!$G$31,'418'!$G$42,'418'!$G$44,'418'!$G$46,'418'!$G$49,'418'!$G$51,'418'!$G$53,'418'!$G$56,'418'!$G$59,'418'!$G$63,'418'!$G$65,'418'!$G$73,'418'!$G$76,'418'!$G$78,'418'!$G$80</definedName>
    <definedName name="OSRRefE20x_2" localSheetId="78">'423'!$G$18,'423'!$G$27,'423'!$G$38,'423'!$G$40</definedName>
    <definedName name="OSRRefE20x_2" localSheetId="79">'424'!$G$18</definedName>
    <definedName name="OSRRefE20x_2" localSheetId="80">'425'!$G$19</definedName>
    <definedName name="OSRRefE20x_2" localSheetId="83">'430'!$G$18,'430'!$G$28,'430'!$G$39,'430'!$G$41,'430'!$G$43,'430'!$G$45,'430'!$G$48</definedName>
    <definedName name="OSRRefE20x_2" localSheetId="84">'433'!$G$20,'433'!$G$31,'433'!$G$42,'433'!$G$44,'433'!$G$46,'433'!$G$48,'433'!$G$50,'433'!$G$52,'433'!$G$54,'433'!$G$56,'433'!$G$58,'433'!$G$60,'433'!$G$64,'433'!$G$69,'433'!$G$76,'433'!$G$78</definedName>
    <definedName name="OSRRefE20x_2" localSheetId="85">'444'!$G$25,'444'!$G$36,'444'!$G$47,'444'!$G$49,'444'!$G$51,'444'!$G$53,'444'!$G$55,'444'!$G$57,'444'!$G$59,'444'!$G$61,'444'!$G$63,'444'!$G$65,'444'!$G$68,'444'!$G$73,'444'!$G$75,'444'!$G$82,'444'!$G$84</definedName>
    <definedName name="OSRRefE20x_2" localSheetId="86">'450'!$G$20,'450'!$G$31,'450'!$G$42,'450'!$G$44,'450'!$G$46,'450'!$G$48,'450'!$G$50,'450'!$G$52,'450'!$G$54,'450'!$G$56,'450'!$G$58,'450'!$G$60,'450'!$G$63,'450'!$G$68,'450'!$G$75,'450'!$G$77</definedName>
    <definedName name="OSRRefE20x_2" localSheetId="71">'491'!$G$25,'491'!$G$35,'491'!$G$46,'491'!$G$48,'491'!$G$50,'491'!$G$52,'491'!$G$55,'491'!$G$57,'491'!$G$59,'491'!$G$62,'491'!$G$64,'491'!$G$66,'491'!$G$68,'491'!$G$72,'491'!$G$78,'491'!$G$80,'491'!$G$90,'491'!$G$93,'491'!$G$95,'491'!$G$97</definedName>
    <definedName name="OSRRefE20x_2" localSheetId="82">'492'!$G$25,'492'!$G$36,'492'!$G$47,'492'!$G$49,'492'!$G$51,'492'!$G$53,'492'!$G$55,'492'!$G$57,'492'!$G$59,'492'!$G$61,'492'!$G$63,'492'!$G$65,'492'!$G$67,'492'!$G$71,'492'!$G$76,'492'!$G$78,'492'!$G$86,'492'!$G$89</definedName>
    <definedName name="OSRRefE20x_2" localSheetId="88">'501'!$G$19,'501'!$G$29,'501'!$G$40,'501'!$G$42,'501'!$G$44,'501'!$G$46,'501'!$G$48,'501'!$G$50,'501'!$G$52,'501'!$G$54,'501'!$G$58,'501'!$G$60,'501'!$G$63,'501'!$G$65</definedName>
    <definedName name="OSRRefE20x_2" localSheetId="39">'Div 2'!$G$18,'Div 2'!$G$30,'Div 2'!$G$41,'Div 2'!$G$43,'Div 2'!$G$45,'Div 2'!$G$47,'Div 2'!$G$50,'Div 2'!$G$52,'Div 2'!$G$54,'Div 2'!$G$56,'Div 2'!$G$58,'Div 2'!$G$60,'Div 2'!$G$62,'Div 2'!$G$67,'Div 2'!$G$72,'Div 2'!$G$75,'Div 2'!$G$78,'Div 2'!$G$84,'Div 2'!$G$87,'Div 2'!$G$89</definedName>
    <definedName name="OSRRefE20x_2" localSheetId="41">'Div 3'!$G$45,'Div 3'!$G$56,'Div 3'!$G$67,'Div 3'!$G$69,'Div 3'!$G$71,'Div 3'!$G$73,'Div 3'!$G$76,'Div 3'!$G$79,'Div 3'!$G$81,'Div 3'!$G$83,'Div 3'!$G$85,'Div 3'!$G$88,'Div 3'!$G$91,'Div 3'!$G$93,'Div 3'!$G$95,'Div 3'!$G$97,'Div 3'!$G$99,'Div 3'!$G$101,'Div 3'!$G$106,'Div 3'!$G$111,'Div 3'!$G$116,'Div 3'!$G$119,'Div 3'!$G$127,'Div 3'!$G$130,'Div 3'!$G$132,'Div 3'!$G$136</definedName>
    <definedName name="OSRRefE20x_2" localSheetId="69">'Div 4'!$G$27,'Div 4'!$G$38,'Div 4'!$G$49,'Div 4'!$G$51,'Div 4'!$G$53,'Div 4'!$G$55,'Div 4'!$G$58,'Div 4'!$G$60,'Div 4'!$G$62,'Div 4'!$G$64,'Div 4'!$G$67,'Div 4'!$G$69,'Div 4'!$G$71,'Div 4'!$G$73,'Div 4'!$G$75,'Div 4'!$G$80,'Div 4'!$G$86,'Div 4'!$G$89,'Div 4'!$G$100,'Div 4'!$G$103,'Div 4'!$G$105,'Div 4'!$G$107</definedName>
    <definedName name="OSRRefE20x_2" localSheetId="87">'Div 5'!$G$19,'Div 5'!$G$29,'Div 5'!$G$40,'Div 5'!$G$42,'Div 5'!$G$44,'Div 5'!$G$46,'Div 5'!$G$48,'Div 5'!$G$50,'Div 5'!$G$52,'Div 5'!$G$54,'Div 5'!$G$58,'Div 5'!$G$60,'Div 5'!$G$63,'Div 5'!$G$65</definedName>
    <definedName name="OSRRefE20x_2" localSheetId="61">'Div 6'!$G$32,'Div 6'!$G$43,'Div 6'!$G$54,'Div 6'!$G$56,'Div 6'!$G$58,'Div 6'!$G$60,'Div 6'!$G$62,'Div 6'!$G$64,'Div 6'!$G$66,'Div 6'!$G$69</definedName>
    <definedName name="OSRRefE20x_2" localSheetId="2">Summary!$G$56,Summary!$G$67,Summary!$G$78,Summary!$G$80,Summary!$G$82,Summary!$G$84,Summary!$G$87,Summary!$G$90,Summary!$G$92,Summary!$G$94,Summary!$G$96,Summary!$G$99,Summary!$G$103,Summary!$G$105,Summary!$G$107,Summary!$G$109,Summary!$G$111,Summary!$G$113,Summary!$G$115,Summary!$G$120,Summary!$G$125,Summary!$G$131,Summary!$G$134,Summary!$G$145,Summary!$G$148,Summary!$G$150,Summary!$G$154</definedName>
    <definedName name="OSRRefE20x_3" localSheetId="40">'200'!$H$18,'200'!$H$20,'200'!$H$22,'200'!$H$24</definedName>
    <definedName name="OSRRefE20x_3" localSheetId="42">'201'!$H$18,'201'!$H$28,'201'!$H$39,'201'!$H$41,'201'!$H$43,'201'!$H$45,'201'!$H$47,'201'!$H$49,'201'!$H$51,'201'!$H$53,'201'!$H$57,'201'!$H$59,'201'!$H$61,'201'!$H$64,'201'!$H$66,'201'!$H$68</definedName>
    <definedName name="OSRRefE20x_3" localSheetId="43">'202'!$H$18,'202'!$H$28,'202'!$H$39,'202'!$H$41,'202'!$H$43,'202'!$H$45,'202'!$H$47,'202'!$H$51,'202'!$H$53,'202'!$H$55,'202'!$H$57,'202'!$H$59</definedName>
    <definedName name="OSRRefE20x_3" localSheetId="44">'203'!$H$18,'203'!$H$29,'203'!$H$40,'203'!$H$42,'203'!$H$44,'203'!$H$46,'203'!$H$48,'203'!$H$50,'203'!$H$52,'203'!$H$56,'203'!$H$58,'203'!$H$60,'203'!$H$65,'203'!$H$67,'203'!$H$69</definedName>
    <definedName name="OSRRefE20x_3" localSheetId="45">'204'!$H$18,'204'!$H$28,'204'!$H$39,'204'!$H$42,'204'!$H$44,'204'!$H$48,'204'!$H$51,'204'!$H$53,'204'!$H$56</definedName>
    <definedName name="OSRRefE20x_3" localSheetId="46">'205'!$H$18,'205'!$H$28,'205'!$H$39,'205'!$H$41,'205'!$H$43,'205'!$H$47,'205'!$H$49,'205'!$H$51</definedName>
    <definedName name="OSRRefE20x_3" localSheetId="47">'206'!$H$18,'206'!$H$28,'206'!$H$39,'206'!$H$41,'206'!$H$43,'206'!$H$45</definedName>
    <definedName name="OSRRefE20x_3" localSheetId="48">'300'!$H$44,'300'!$H$55,'300'!$H$66,'300'!$H$68,'300'!$H$70,'300'!$H$72,'300'!$H$75,'300'!$H$78,'300'!$H$80,'300'!$H$82,'300'!$H$84,'300'!$H$87,'300'!$H$90,'300'!$H$92,'300'!$H$94,'300'!$H$96,'300'!$H$98,'300'!$H$103,'300'!$H$108,'300'!$H$112,'300'!$H$115,'300'!$H$123,'300'!$H$126,'300'!$H$128,'300'!$H$132</definedName>
    <definedName name="OSRRefE20x_3" localSheetId="49">'300 &amp; 317'!$H$50,'300 &amp; 317'!$H$61,'300 &amp; 317'!$H$72,'300 &amp; 317'!$H$74,'300 &amp; 317'!$H$76,'300 &amp; 317'!$H$78,'300 &amp; 317'!$H$81,'300 &amp; 317'!$H$84,'300 &amp; 317'!$H$86,'300 &amp; 317'!$H$88,'300 &amp; 317'!$H$90,'300 &amp; 317'!$H$93,'300 &amp; 317'!$H$96,'300 &amp; 317'!$H$98,'300 &amp; 317'!$H$100,'300 &amp; 317'!$H$102,'300 &amp; 317'!$H$104,'300 &amp; 317'!$H$109,'300 &amp; 317'!$H$114,'300 &amp; 317'!$H$118,'300 &amp; 317'!$H$121,'300 &amp; 317'!$H$129,'300 &amp; 317'!$H$132,'300 &amp; 317'!$H$134,'300 &amp; 317'!$H$138</definedName>
    <definedName name="OSRRefE20x_3" localSheetId="50">'301'!$H$18,'301'!$H$29,'301'!$H$40,'301'!$H$42,'301'!$H$44,'301'!$H$47,'301'!$H$49,'301'!$H$51,'301'!$H$53,'301'!$H$55,'301'!$H$57,'301'!$H$59,'301'!$H$61,'301'!$H$63,'301'!$H$68,'301'!$H$71,'301'!$H$73,'301'!$H$79,'301'!$H$81,'301'!$H$83,'301'!$H$85</definedName>
    <definedName name="OSRRefE20x_3" localSheetId="52">'307'!$H$21,'307'!$H$30,'307'!$H$41,'307'!$H$43,'307'!$H$45,'307'!$H$47,'307'!$H$49,'307'!$H$51,'307'!$H$53,'307'!$H$57</definedName>
    <definedName name="OSRRefE20x_3" localSheetId="53">'308'!$H$32,'308'!$H$43,'308'!$H$54,'308'!$H$56,'308'!$H$58,'308'!$H$60,'308'!$H$62,'308'!$H$64,'308'!$H$66,'308'!$H$70,'308'!$H$73,'308'!$H$76,'308'!$H$79</definedName>
    <definedName name="OSRRefE20x_3" localSheetId="64">'309'!$H$18,'309'!$H$20,'309'!$H$22</definedName>
    <definedName name="OSRRefE20x_3" localSheetId="63">'310'!$H$22,'310'!$H$31,'310'!$H$42,'310'!$H$44,'310'!$H$46,'310'!$H$48,'310'!$H$51,'310'!$H$53,'310'!$H$55,'310'!$H$57,'310'!$H$59,'310'!$H$61,'310'!$H$65,'310'!$H$67,'310'!$H$70,'310'!$H$76,'310'!$H$79,'310'!$H$81</definedName>
    <definedName name="OSRRefE20x_3" localSheetId="70">'310 &amp; 491'!$H$25,'310 &amp; 491'!$H$35,'310 &amp; 491'!$H$46,'310 &amp; 491'!$H$48,'310 &amp; 491'!$H$50,'310 &amp; 491'!$H$52,'310 &amp; 491'!$H$55,'310 &amp; 491'!$H$57,'310 &amp; 491'!$H$59,'310 &amp; 491'!$H$62,'310 &amp; 491'!$H$64,'310 &amp; 491'!$H$66,'310 &amp; 491'!$H$68,'310 &amp; 491'!$H$73,'310 &amp; 491'!$H$75,'310 &amp; 491'!$H$81,'310 &amp; 491'!$H$83,'310 &amp; 491'!$H$94,'310 &amp; 491'!$H$97,'310 &amp; 491'!$H$99,'310 &amp; 491'!$H$101</definedName>
    <definedName name="OSRRefE20x_3" localSheetId="54">'311'!$H$32,'311'!$H$43,'311'!$H$54,'311'!$H$56,'311'!$H$58,'311'!$H$60,'311'!$H$62,'311'!$H$64,'311'!$H$66,'311'!$H$70,'311'!$H$73,'311'!$H$76,'311'!$H$79</definedName>
    <definedName name="OSRRefE20x_3" localSheetId="65">'313'!$H$18</definedName>
    <definedName name="OSRRefE20x_3" localSheetId="57">'315'!$H$37,'315'!$H$47,'315'!$H$58,'315'!$H$60,'315'!$H$62,'315'!$H$64,'315'!$H$66,'315'!$H$69,'315'!$H$71,'315'!$H$73,'315'!$H$75,'315'!$H$77,'315'!$H$81,'315'!$H$84,'315'!$H$88,'315'!$H$90</definedName>
    <definedName name="OSRRefE20x_3" localSheetId="60">'316'!$H$22,'316'!$H$32,'316'!$H$43,'316'!$H$45,'316'!$H$47,'316'!$H$49,'316'!$H$52,'316'!$H$56,'316'!$H$58,'316'!$H$63</definedName>
    <definedName name="OSRRefE20x_3" localSheetId="62">'317'!$H$32,'317'!$H$43,'317'!$H$54,'317'!$H$56,'317'!$H$58,'317'!$H$60,'317'!$H$62,'317'!$H$64,'317'!$H$66,'317'!$H$69</definedName>
    <definedName name="OSRRefE20x_3" localSheetId="66">'321'!$H$21,'321'!$H$30,'321'!$H$41,'321'!$H$43,'321'!$H$45,'321'!$H$47,'321'!$H$49,'321'!$H$52,'321'!$H$54,'321'!$H$56,'321'!$H$59,'321'!$H$61</definedName>
    <definedName name="OSRRefE20x_3" localSheetId="67">'325'!$H$22,'325'!$H$31,'325'!$H$42,'325'!$H$44,'325'!$H$46,'325'!$H$49,'325'!$H$51,'325'!$H$53,'325'!$H$55,'325'!$H$57,'325'!$H$59,'325'!$H$62,'325'!$H$65,'325'!$H$71,'325'!$H$74</definedName>
    <definedName name="OSRRefE20x_3" localSheetId="58">'326'!$H$23,'326'!$H$33,'326'!$H$44,'326'!$H$46,'326'!$H$48,'326'!$H$50,'326'!$H$52,'326'!$H$54,'326'!$H$56,'326'!$H$58,'326'!$H$60,'326'!$H$63,'326'!$H$66,'326'!$H$69,'326'!$H$73,'326'!$H$75,'326'!$H$78</definedName>
    <definedName name="OSRRefE20x_3" localSheetId="68">'327'!$H$20</definedName>
    <definedName name="OSRRefE20x_3" localSheetId="51">'330'!$H$21,'330'!$H$30,'330'!$H$41,'330'!$H$43,'330'!$H$45,'330'!$H$47,'330'!$H$49,'330'!$H$51,'330'!$H$53,'330'!$H$57</definedName>
    <definedName name="OSRRefE20x_3" localSheetId="56">'331'!$H$37,'331'!$H$47,'331'!$H$58,'331'!$H$60,'331'!$H$62,'331'!$H$64,'331'!$H$66,'331'!$H$69,'331'!$H$72,'331'!$H$74,'331'!$H$76,'331'!$H$78,'331'!$H$80,'331'!$H$83,'331'!$H$87,'331'!$H$90,'331'!$H$93,'331'!$H$98,'331'!$H$100,'331'!$H$103</definedName>
    <definedName name="OSRRefE20x_3" localSheetId="59">'332'!$H$22,'332'!$H$32,'332'!$H$43,'332'!$H$45,'332'!$H$47,'332'!$H$49,'332'!$H$52,'332'!$H$56,'332'!$H$58,'332'!$H$63</definedName>
    <definedName name="OSRRefE20x_3" localSheetId="72">'405'!$H$21,'405'!$H$31,'405'!$H$42,'405'!$H$44,'405'!$H$46,'405'!$H$49,'405'!$H$51,'405'!$H$53,'405'!$H$55,'405'!$H$58,'405'!$H$62,'405'!$H$64,'405'!$H$72,'405'!$H$74,'405'!$H$76,'405'!$H$78</definedName>
    <definedName name="OSRRefE20x_3" localSheetId="73">'411'!$H$18,'411'!$H$28,'411'!$H$39,'411'!$H$41,'411'!$H$44,'411'!$H$46,'411'!$H$48,'411'!$H$50,'411'!$H$54,'411'!$H$57,'411'!$H$59,'411'!$H$61,'411'!$H$63</definedName>
    <definedName name="OSRRefE20x_3" localSheetId="74">'412'!$H$18,'412'!$H$20</definedName>
    <definedName name="OSRRefE20x_3" localSheetId="75">'413'!$H$18</definedName>
    <definedName name="OSRRefE20x_3" localSheetId="76">'415'!$H$25,'415'!$H$35,'415'!$H$46,'415'!$H$48,'415'!$H$50,'415'!$H$52,'415'!$H$55,'415'!$H$57,'415'!$H$59,'415'!$H$61,'415'!$H$63,'415'!$H$65,'415'!$H$68,'415'!$H$73,'415'!$H$75,'415'!$H$82,'415'!$H$85,'415'!$H$87</definedName>
    <definedName name="OSRRefE20x_3" localSheetId="77">'418'!$H$21,'418'!$H$31,'418'!$H$42,'418'!$H$44,'418'!$H$46,'418'!$H$49,'418'!$H$51,'418'!$H$53,'418'!$H$56,'418'!$H$59,'418'!$H$63,'418'!$H$65,'418'!$H$73,'418'!$H$76,'418'!$H$78,'418'!$H$80</definedName>
    <definedName name="OSRRefE20x_3" localSheetId="78">'423'!$H$18,'423'!$H$27,'423'!$H$38,'423'!$H$40</definedName>
    <definedName name="OSRRefE20x_3" localSheetId="79">'424'!$H$18</definedName>
    <definedName name="OSRRefE20x_3" localSheetId="80">'425'!$H$19</definedName>
    <definedName name="OSRRefE20x_3" localSheetId="83">'430'!$H$18,'430'!$H$28,'430'!$H$39,'430'!$H$41,'430'!$H$43,'430'!$H$45,'430'!$H$48</definedName>
    <definedName name="OSRRefE20x_3" localSheetId="84">'433'!$H$20,'433'!$H$31,'433'!$H$42,'433'!$H$44,'433'!$H$46,'433'!$H$48,'433'!$H$50,'433'!$H$52,'433'!$H$54,'433'!$H$56,'433'!$H$58,'433'!$H$60,'433'!$H$64,'433'!$H$69,'433'!$H$76,'433'!$H$78</definedName>
    <definedName name="OSRRefE20x_3" localSheetId="85">'444'!$H$25,'444'!$H$36,'444'!$H$47,'444'!$H$49,'444'!$H$51,'444'!$H$53,'444'!$H$55,'444'!$H$57,'444'!$H$59,'444'!$H$61,'444'!$H$63,'444'!$H$65,'444'!$H$68,'444'!$H$73,'444'!$H$75,'444'!$H$82,'444'!$H$84</definedName>
    <definedName name="OSRRefE20x_3" localSheetId="86">'450'!$H$20,'450'!$H$31,'450'!$H$42,'450'!$H$44,'450'!$H$46,'450'!$H$48,'450'!$H$50,'450'!$H$52,'450'!$H$54,'450'!$H$56,'450'!$H$58,'450'!$H$60,'450'!$H$63,'450'!$H$68,'450'!$H$75,'450'!$H$77</definedName>
    <definedName name="OSRRefE20x_3" localSheetId="71">'491'!$H$25,'491'!$H$35,'491'!$H$46,'491'!$H$48,'491'!$H$50,'491'!$H$52,'491'!$H$55,'491'!$H$57,'491'!$H$59,'491'!$H$62,'491'!$H$64,'491'!$H$66,'491'!$H$68,'491'!$H$72,'491'!$H$78,'491'!$H$80,'491'!$H$90,'491'!$H$93,'491'!$H$95,'491'!$H$97</definedName>
    <definedName name="OSRRefE20x_3" localSheetId="82">'492'!$H$25,'492'!$H$36,'492'!$H$47,'492'!$H$49,'492'!$H$51,'492'!$H$53,'492'!$H$55,'492'!$H$57,'492'!$H$59,'492'!$H$61,'492'!$H$63,'492'!$H$65,'492'!$H$67,'492'!$H$71,'492'!$H$76,'492'!$H$78,'492'!$H$86,'492'!$H$89</definedName>
    <definedName name="OSRRefE20x_3" localSheetId="88">'501'!$H$19,'501'!$H$29,'501'!$H$40,'501'!$H$42,'501'!$H$44,'501'!$H$46,'501'!$H$48,'501'!$H$50,'501'!$H$52,'501'!$H$54,'501'!$H$58,'501'!$H$60,'501'!$H$63,'501'!$H$65</definedName>
    <definedName name="OSRRefE20x_3" localSheetId="39">'Div 2'!$H$18,'Div 2'!$H$30,'Div 2'!$H$41,'Div 2'!$H$43,'Div 2'!$H$45,'Div 2'!$H$47,'Div 2'!$H$50,'Div 2'!$H$52,'Div 2'!$H$54,'Div 2'!$H$56,'Div 2'!$H$58,'Div 2'!$H$60,'Div 2'!$H$62,'Div 2'!$H$67,'Div 2'!$H$72,'Div 2'!$H$75,'Div 2'!$H$78,'Div 2'!$H$84,'Div 2'!$H$87,'Div 2'!$H$89</definedName>
    <definedName name="OSRRefE20x_3" localSheetId="41">'Div 3'!$H$45,'Div 3'!$H$56,'Div 3'!$H$67,'Div 3'!$H$69,'Div 3'!$H$71,'Div 3'!$H$73,'Div 3'!$H$76,'Div 3'!$H$79,'Div 3'!$H$81,'Div 3'!$H$83,'Div 3'!$H$85,'Div 3'!$H$88,'Div 3'!$H$91,'Div 3'!$H$93,'Div 3'!$H$95,'Div 3'!$H$97,'Div 3'!$H$99,'Div 3'!$H$101,'Div 3'!$H$106,'Div 3'!$H$111,'Div 3'!$H$116,'Div 3'!$H$119,'Div 3'!$H$127,'Div 3'!$H$130,'Div 3'!$H$132,'Div 3'!$H$136</definedName>
    <definedName name="OSRRefE20x_3" localSheetId="69">'Div 4'!$H$27,'Div 4'!$H$38,'Div 4'!$H$49,'Div 4'!$H$51,'Div 4'!$H$53,'Div 4'!$H$55,'Div 4'!$H$58,'Div 4'!$H$60,'Div 4'!$H$62,'Div 4'!$H$64,'Div 4'!$H$67,'Div 4'!$H$69,'Div 4'!$H$71,'Div 4'!$H$73,'Div 4'!$H$75,'Div 4'!$H$80,'Div 4'!$H$86,'Div 4'!$H$89,'Div 4'!$H$100,'Div 4'!$H$103,'Div 4'!$H$105,'Div 4'!$H$107</definedName>
    <definedName name="OSRRefE20x_3" localSheetId="87">'Div 5'!$H$19,'Div 5'!$H$29,'Div 5'!$H$40,'Div 5'!$H$42,'Div 5'!$H$44,'Div 5'!$H$46,'Div 5'!$H$48,'Div 5'!$H$50,'Div 5'!$H$52,'Div 5'!$H$54,'Div 5'!$H$58,'Div 5'!$H$60,'Div 5'!$H$63,'Div 5'!$H$65</definedName>
    <definedName name="OSRRefE20x_3" localSheetId="61">'Div 6'!$H$32,'Div 6'!$H$43,'Div 6'!$H$54,'Div 6'!$H$56,'Div 6'!$H$58,'Div 6'!$H$60,'Div 6'!$H$62,'Div 6'!$H$64,'Div 6'!$H$66,'Div 6'!$H$69</definedName>
    <definedName name="OSRRefE20x_3" localSheetId="2">Summary!$H$56,Summary!$H$67,Summary!$H$78,Summary!$H$80,Summary!$H$82,Summary!$H$84,Summary!$H$87,Summary!$H$90,Summary!$H$92,Summary!$H$94,Summary!$H$96,Summary!$H$99,Summary!$H$103,Summary!$H$105,Summary!$H$107,Summary!$H$109,Summary!$H$111,Summary!$H$113,Summary!$H$115,Summary!$H$120,Summary!$H$125,Summary!$H$131,Summary!$H$134,Summary!$H$145,Summary!$H$148,Summary!$H$150,Summary!$H$154</definedName>
    <definedName name="OSRRefE20x_4" localSheetId="40">'200'!$I$18,'200'!$I$20,'200'!$I$22,'200'!$I$24</definedName>
    <definedName name="OSRRefE20x_4" localSheetId="42">'201'!$I$18,'201'!$I$28,'201'!$I$39,'201'!$I$41,'201'!$I$43,'201'!$I$45,'201'!$I$47,'201'!$I$49,'201'!$I$51,'201'!$I$53,'201'!$I$57,'201'!$I$59,'201'!$I$61,'201'!$I$64,'201'!$I$66,'201'!$I$68</definedName>
    <definedName name="OSRRefE20x_4" localSheetId="43">'202'!$I$18,'202'!$I$28,'202'!$I$39,'202'!$I$41,'202'!$I$43,'202'!$I$45,'202'!$I$47,'202'!$I$51,'202'!$I$53,'202'!$I$55,'202'!$I$57,'202'!$I$59</definedName>
    <definedName name="OSRRefE20x_4" localSheetId="44">'203'!$I$18,'203'!$I$29,'203'!$I$40,'203'!$I$42,'203'!$I$44,'203'!$I$46,'203'!$I$48,'203'!$I$50,'203'!$I$52,'203'!$I$56,'203'!$I$58,'203'!$I$60,'203'!$I$65,'203'!$I$67,'203'!$I$69</definedName>
    <definedName name="OSRRefE20x_4" localSheetId="45">'204'!$I$18,'204'!$I$28,'204'!$I$39,'204'!$I$42,'204'!$I$44,'204'!$I$48,'204'!$I$51,'204'!$I$53,'204'!$I$56</definedName>
    <definedName name="OSRRefE20x_4" localSheetId="46">'205'!$I$18,'205'!$I$28,'205'!$I$39,'205'!$I$41,'205'!$I$43,'205'!$I$47,'205'!$I$49,'205'!$I$51</definedName>
    <definedName name="OSRRefE20x_4" localSheetId="47">'206'!$I$18,'206'!$I$28,'206'!$I$39,'206'!$I$41,'206'!$I$43,'206'!$I$45</definedName>
    <definedName name="OSRRefE20x_4" localSheetId="48">'300'!$I$44,'300'!$I$55,'300'!$I$66,'300'!$I$68,'300'!$I$70,'300'!$I$72,'300'!$I$75,'300'!$I$78,'300'!$I$80,'300'!$I$82,'300'!$I$84,'300'!$I$87,'300'!$I$90,'300'!$I$92,'300'!$I$94,'300'!$I$96,'300'!$I$98,'300'!$I$103,'300'!$I$108,'300'!$I$112,'300'!$I$115,'300'!$I$123,'300'!$I$126,'300'!$I$128,'300'!$I$132</definedName>
    <definedName name="OSRRefE20x_4" localSheetId="49">'300 &amp; 317'!$I$50,'300 &amp; 317'!$I$61,'300 &amp; 317'!$I$72,'300 &amp; 317'!$I$74,'300 &amp; 317'!$I$76,'300 &amp; 317'!$I$78,'300 &amp; 317'!$I$81,'300 &amp; 317'!$I$84,'300 &amp; 317'!$I$86,'300 &amp; 317'!$I$88,'300 &amp; 317'!$I$90,'300 &amp; 317'!$I$93,'300 &amp; 317'!$I$96,'300 &amp; 317'!$I$98,'300 &amp; 317'!$I$100,'300 &amp; 317'!$I$102,'300 &amp; 317'!$I$104,'300 &amp; 317'!$I$109,'300 &amp; 317'!$I$114,'300 &amp; 317'!$I$118,'300 &amp; 317'!$I$121,'300 &amp; 317'!$I$129,'300 &amp; 317'!$I$132,'300 &amp; 317'!$I$134,'300 &amp; 317'!$I$138</definedName>
    <definedName name="OSRRefE20x_4" localSheetId="50">'301'!$I$18,'301'!$I$29,'301'!$I$40,'301'!$I$42,'301'!$I$44,'301'!$I$47,'301'!$I$49,'301'!$I$51,'301'!$I$53,'301'!$I$55,'301'!$I$57,'301'!$I$59,'301'!$I$61,'301'!$I$63,'301'!$I$68,'301'!$I$71,'301'!$I$73,'301'!$I$79,'301'!$I$81,'301'!$I$83,'301'!$I$85</definedName>
    <definedName name="OSRRefE20x_4" localSheetId="52">'307'!$I$21,'307'!$I$30,'307'!$I$41,'307'!$I$43,'307'!$I$45,'307'!$I$47,'307'!$I$49,'307'!$I$51,'307'!$I$53,'307'!$I$57</definedName>
    <definedName name="OSRRefE20x_4" localSheetId="53">'308'!$I$32,'308'!$I$43,'308'!$I$54,'308'!$I$56,'308'!$I$58,'308'!$I$60,'308'!$I$62,'308'!$I$64,'308'!$I$66,'308'!$I$70,'308'!$I$73,'308'!$I$76,'308'!$I$79</definedName>
    <definedName name="OSRRefE20x_4" localSheetId="64">'309'!$I$18,'309'!$I$20,'309'!$I$22</definedName>
    <definedName name="OSRRefE20x_4" localSheetId="63">'310'!$I$22,'310'!$I$31,'310'!$I$42,'310'!$I$44,'310'!$I$46,'310'!$I$48,'310'!$I$51,'310'!$I$53,'310'!$I$55,'310'!$I$57,'310'!$I$59,'310'!$I$61,'310'!$I$65,'310'!$I$67,'310'!$I$70,'310'!$I$76,'310'!$I$79,'310'!$I$81</definedName>
    <definedName name="OSRRefE20x_4" localSheetId="70">'310 &amp; 491'!$I$25,'310 &amp; 491'!$I$35,'310 &amp; 491'!$I$46,'310 &amp; 491'!$I$48,'310 &amp; 491'!$I$50,'310 &amp; 491'!$I$52,'310 &amp; 491'!$I$55,'310 &amp; 491'!$I$57,'310 &amp; 491'!$I$59,'310 &amp; 491'!$I$62,'310 &amp; 491'!$I$64,'310 &amp; 491'!$I$66,'310 &amp; 491'!$I$68,'310 &amp; 491'!$I$73,'310 &amp; 491'!$I$75,'310 &amp; 491'!$I$81,'310 &amp; 491'!$I$83,'310 &amp; 491'!$I$94,'310 &amp; 491'!$I$97,'310 &amp; 491'!$I$99,'310 &amp; 491'!$I$101</definedName>
    <definedName name="OSRRefE20x_4" localSheetId="54">'311'!$I$32,'311'!$I$43,'311'!$I$54,'311'!$I$56,'311'!$I$58,'311'!$I$60,'311'!$I$62,'311'!$I$64,'311'!$I$66,'311'!$I$70,'311'!$I$73,'311'!$I$76,'311'!$I$79</definedName>
    <definedName name="OSRRefE20x_4" localSheetId="65">'313'!$I$18</definedName>
    <definedName name="OSRRefE20x_4" localSheetId="57">'315'!$I$37,'315'!$I$47,'315'!$I$58,'315'!$I$60,'315'!$I$62,'315'!$I$64,'315'!$I$66,'315'!$I$69,'315'!$I$71,'315'!$I$73,'315'!$I$75,'315'!$I$77,'315'!$I$81,'315'!$I$84,'315'!$I$88,'315'!$I$90</definedName>
    <definedName name="OSRRefE20x_4" localSheetId="60">'316'!$I$22,'316'!$I$32,'316'!$I$43,'316'!$I$45,'316'!$I$47,'316'!$I$49,'316'!$I$52,'316'!$I$56,'316'!$I$58,'316'!$I$63</definedName>
    <definedName name="OSRRefE20x_4" localSheetId="62">'317'!$I$32,'317'!$I$43,'317'!$I$54,'317'!$I$56,'317'!$I$58,'317'!$I$60,'317'!$I$62,'317'!$I$64,'317'!$I$66,'317'!$I$69</definedName>
    <definedName name="OSRRefE20x_4" localSheetId="66">'321'!$I$21,'321'!$I$30,'321'!$I$41,'321'!$I$43,'321'!$I$45,'321'!$I$47,'321'!$I$49,'321'!$I$52,'321'!$I$54,'321'!$I$56,'321'!$I$59,'321'!$I$61</definedName>
    <definedName name="OSRRefE20x_4" localSheetId="67">'325'!$I$22,'325'!$I$31,'325'!$I$42,'325'!$I$44,'325'!$I$46,'325'!$I$49,'325'!$I$51,'325'!$I$53,'325'!$I$55,'325'!$I$57,'325'!$I$59,'325'!$I$62,'325'!$I$65,'325'!$I$71,'325'!$I$74</definedName>
    <definedName name="OSRRefE20x_4" localSheetId="58">'326'!$I$23,'326'!$I$33,'326'!$I$44,'326'!$I$46,'326'!$I$48,'326'!$I$50,'326'!$I$52,'326'!$I$54,'326'!$I$56,'326'!$I$58,'326'!$I$60,'326'!$I$63,'326'!$I$66,'326'!$I$69,'326'!$I$73,'326'!$I$75,'326'!$I$78</definedName>
    <definedName name="OSRRefE20x_4" localSheetId="68">'327'!$I$20</definedName>
    <definedName name="OSRRefE20x_4" localSheetId="51">'330'!$I$21,'330'!$I$30,'330'!$I$41,'330'!$I$43,'330'!$I$45,'330'!$I$47,'330'!$I$49,'330'!$I$51,'330'!$I$53,'330'!$I$57</definedName>
    <definedName name="OSRRefE20x_4" localSheetId="56">'331'!$I$37,'331'!$I$47,'331'!$I$58,'331'!$I$60,'331'!$I$62,'331'!$I$64,'331'!$I$66,'331'!$I$69,'331'!$I$72,'331'!$I$74,'331'!$I$76,'331'!$I$78,'331'!$I$80,'331'!$I$83,'331'!$I$87,'331'!$I$90,'331'!$I$93,'331'!$I$98,'331'!$I$100,'331'!$I$103</definedName>
    <definedName name="OSRRefE20x_4" localSheetId="59">'332'!$I$22,'332'!$I$32,'332'!$I$43,'332'!$I$45,'332'!$I$47,'332'!$I$49,'332'!$I$52,'332'!$I$56,'332'!$I$58,'332'!$I$63</definedName>
    <definedName name="OSRRefE20x_4" localSheetId="72">'405'!$I$21,'405'!$I$31,'405'!$I$42,'405'!$I$44,'405'!$I$46,'405'!$I$49,'405'!$I$51,'405'!$I$53,'405'!$I$55,'405'!$I$58,'405'!$I$62,'405'!$I$64,'405'!$I$72,'405'!$I$74,'405'!$I$76,'405'!$I$78</definedName>
    <definedName name="OSRRefE20x_4" localSheetId="73">'411'!$I$18,'411'!$I$28,'411'!$I$39,'411'!$I$41,'411'!$I$44,'411'!$I$46,'411'!$I$48,'411'!$I$50,'411'!$I$54,'411'!$I$57,'411'!$I$59,'411'!$I$61,'411'!$I$63</definedName>
    <definedName name="OSRRefE20x_4" localSheetId="74">'412'!$I$18,'412'!$I$20</definedName>
    <definedName name="OSRRefE20x_4" localSheetId="75">'413'!$I$18</definedName>
    <definedName name="OSRRefE20x_4" localSheetId="76">'415'!$I$25,'415'!$I$35,'415'!$I$46,'415'!$I$48,'415'!$I$50,'415'!$I$52,'415'!$I$55,'415'!$I$57,'415'!$I$59,'415'!$I$61,'415'!$I$63,'415'!$I$65,'415'!$I$68,'415'!$I$73,'415'!$I$75,'415'!$I$82,'415'!$I$85,'415'!$I$87</definedName>
    <definedName name="OSRRefE20x_4" localSheetId="77">'418'!$I$21,'418'!$I$31,'418'!$I$42,'418'!$I$44,'418'!$I$46,'418'!$I$49,'418'!$I$51,'418'!$I$53,'418'!$I$56,'418'!$I$59,'418'!$I$63,'418'!$I$65,'418'!$I$73,'418'!$I$76,'418'!$I$78,'418'!$I$80</definedName>
    <definedName name="OSRRefE20x_4" localSheetId="78">'423'!$I$18,'423'!$I$27,'423'!$I$38,'423'!$I$40</definedName>
    <definedName name="OSRRefE20x_4" localSheetId="79">'424'!$I$18</definedName>
    <definedName name="OSRRefE20x_4" localSheetId="80">'425'!$I$19</definedName>
    <definedName name="OSRRefE20x_4" localSheetId="83">'430'!$I$18,'430'!$I$28,'430'!$I$39,'430'!$I$41,'430'!$I$43,'430'!$I$45,'430'!$I$48</definedName>
    <definedName name="OSRRefE20x_4" localSheetId="84">'433'!$I$20,'433'!$I$31,'433'!$I$42,'433'!$I$44,'433'!$I$46,'433'!$I$48,'433'!$I$50,'433'!$I$52,'433'!$I$54,'433'!$I$56,'433'!$I$58,'433'!$I$60,'433'!$I$64,'433'!$I$69,'433'!$I$76,'433'!$I$78</definedName>
    <definedName name="OSRRefE20x_4" localSheetId="85">'444'!$I$25,'444'!$I$36,'444'!$I$47,'444'!$I$49,'444'!$I$51,'444'!$I$53,'444'!$I$55,'444'!$I$57,'444'!$I$59,'444'!$I$61,'444'!$I$63,'444'!$I$65,'444'!$I$68,'444'!$I$73,'444'!$I$75,'444'!$I$82,'444'!$I$84</definedName>
    <definedName name="OSRRefE20x_4" localSheetId="86">'450'!$I$20,'450'!$I$31,'450'!$I$42,'450'!$I$44,'450'!$I$46,'450'!$I$48,'450'!$I$50,'450'!$I$52,'450'!$I$54,'450'!$I$56,'450'!$I$58,'450'!$I$60,'450'!$I$63,'450'!$I$68,'450'!$I$75,'450'!$I$77</definedName>
    <definedName name="OSRRefE20x_4" localSheetId="71">'491'!$I$25,'491'!$I$35,'491'!$I$46,'491'!$I$48,'491'!$I$50,'491'!$I$52,'491'!$I$55,'491'!$I$57,'491'!$I$59,'491'!$I$62,'491'!$I$64,'491'!$I$66,'491'!$I$68,'491'!$I$72,'491'!$I$78,'491'!$I$80,'491'!$I$90,'491'!$I$93,'491'!$I$95,'491'!$I$97</definedName>
    <definedName name="OSRRefE20x_4" localSheetId="82">'492'!$I$25,'492'!$I$36,'492'!$I$47,'492'!$I$49,'492'!$I$51,'492'!$I$53,'492'!$I$55,'492'!$I$57,'492'!$I$59,'492'!$I$61,'492'!$I$63,'492'!$I$65,'492'!$I$67,'492'!$I$71,'492'!$I$76,'492'!$I$78,'492'!$I$86,'492'!$I$89</definedName>
    <definedName name="OSRRefE20x_4" localSheetId="88">'501'!$I$19,'501'!$I$29,'501'!$I$40,'501'!$I$42,'501'!$I$44,'501'!$I$46,'501'!$I$48,'501'!$I$50,'501'!$I$52,'501'!$I$54,'501'!$I$58,'501'!$I$60,'501'!$I$63,'501'!$I$65</definedName>
    <definedName name="OSRRefE20x_4" localSheetId="39">'Div 2'!$I$18,'Div 2'!$I$30,'Div 2'!$I$41,'Div 2'!$I$43,'Div 2'!$I$45,'Div 2'!$I$47,'Div 2'!$I$50,'Div 2'!$I$52,'Div 2'!$I$54,'Div 2'!$I$56,'Div 2'!$I$58,'Div 2'!$I$60,'Div 2'!$I$62,'Div 2'!$I$67,'Div 2'!$I$72,'Div 2'!$I$75,'Div 2'!$I$78,'Div 2'!$I$84,'Div 2'!$I$87,'Div 2'!$I$89</definedName>
    <definedName name="OSRRefE20x_4" localSheetId="41">'Div 3'!$I$45,'Div 3'!$I$56,'Div 3'!$I$67,'Div 3'!$I$69,'Div 3'!$I$71,'Div 3'!$I$73,'Div 3'!$I$76,'Div 3'!$I$79,'Div 3'!$I$81,'Div 3'!$I$83,'Div 3'!$I$85,'Div 3'!$I$88,'Div 3'!$I$91,'Div 3'!$I$93,'Div 3'!$I$95,'Div 3'!$I$97,'Div 3'!$I$99,'Div 3'!$I$101,'Div 3'!$I$106,'Div 3'!$I$111,'Div 3'!$I$116,'Div 3'!$I$119,'Div 3'!$I$127,'Div 3'!$I$130,'Div 3'!$I$132,'Div 3'!$I$136</definedName>
    <definedName name="OSRRefE20x_4" localSheetId="69">'Div 4'!$I$27,'Div 4'!$I$38,'Div 4'!$I$49,'Div 4'!$I$51,'Div 4'!$I$53,'Div 4'!$I$55,'Div 4'!$I$58,'Div 4'!$I$60,'Div 4'!$I$62,'Div 4'!$I$64,'Div 4'!$I$67,'Div 4'!$I$69,'Div 4'!$I$71,'Div 4'!$I$73,'Div 4'!$I$75,'Div 4'!$I$80,'Div 4'!$I$86,'Div 4'!$I$89,'Div 4'!$I$100,'Div 4'!$I$103,'Div 4'!$I$105,'Div 4'!$I$107</definedName>
    <definedName name="OSRRefE20x_4" localSheetId="87">'Div 5'!$I$19,'Div 5'!$I$29,'Div 5'!$I$40,'Div 5'!$I$42,'Div 5'!$I$44,'Div 5'!$I$46,'Div 5'!$I$48,'Div 5'!$I$50,'Div 5'!$I$52,'Div 5'!$I$54,'Div 5'!$I$58,'Div 5'!$I$60,'Div 5'!$I$63,'Div 5'!$I$65</definedName>
    <definedName name="OSRRefE20x_4" localSheetId="61">'Div 6'!$I$32,'Div 6'!$I$43,'Div 6'!$I$54,'Div 6'!$I$56,'Div 6'!$I$58,'Div 6'!$I$60,'Div 6'!$I$62,'Div 6'!$I$64,'Div 6'!$I$66,'Div 6'!$I$69</definedName>
    <definedName name="OSRRefE20x_4" localSheetId="2">Summary!$I$56,Summary!$I$67,Summary!$I$78,Summary!$I$80,Summary!$I$82,Summary!$I$84,Summary!$I$87,Summary!$I$90,Summary!$I$92,Summary!$I$94,Summary!$I$96,Summary!$I$99,Summary!$I$103,Summary!$I$105,Summary!$I$107,Summary!$I$109,Summary!$I$111,Summary!$I$113,Summary!$I$115,Summary!$I$120,Summary!$I$125,Summary!$I$131,Summary!$I$134,Summary!$I$145,Summary!$I$148,Summary!$I$150,Summary!$I$154</definedName>
    <definedName name="OSRRefE20x_5" localSheetId="40">'200'!$J$18,'200'!$J$20,'200'!$J$22,'200'!$J$24</definedName>
    <definedName name="OSRRefE20x_5" localSheetId="42">'201'!$J$18,'201'!$J$28,'201'!$J$39,'201'!$J$41,'201'!$J$43,'201'!$J$45,'201'!$J$47,'201'!$J$49,'201'!$J$51,'201'!$J$53,'201'!$J$57,'201'!$J$59,'201'!$J$61,'201'!$J$64,'201'!$J$66,'201'!$J$68</definedName>
    <definedName name="OSRRefE20x_5" localSheetId="43">'202'!$J$18,'202'!$J$28,'202'!$J$39,'202'!$J$41,'202'!$J$43,'202'!$J$45,'202'!$J$47,'202'!$J$51,'202'!$J$53,'202'!$J$55,'202'!$J$57,'202'!$J$59</definedName>
    <definedName name="OSRRefE20x_5" localSheetId="44">'203'!$J$18,'203'!$J$29,'203'!$J$40,'203'!$J$42,'203'!$J$44,'203'!$J$46,'203'!$J$48,'203'!$J$50,'203'!$J$52,'203'!$J$56,'203'!$J$58,'203'!$J$60,'203'!$J$65,'203'!$J$67,'203'!$J$69</definedName>
    <definedName name="OSRRefE20x_5" localSheetId="45">'204'!$J$18,'204'!$J$28,'204'!$J$39,'204'!$J$42,'204'!$J$44,'204'!$J$48,'204'!$J$51,'204'!$J$53,'204'!$J$56</definedName>
    <definedName name="OSRRefE20x_5" localSheetId="46">'205'!$J$18,'205'!$J$28,'205'!$J$39,'205'!$J$41,'205'!$J$43,'205'!$J$47,'205'!$J$49,'205'!$J$51</definedName>
    <definedName name="OSRRefE20x_5" localSheetId="47">'206'!$J$18,'206'!$J$28,'206'!$J$39,'206'!$J$41,'206'!$J$43,'206'!$J$45</definedName>
    <definedName name="OSRRefE20x_5" localSheetId="48">'300'!$J$44,'300'!$J$55,'300'!$J$66,'300'!$J$68,'300'!$J$70,'300'!$J$72,'300'!$J$75,'300'!$J$78,'300'!$J$80,'300'!$J$82,'300'!$J$84,'300'!$J$87,'300'!$J$90,'300'!$J$92,'300'!$J$94,'300'!$J$96,'300'!$J$98,'300'!$J$103,'300'!$J$108,'300'!$J$112,'300'!$J$115,'300'!$J$123,'300'!$J$126,'300'!$J$128,'300'!$J$132</definedName>
    <definedName name="OSRRefE20x_5" localSheetId="49">'300 &amp; 317'!$J$50,'300 &amp; 317'!$J$61,'300 &amp; 317'!$J$72,'300 &amp; 317'!$J$74,'300 &amp; 317'!$J$76,'300 &amp; 317'!$J$78,'300 &amp; 317'!$J$81,'300 &amp; 317'!$J$84,'300 &amp; 317'!$J$86,'300 &amp; 317'!$J$88,'300 &amp; 317'!$J$90,'300 &amp; 317'!$J$93,'300 &amp; 317'!$J$96,'300 &amp; 317'!$J$98,'300 &amp; 317'!$J$100,'300 &amp; 317'!$J$102,'300 &amp; 317'!$J$104,'300 &amp; 317'!$J$109,'300 &amp; 317'!$J$114,'300 &amp; 317'!$J$118,'300 &amp; 317'!$J$121,'300 &amp; 317'!$J$129,'300 &amp; 317'!$J$132,'300 &amp; 317'!$J$134,'300 &amp; 317'!$J$138</definedName>
    <definedName name="OSRRefE20x_5" localSheetId="50">'301'!$J$18,'301'!$J$29,'301'!$J$40,'301'!$J$42,'301'!$J$44,'301'!$J$47,'301'!$J$49,'301'!$J$51,'301'!$J$53,'301'!$J$55,'301'!$J$57,'301'!$J$59,'301'!$J$61,'301'!$J$63,'301'!$J$68,'301'!$J$71,'301'!$J$73,'301'!$J$79,'301'!$J$81,'301'!$J$83,'301'!$J$85</definedName>
    <definedName name="OSRRefE20x_5" localSheetId="52">'307'!$J$21,'307'!$J$30,'307'!$J$41,'307'!$J$43,'307'!$J$45,'307'!$J$47,'307'!$J$49,'307'!$J$51,'307'!$J$53,'307'!$J$57</definedName>
    <definedName name="OSRRefE20x_5" localSheetId="53">'308'!$J$32,'308'!$J$43,'308'!$J$54,'308'!$J$56,'308'!$J$58,'308'!$J$60,'308'!$J$62,'308'!$J$64,'308'!$J$66,'308'!$J$70,'308'!$J$73,'308'!$J$76,'308'!$J$79</definedName>
    <definedName name="OSRRefE20x_5" localSheetId="64">'309'!$J$18,'309'!$J$20,'309'!$J$22</definedName>
    <definedName name="OSRRefE20x_5" localSheetId="63">'310'!$J$22,'310'!$J$31,'310'!$J$42,'310'!$J$44,'310'!$J$46,'310'!$J$48,'310'!$J$51,'310'!$J$53,'310'!$J$55,'310'!$J$57,'310'!$J$59,'310'!$J$61,'310'!$J$65,'310'!$J$67,'310'!$J$70,'310'!$J$76,'310'!$J$79,'310'!$J$81</definedName>
    <definedName name="OSRRefE20x_5" localSheetId="70">'310 &amp; 491'!$J$25,'310 &amp; 491'!$J$35,'310 &amp; 491'!$J$46,'310 &amp; 491'!$J$48,'310 &amp; 491'!$J$50,'310 &amp; 491'!$J$52,'310 &amp; 491'!$J$55,'310 &amp; 491'!$J$57,'310 &amp; 491'!$J$59,'310 &amp; 491'!$J$62,'310 &amp; 491'!$J$64,'310 &amp; 491'!$J$66,'310 &amp; 491'!$J$68,'310 &amp; 491'!$J$73,'310 &amp; 491'!$J$75,'310 &amp; 491'!$J$81,'310 &amp; 491'!$J$83,'310 &amp; 491'!$J$94,'310 &amp; 491'!$J$97,'310 &amp; 491'!$J$99,'310 &amp; 491'!$J$101</definedName>
    <definedName name="OSRRefE20x_5" localSheetId="54">'311'!$J$32,'311'!$J$43,'311'!$J$54,'311'!$J$56,'311'!$J$58,'311'!$J$60,'311'!$J$62,'311'!$J$64,'311'!$J$66,'311'!$J$70,'311'!$J$73,'311'!$J$76,'311'!$J$79</definedName>
    <definedName name="OSRRefE20x_5" localSheetId="65">'313'!$J$18</definedName>
    <definedName name="OSRRefE20x_5" localSheetId="57">'315'!$J$37,'315'!$J$47,'315'!$J$58,'315'!$J$60,'315'!$J$62,'315'!$J$64,'315'!$J$66,'315'!$J$69,'315'!$J$71,'315'!$J$73,'315'!$J$75,'315'!$J$77,'315'!$J$81,'315'!$J$84,'315'!$J$88,'315'!$J$90</definedName>
    <definedName name="OSRRefE20x_5" localSheetId="60">'316'!$J$22,'316'!$J$32,'316'!$J$43,'316'!$J$45,'316'!$J$47,'316'!$J$49,'316'!$J$52,'316'!$J$56,'316'!$J$58,'316'!$J$63</definedName>
    <definedName name="OSRRefE20x_5" localSheetId="62">'317'!$J$32,'317'!$J$43,'317'!$J$54,'317'!$J$56,'317'!$J$58,'317'!$J$60,'317'!$J$62,'317'!$J$64,'317'!$J$66,'317'!$J$69</definedName>
    <definedName name="OSRRefE20x_5" localSheetId="66">'321'!$J$21,'321'!$J$30,'321'!$J$41,'321'!$J$43,'321'!$J$45,'321'!$J$47,'321'!$J$49,'321'!$J$52,'321'!$J$54,'321'!$J$56,'321'!$J$59,'321'!$J$61</definedName>
    <definedName name="OSRRefE20x_5" localSheetId="67">'325'!$J$22,'325'!$J$31,'325'!$J$42,'325'!$J$44,'325'!$J$46,'325'!$J$49,'325'!$J$51,'325'!$J$53,'325'!$J$55,'325'!$J$57,'325'!$J$59,'325'!$J$62,'325'!$J$65,'325'!$J$71,'325'!$J$74</definedName>
    <definedName name="OSRRefE20x_5" localSheetId="58">'326'!$J$23,'326'!$J$33,'326'!$J$44,'326'!$J$46,'326'!$J$48,'326'!$J$50,'326'!$J$52,'326'!$J$54,'326'!$J$56,'326'!$J$58,'326'!$J$60,'326'!$J$63,'326'!$J$66,'326'!$J$69,'326'!$J$73,'326'!$J$75,'326'!$J$78</definedName>
    <definedName name="OSRRefE20x_5" localSheetId="68">'327'!$J$20</definedName>
    <definedName name="OSRRefE20x_5" localSheetId="51">'330'!$J$21,'330'!$J$30,'330'!$J$41,'330'!$J$43,'330'!$J$45,'330'!$J$47,'330'!$J$49,'330'!$J$51,'330'!$J$53,'330'!$J$57</definedName>
    <definedName name="OSRRefE20x_5" localSheetId="56">'331'!$J$37,'331'!$J$47,'331'!$J$58,'331'!$J$60,'331'!$J$62,'331'!$J$64,'331'!$J$66,'331'!$J$69,'331'!$J$72,'331'!$J$74,'331'!$J$76,'331'!$J$78,'331'!$J$80,'331'!$J$83,'331'!$J$87,'331'!$J$90,'331'!$J$93,'331'!$J$98,'331'!$J$100,'331'!$J$103</definedName>
    <definedName name="OSRRefE20x_5" localSheetId="59">'332'!$J$22,'332'!$J$32,'332'!$J$43,'332'!$J$45,'332'!$J$47,'332'!$J$49,'332'!$J$52,'332'!$J$56,'332'!$J$58,'332'!$J$63</definedName>
    <definedName name="OSRRefE20x_5" localSheetId="72">'405'!$J$21,'405'!$J$31,'405'!$J$42,'405'!$J$44,'405'!$J$46,'405'!$J$49,'405'!$J$51,'405'!$J$53,'405'!$J$55,'405'!$J$58,'405'!$J$62,'405'!$J$64,'405'!$J$72,'405'!$J$74,'405'!$J$76,'405'!$J$78</definedName>
    <definedName name="OSRRefE20x_5" localSheetId="73">'411'!$J$18,'411'!$J$28,'411'!$J$39,'411'!$J$41,'411'!$J$44,'411'!$J$46,'411'!$J$48,'411'!$J$50,'411'!$J$54,'411'!$J$57,'411'!$J$59,'411'!$J$61,'411'!$J$63</definedName>
    <definedName name="OSRRefE20x_5" localSheetId="74">'412'!$J$18,'412'!$J$20</definedName>
    <definedName name="OSRRefE20x_5" localSheetId="75">'413'!$J$18</definedName>
    <definedName name="OSRRefE20x_5" localSheetId="76">'415'!$J$25,'415'!$J$35,'415'!$J$46,'415'!$J$48,'415'!$J$50,'415'!$J$52,'415'!$J$55,'415'!$J$57,'415'!$J$59,'415'!$J$61,'415'!$J$63,'415'!$J$65,'415'!$J$68,'415'!$J$73,'415'!$J$75,'415'!$J$82,'415'!$J$85,'415'!$J$87</definedName>
    <definedName name="OSRRefE20x_5" localSheetId="77">'418'!$J$21,'418'!$J$31,'418'!$J$42,'418'!$J$44,'418'!$J$46,'418'!$J$49,'418'!$J$51,'418'!$J$53,'418'!$J$56,'418'!$J$59,'418'!$J$63,'418'!$J$65,'418'!$J$73,'418'!$J$76,'418'!$J$78,'418'!$J$80</definedName>
    <definedName name="OSRRefE20x_5" localSheetId="78">'423'!$J$18,'423'!$J$27,'423'!$J$38,'423'!$J$40</definedName>
    <definedName name="OSRRefE20x_5" localSheetId="79">'424'!$J$18</definedName>
    <definedName name="OSRRefE20x_5" localSheetId="80">'425'!$J$19</definedName>
    <definedName name="OSRRefE20x_5" localSheetId="83">'430'!$J$18,'430'!$J$28,'430'!$J$39,'430'!$J$41,'430'!$J$43,'430'!$J$45,'430'!$J$48</definedName>
    <definedName name="OSRRefE20x_5" localSheetId="84">'433'!$J$20,'433'!$J$31,'433'!$J$42,'433'!$J$44,'433'!$J$46,'433'!$J$48,'433'!$J$50,'433'!$J$52,'433'!$J$54,'433'!$J$56,'433'!$J$58,'433'!$J$60,'433'!$J$64,'433'!$J$69,'433'!$J$76,'433'!$J$78</definedName>
    <definedName name="OSRRefE20x_5" localSheetId="85">'444'!$J$25,'444'!$J$36,'444'!$J$47,'444'!$J$49,'444'!$J$51,'444'!$J$53,'444'!$J$55,'444'!$J$57,'444'!$J$59,'444'!$J$61,'444'!$J$63,'444'!$J$65,'444'!$J$68,'444'!$J$73,'444'!$J$75,'444'!$J$82,'444'!$J$84</definedName>
    <definedName name="OSRRefE20x_5" localSheetId="86">'450'!$J$20,'450'!$J$31,'450'!$J$42,'450'!$J$44,'450'!$J$46,'450'!$J$48,'450'!$J$50,'450'!$J$52,'450'!$J$54,'450'!$J$56,'450'!$J$58,'450'!$J$60,'450'!$J$63,'450'!$J$68,'450'!$J$75,'450'!$J$77</definedName>
    <definedName name="OSRRefE20x_5" localSheetId="71">'491'!$J$25,'491'!$J$35,'491'!$J$46,'491'!$J$48,'491'!$J$50,'491'!$J$52,'491'!$J$55,'491'!$J$57,'491'!$J$59,'491'!$J$62,'491'!$J$64,'491'!$J$66,'491'!$J$68,'491'!$J$72,'491'!$J$78,'491'!$J$80,'491'!$J$90,'491'!$J$93,'491'!$J$95,'491'!$J$97</definedName>
    <definedName name="OSRRefE20x_5" localSheetId="82">'492'!$J$25,'492'!$J$36,'492'!$J$47,'492'!$J$49,'492'!$J$51,'492'!$J$53,'492'!$J$55,'492'!$J$57,'492'!$J$59,'492'!$J$61,'492'!$J$63,'492'!$J$65,'492'!$J$67,'492'!$J$71,'492'!$J$76,'492'!$J$78,'492'!$J$86,'492'!$J$89</definedName>
    <definedName name="OSRRefE20x_5" localSheetId="88">'501'!$J$19,'501'!$J$29,'501'!$J$40,'501'!$J$42,'501'!$J$44,'501'!$J$46,'501'!$J$48,'501'!$J$50,'501'!$J$52,'501'!$J$54,'501'!$J$58,'501'!$J$60,'501'!$J$63,'501'!$J$65</definedName>
    <definedName name="OSRRefE20x_5" localSheetId="39">'Div 2'!$J$18,'Div 2'!$J$30,'Div 2'!$J$41,'Div 2'!$J$43,'Div 2'!$J$45,'Div 2'!$J$47,'Div 2'!$J$50,'Div 2'!$J$52,'Div 2'!$J$54,'Div 2'!$J$56,'Div 2'!$J$58,'Div 2'!$J$60,'Div 2'!$J$62,'Div 2'!$J$67,'Div 2'!$J$72,'Div 2'!$J$75,'Div 2'!$J$78,'Div 2'!$J$84,'Div 2'!$J$87,'Div 2'!$J$89</definedName>
    <definedName name="OSRRefE20x_5" localSheetId="41">'Div 3'!$J$45,'Div 3'!$J$56,'Div 3'!$J$67,'Div 3'!$J$69,'Div 3'!$J$71,'Div 3'!$J$73,'Div 3'!$J$76,'Div 3'!$J$79,'Div 3'!$J$81,'Div 3'!$J$83,'Div 3'!$J$85,'Div 3'!$J$88,'Div 3'!$J$91,'Div 3'!$J$93,'Div 3'!$J$95,'Div 3'!$J$97,'Div 3'!$J$99,'Div 3'!$J$101,'Div 3'!$J$106,'Div 3'!$J$111,'Div 3'!$J$116,'Div 3'!$J$119,'Div 3'!$J$127,'Div 3'!$J$130,'Div 3'!$J$132,'Div 3'!$J$136</definedName>
    <definedName name="OSRRefE20x_5" localSheetId="69">'Div 4'!$J$27,'Div 4'!$J$38,'Div 4'!$J$49,'Div 4'!$J$51,'Div 4'!$J$53,'Div 4'!$J$55,'Div 4'!$J$58,'Div 4'!$J$60,'Div 4'!$J$62,'Div 4'!$J$64,'Div 4'!$J$67,'Div 4'!$J$69,'Div 4'!$J$71,'Div 4'!$J$73,'Div 4'!$J$75,'Div 4'!$J$80,'Div 4'!$J$86,'Div 4'!$J$89,'Div 4'!$J$100,'Div 4'!$J$103,'Div 4'!$J$105,'Div 4'!$J$107</definedName>
    <definedName name="OSRRefE20x_5" localSheetId="87">'Div 5'!$J$19,'Div 5'!$J$29,'Div 5'!$J$40,'Div 5'!$J$42,'Div 5'!$J$44,'Div 5'!$J$46,'Div 5'!$J$48,'Div 5'!$J$50,'Div 5'!$J$52,'Div 5'!$J$54,'Div 5'!$J$58,'Div 5'!$J$60,'Div 5'!$J$63,'Div 5'!$J$65</definedName>
    <definedName name="OSRRefE20x_5" localSheetId="61">'Div 6'!$J$32,'Div 6'!$J$43,'Div 6'!$J$54,'Div 6'!$J$56,'Div 6'!$J$58,'Div 6'!$J$60,'Div 6'!$J$62,'Div 6'!$J$64,'Div 6'!$J$66,'Div 6'!$J$69</definedName>
    <definedName name="OSRRefE20x_5" localSheetId="2">Summary!$J$56,Summary!$J$67,Summary!$J$78,Summary!$J$80,Summary!$J$82,Summary!$J$84,Summary!$J$87,Summary!$J$90,Summary!$J$92,Summary!$J$94,Summary!$J$96,Summary!$J$99,Summary!$J$103,Summary!$J$105,Summary!$J$107,Summary!$J$109,Summary!$J$111,Summary!$J$113,Summary!$J$115,Summary!$J$120,Summary!$J$125,Summary!$J$131,Summary!$J$134,Summary!$J$145,Summary!$J$148,Summary!$J$150,Summary!$J$154</definedName>
    <definedName name="OSRRefE20x_6" localSheetId="40">'200'!$K$18,'200'!$K$20,'200'!$K$22,'200'!$K$24</definedName>
    <definedName name="OSRRefE20x_6" localSheetId="42">'201'!$K$18,'201'!$K$28,'201'!$K$39,'201'!$K$41,'201'!$K$43,'201'!$K$45,'201'!$K$47,'201'!$K$49,'201'!$K$51,'201'!$K$53,'201'!$K$57,'201'!$K$59,'201'!$K$61,'201'!$K$64,'201'!$K$66,'201'!$K$68</definedName>
    <definedName name="OSRRefE20x_6" localSheetId="43">'202'!$K$18,'202'!$K$28,'202'!$K$39,'202'!$K$41,'202'!$K$43,'202'!$K$45,'202'!$K$47,'202'!$K$51,'202'!$K$53,'202'!$K$55,'202'!$K$57,'202'!$K$59</definedName>
    <definedName name="OSRRefE20x_6" localSheetId="44">'203'!$K$18,'203'!$K$29,'203'!$K$40,'203'!$K$42,'203'!$K$44,'203'!$K$46,'203'!$K$48,'203'!$K$50,'203'!$K$52,'203'!$K$56,'203'!$K$58,'203'!$K$60,'203'!$K$65,'203'!$K$67,'203'!$K$69</definedName>
    <definedName name="OSRRefE20x_6" localSheetId="45">'204'!$K$18,'204'!$K$28,'204'!$K$39,'204'!$K$42,'204'!$K$44,'204'!$K$48,'204'!$K$51,'204'!$K$53,'204'!$K$56</definedName>
    <definedName name="OSRRefE20x_6" localSheetId="46">'205'!$K$18,'205'!$K$28,'205'!$K$39,'205'!$K$41,'205'!$K$43,'205'!$K$47,'205'!$K$49,'205'!$K$51</definedName>
    <definedName name="OSRRefE20x_6" localSheetId="47">'206'!$K$18,'206'!$K$28,'206'!$K$39,'206'!$K$41,'206'!$K$43,'206'!$K$45</definedName>
    <definedName name="OSRRefE20x_6" localSheetId="48">'300'!$K$44,'300'!$K$55,'300'!$K$66,'300'!$K$68,'300'!$K$70,'300'!$K$72,'300'!$K$75,'300'!$K$78,'300'!$K$80,'300'!$K$82,'300'!$K$84,'300'!$K$87,'300'!$K$90,'300'!$K$92,'300'!$K$94,'300'!$K$96,'300'!$K$98,'300'!$K$103,'300'!$K$108,'300'!$K$112,'300'!$K$115,'300'!$K$123,'300'!$K$126,'300'!$K$128,'300'!$K$132</definedName>
    <definedName name="OSRRefE20x_6" localSheetId="49">'300 &amp; 317'!$K$50,'300 &amp; 317'!$K$61,'300 &amp; 317'!$K$72,'300 &amp; 317'!$K$74,'300 &amp; 317'!$K$76,'300 &amp; 317'!$K$78,'300 &amp; 317'!$K$81,'300 &amp; 317'!$K$84,'300 &amp; 317'!$K$86,'300 &amp; 317'!$K$88,'300 &amp; 317'!$K$90,'300 &amp; 317'!$K$93,'300 &amp; 317'!$K$96,'300 &amp; 317'!$K$98,'300 &amp; 317'!$K$100,'300 &amp; 317'!$K$102,'300 &amp; 317'!$K$104,'300 &amp; 317'!$K$109,'300 &amp; 317'!$K$114,'300 &amp; 317'!$K$118,'300 &amp; 317'!$K$121,'300 &amp; 317'!$K$129,'300 &amp; 317'!$K$132,'300 &amp; 317'!$K$134,'300 &amp; 317'!$K$138</definedName>
    <definedName name="OSRRefE20x_6" localSheetId="50">'301'!$K$18,'301'!$K$29,'301'!$K$40,'301'!$K$42,'301'!$K$44,'301'!$K$47,'301'!$K$49,'301'!$K$51,'301'!$K$53,'301'!$K$55,'301'!$K$57,'301'!$K$59,'301'!$K$61,'301'!$K$63,'301'!$K$68,'301'!$K$71,'301'!$K$73,'301'!$K$79,'301'!$K$81,'301'!$K$83,'301'!$K$85</definedName>
    <definedName name="OSRRefE20x_6" localSheetId="52">'307'!$K$21,'307'!$K$30,'307'!$K$41,'307'!$K$43,'307'!$K$45,'307'!$K$47,'307'!$K$49,'307'!$K$51,'307'!$K$53,'307'!$K$57</definedName>
    <definedName name="OSRRefE20x_6" localSheetId="53">'308'!$K$32,'308'!$K$43,'308'!$K$54,'308'!$K$56,'308'!$K$58,'308'!$K$60,'308'!$K$62,'308'!$K$64,'308'!$K$66,'308'!$K$70,'308'!$K$73,'308'!$K$76,'308'!$K$79</definedName>
    <definedName name="OSRRefE20x_6" localSheetId="64">'309'!$K$18,'309'!$K$20,'309'!$K$22</definedName>
    <definedName name="OSRRefE20x_6" localSheetId="63">'310'!$K$22,'310'!$K$31,'310'!$K$42,'310'!$K$44,'310'!$K$46,'310'!$K$48,'310'!$K$51,'310'!$K$53,'310'!$K$55,'310'!$K$57,'310'!$K$59,'310'!$K$61,'310'!$K$65,'310'!$K$67,'310'!$K$70,'310'!$K$76,'310'!$K$79,'310'!$K$81</definedName>
    <definedName name="OSRRefE20x_6" localSheetId="70">'310 &amp; 491'!$K$25,'310 &amp; 491'!$K$35,'310 &amp; 491'!$K$46,'310 &amp; 491'!$K$48,'310 &amp; 491'!$K$50,'310 &amp; 491'!$K$52,'310 &amp; 491'!$K$55,'310 &amp; 491'!$K$57,'310 &amp; 491'!$K$59,'310 &amp; 491'!$K$62,'310 &amp; 491'!$K$64,'310 &amp; 491'!$K$66,'310 &amp; 491'!$K$68,'310 &amp; 491'!$K$73,'310 &amp; 491'!$K$75,'310 &amp; 491'!$K$81,'310 &amp; 491'!$K$83,'310 &amp; 491'!$K$94,'310 &amp; 491'!$K$97,'310 &amp; 491'!$K$99,'310 &amp; 491'!$K$101</definedName>
    <definedName name="OSRRefE20x_6" localSheetId="54">'311'!$K$32,'311'!$K$43,'311'!$K$54,'311'!$K$56,'311'!$K$58,'311'!$K$60,'311'!$K$62,'311'!$K$64,'311'!$K$66,'311'!$K$70,'311'!$K$73,'311'!$K$76,'311'!$K$79</definedName>
    <definedName name="OSRRefE20x_6" localSheetId="65">'313'!$K$18</definedName>
    <definedName name="OSRRefE20x_6" localSheetId="57">'315'!$K$37,'315'!$K$47,'315'!$K$58,'315'!$K$60,'315'!$K$62,'315'!$K$64,'315'!$K$66,'315'!$K$69,'315'!$K$71,'315'!$K$73,'315'!$K$75,'315'!$K$77,'315'!$K$81,'315'!$K$84,'315'!$K$88,'315'!$K$90</definedName>
    <definedName name="OSRRefE20x_6" localSheetId="60">'316'!$K$22,'316'!$K$32,'316'!$K$43,'316'!$K$45,'316'!$K$47,'316'!$K$49,'316'!$K$52,'316'!$K$56,'316'!$K$58,'316'!$K$63</definedName>
    <definedName name="OSRRefE20x_6" localSheetId="62">'317'!$K$32,'317'!$K$43,'317'!$K$54,'317'!$K$56,'317'!$K$58,'317'!$K$60,'317'!$K$62,'317'!$K$64,'317'!$K$66,'317'!$K$69</definedName>
    <definedName name="OSRRefE20x_6" localSheetId="66">'321'!$K$21,'321'!$K$30,'321'!$K$41,'321'!$K$43,'321'!$K$45,'321'!$K$47,'321'!$K$49,'321'!$K$52,'321'!$K$54,'321'!$K$56,'321'!$K$59,'321'!$K$61</definedName>
    <definedName name="OSRRefE20x_6" localSheetId="67">'325'!$K$22,'325'!$K$31,'325'!$K$42,'325'!$K$44,'325'!$K$46,'325'!$K$49,'325'!$K$51,'325'!$K$53,'325'!$K$55,'325'!$K$57,'325'!$K$59,'325'!$K$62,'325'!$K$65,'325'!$K$71,'325'!$K$74</definedName>
    <definedName name="OSRRefE20x_6" localSheetId="58">'326'!$K$23,'326'!$K$33,'326'!$K$44,'326'!$K$46,'326'!$K$48,'326'!$K$50,'326'!$K$52,'326'!$K$54,'326'!$K$56,'326'!$K$58,'326'!$K$60,'326'!$K$63,'326'!$K$66,'326'!$K$69,'326'!$K$73,'326'!$K$75,'326'!$K$78</definedName>
    <definedName name="OSRRefE20x_6" localSheetId="68">'327'!$K$20</definedName>
    <definedName name="OSRRefE20x_6" localSheetId="51">'330'!$K$21,'330'!$K$30,'330'!$K$41,'330'!$K$43,'330'!$K$45,'330'!$K$47,'330'!$K$49,'330'!$K$51,'330'!$K$53,'330'!$K$57</definedName>
    <definedName name="OSRRefE20x_6" localSheetId="56">'331'!$K$37,'331'!$K$47,'331'!$K$58,'331'!$K$60,'331'!$K$62,'331'!$K$64,'331'!$K$66,'331'!$K$69,'331'!$K$72,'331'!$K$74,'331'!$K$76,'331'!$K$78,'331'!$K$80,'331'!$K$83,'331'!$K$87,'331'!$K$90,'331'!$K$93,'331'!$K$98,'331'!$K$100,'331'!$K$103</definedName>
    <definedName name="OSRRefE20x_6" localSheetId="59">'332'!$K$22,'332'!$K$32,'332'!$K$43,'332'!$K$45,'332'!$K$47,'332'!$K$49,'332'!$K$52,'332'!$K$56,'332'!$K$58,'332'!$K$63</definedName>
    <definedName name="OSRRefE20x_6" localSheetId="72">'405'!$K$21,'405'!$K$31,'405'!$K$42,'405'!$K$44,'405'!$K$46,'405'!$K$49,'405'!$K$51,'405'!$K$53,'405'!$K$55,'405'!$K$58,'405'!$K$62,'405'!$K$64,'405'!$K$72,'405'!$K$74,'405'!$K$76,'405'!$K$78</definedName>
    <definedName name="OSRRefE20x_6" localSheetId="73">'411'!$K$18,'411'!$K$28,'411'!$K$39,'411'!$K$41,'411'!$K$44,'411'!$K$46,'411'!$K$48,'411'!$K$50,'411'!$K$54,'411'!$K$57,'411'!$K$59,'411'!$K$61,'411'!$K$63</definedName>
    <definedName name="OSRRefE20x_6" localSheetId="74">'412'!$K$18,'412'!$K$20</definedName>
    <definedName name="OSRRefE20x_6" localSheetId="75">'413'!$K$18</definedName>
    <definedName name="OSRRefE20x_6" localSheetId="76">'415'!$K$25,'415'!$K$35,'415'!$K$46,'415'!$K$48,'415'!$K$50,'415'!$K$52,'415'!$K$55,'415'!$K$57,'415'!$K$59,'415'!$K$61,'415'!$K$63,'415'!$K$65,'415'!$K$68,'415'!$K$73,'415'!$K$75,'415'!$K$82,'415'!$K$85,'415'!$K$87</definedName>
    <definedName name="OSRRefE20x_6" localSheetId="77">'418'!$K$21,'418'!$K$31,'418'!$K$42,'418'!$K$44,'418'!$K$46,'418'!$K$49,'418'!$K$51,'418'!$K$53,'418'!$K$56,'418'!$K$59,'418'!$K$63,'418'!$K$65,'418'!$K$73,'418'!$K$76,'418'!$K$78,'418'!$K$80</definedName>
    <definedName name="OSRRefE20x_6" localSheetId="78">'423'!$K$18,'423'!$K$27,'423'!$K$38,'423'!$K$40</definedName>
    <definedName name="OSRRefE20x_6" localSheetId="79">'424'!$K$18</definedName>
    <definedName name="OSRRefE20x_6" localSheetId="80">'425'!$K$19</definedName>
    <definedName name="OSRRefE20x_6" localSheetId="83">'430'!$K$18,'430'!$K$28,'430'!$K$39,'430'!$K$41,'430'!$K$43,'430'!$K$45,'430'!$K$48</definedName>
    <definedName name="OSRRefE20x_6" localSheetId="84">'433'!$K$20,'433'!$K$31,'433'!$K$42,'433'!$K$44,'433'!$K$46,'433'!$K$48,'433'!$K$50,'433'!$K$52,'433'!$K$54,'433'!$K$56,'433'!$K$58,'433'!$K$60,'433'!$K$64,'433'!$K$69,'433'!$K$76,'433'!$K$78</definedName>
    <definedName name="OSRRefE20x_6" localSheetId="85">'444'!$K$25,'444'!$K$36,'444'!$K$47,'444'!$K$49,'444'!$K$51,'444'!$K$53,'444'!$K$55,'444'!$K$57,'444'!$K$59,'444'!$K$61,'444'!$K$63,'444'!$K$65,'444'!$K$68,'444'!$K$73,'444'!$K$75,'444'!$K$82,'444'!$K$84</definedName>
    <definedName name="OSRRefE20x_6" localSheetId="86">'450'!$K$20,'450'!$K$31,'450'!$K$42,'450'!$K$44,'450'!$K$46,'450'!$K$48,'450'!$K$50,'450'!$K$52,'450'!$K$54,'450'!$K$56,'450'!$K$58,'450'!$K$60,'450'!$K$63,'450'!$K$68,'450'!$K$75,'450'!$K$77</definedName>
    <definedName name="OSRRefE20x_6" localSheetId="71">'491'!$K$25,'491'!$K$35,'491'!$K$46,'491'!$K$48,'491'!$K$50,'491'!$K$52,'491'!$K$55,'491'!$K$57,'491'!$K$59,'491'!$K$62,'491'!$K$64,'491'!$K$66,'491'!$K$68,'491'!$K$72,'491'!$K$78,'491'!$K$80,'491'!$K$90,'491'!$K$93,'491'!$K$95,'491'!$K$97</definedName>
    <definedName name="OSRRefE20x_6" localSheetId="82">'492'!$K$25,'492'!$K$36,'492'!$K$47,'492'!$K$49,'492'!$K$51,'492'!$K$53,'492'!$K$55,'492'!$K$57,'492'!$K$59,'492'!$K$61,'492'!$K$63,'492'!$K$65,'492'!$K$67,'492'!$K$71,'492'!$K$76,'492'!$K$78,'492'!$K$86,'492'!$K$89</definedName>
    <definedName name="OSRRefE20x_6" localSheetId="88">'501'!$K$19,'501'!$K$29,'501'!$K$40,'501'!$K$42,'501'!$K$44,'501'!$K$46,'501'!$K$48,'501'!$K$50,'501'!$K$52,'501'!$K$54,'501'!$K$58,'501'!$K$60,'501'!$K$63,'501'!$K$65</definedName>
    <definedName name="OSRRefE20x_6" localSheetId="39">'Div 2'!$K$18,'Div 2'!$K$30,'Div 2'!$K$41,'Div 2'!$K$43,'Div 2'!$K$45,'Div 2'!$K$47,'Div 2'!$K$50,'Div 2'!$K$52,'Div 2'!$K$54,'Div 2'!$K$56,'Div 2'!$K$58,'Div 2'!$K$60,'Div 2'!$K$62,'Div 2'!$K$67,'Div 2'!$K$72,'Div 2'!$K$75,'Div 2'!$K$78,'Div 2'!$K$84,'Div 2'!$K$87,'Div 2'!$K$89</definedName>
    <definedName name="OSRRefE20x_6" localSheetId="41">'Div 3'!$K$45,'Div 3'!$K$56,'Div 3'!$K$67,'Div 3'!$K$69,'Div 3'!$K$71,'Div 3'!$K$73,'Div 3'!$K$76,'Div 3'!$K$79,'Div 3'!$K$81,'Div 3'!$K$83,'Div 3'!$K$85,'Div 3'!$K$88,'Div 3'!$K$91,'Div 3'!$K$93,'Div 3'!$K$95,'Div 3'!$K$97,'Div 3'!$K$99,'Div 3'!$K$101,'Div 3'!$K$106,'Div 3'!$K$111,'Div 3'!$K$116,'Div 3'!$K$119,'Div 3'!$K$127,'Div 3'!$K$130,'Div 3'!$K$132,'Div 3'!$K$136</definedName>
    <definedName name="OSRRefE20x_6" localSheetId="69">'Div 4'!$K$27,'Div 4'!$K$38,'Div 4'!$K$49,'Div 4'!$K$51,'Div 4'!$K$53,'Div 4'!$K$55,'Div 4'!$K$58,'Div 4'!$K$60,'Div 4'!$K$62,'Div 4'!$K$64,'Div 4'!$K$67,'Div 4'!$K$69,'Div 4'!$K$71,'Div 4'!$K$73,'Div 4'!$K$75,'Div 4'!$K$80,'Div 4'!$K$86,'Div 4'!$K$89,'Div 4'!$K$100,'Div 4'!$K$103,'Div 4'!$K$105,'Div 4'!$K$107</definedName>
    <definedName name="OSRRefE20x_6" localSheetId="87">'Div 5'!$K$19,'Div 5'!$K$29,'Div 5'!$K$40,'Div 5'!$K$42,'Div 5'!$K$44,'Div 5'!$K$46,'Div 5'!$K$48,'Div 5'!$K$50,'Div 5'!$K$52,'Div 5'!$K$54,'Div 5'!$K$58,'Div 5'!$K$60,'Div 5'!$K$63,'Div 5'!$K$65</definedName>
    <definedName name="OSRRefE20x_6" localSheetId="61">'Div 6'!$K$32,'Div 6'!$K$43,'Div 6'!$K$54,'Div 6'!$K$56,'Div 6'!$K$58,'Div 6'!$K$60,'Div 6'!$K$62,'Div 6'!$K$64,'Div 6'!$K$66,'Div 6'!$K$69</definedName>
    <definedName name="OSRRefE20x_6" localSheetId="2">Summary!$K$56,Summary!$K$67,Summary!$K$78,Summary!$K$80,Summary!$K$82,Summary!$K$84,Summary!$K$87,Summary!$K$90,Summary!$K$92,Summary!$K$94,Summary!$K$96,Summary!$K$99,Summary!$K$103,Summary!$K$105,Summary!$K$107,Summary!$K$109,Summary!$K$111,Summary!$K$113,Summary!$K$115,Summary!$K$120,Summary!$K$125,Summary!$K$131,Summary!$K$134,Summary!$K$145,Summary!$K$148,Summary!$K$150,Summary!$K$154</definedName>
    <definedName name="OSRRefE20x_7" localSheetId="40">'200'!$L$18,'200'!$L$20,'200'!$L$22,'200'!$L$24</definedName>
    <definedName name="OSRRefE20x_7" localSheetId="42">'201'!$L$18,'201'!$L$28,'201'!$L$39,'201'!$L$41,'201'!$L$43,'201'!$L$45,'201'!$L$47,'201'!$L$49,'201'!$L$51,'201'!$L$53,'201'!$L$57,'201'!$L$59,'201'!$L$61,'201'!$L$64,'201'!$L$66,'201'!$L$68</definedName>
    <definedName name="OSRRefE20x_7" localSheetId="43">'202'!$L$18,'202'!$L$28,'202'!$L$39,'202'!$L$41,'202'!$L$43,'202'!$L$45,'202'!$L$47,'202'!$L$51,'202'!$L$53,'202'!$L$55,'202'!$L$57,'202'!$L$59</definedName>
    <definedName name="OSRRefE20x_7" localSheetId="44">'203'!$L$18,'203'!$L$29,'203'!$L$40,'203'!$L$42,'203'!$L$44,'203'!$L$46,'203'!$L$48,'203'!$L$50,'203'!$L$52,'203'!$L$56,'203'!$L$58,'203'!$L$60,'203'!$L$65,'203'!$L$67,'203'!$L$69</definedName>
    <definedName name="OSRRefE20x_7" localSheetId="45">'204'!$L$18,'204'!$L$28,'204'!$L$39,'204'!$L$42,'204'!$L$44,'204'!$L$48,'204'!$L$51,'204'!$L$53,'204'!$L$56</definedName>
    <definedName name="OSRRefE20x_7" localSheetId="46">'205'!$L$18,'205'!$L$28,'205'!$L$39,'205'!$L$41,'205'!$L$43,'205'!$L$47,'205'!$L$49,'205'!$L$51</definedName>
    <definedName name="OSRRefE20x_7" localSheetId="47">'206'!$L$18,'206'!$L$28,'206'!$L$39,'206'!$L$41,'206'!$L$43,'206'!$L$45</definedName>
    <definedName name="OSRRefE20x_7" localSheetId="48">'300'!$L$44,'300'!$L$55,'300'!$L$66,'300'!$L$68,'300'!$L$70,'300'!$L$72,'300'!$L$75,'300'!$L$78,'300'!$L$80,'300'!$L$82,'300'!$L$84,'300'!$L$87,'300'!$L$90,'300'!$L$92,'300'!$L$94,'300'!$L$96,'300'!$L$98,'300'!$L$103,'300'!$L$108,'300'!$L$112,'300'!$L$115,'300'!$L$123,'300'!$L$126,'300'!$L$128,'300'!$L$132</definedName>
    <definedName name="OSRRefE20x_7" localSheetId="49">'300 &amp; 317'!$L$50,'300 &amp; 317'!$L$61,'300 &amp; 317'!$L$72,'300 &amp; 317'!$L$74,'300 &amp; 317'!$L$76,'300 &amp; 317'!$L$78,'300 &amp; 317'!$L$81,'300 &amp; 317'!$L$84,'300 &amp; 317'!$L$86,'300 &amp; 317'!$L$88,'300 &amp; 317'!$L$90,'300 &amp; 317'!$L$93,'300 &amp; 317'!$L$96,'300 &amp; 317'!$L$98,'300 &amp; 317'!$L$100,'300 &amp; 317'!$L$102,'300 &amp; 317'!$L$104,'300 &amp; 317'!$L$109,'300 &amp; 317'!$L$114,'300 &amp; 317'!$L$118,'300 &amp; 317'!$L$121,'300 &amp; 317'!$L$129,'300 &amp; 317'!$L$132,'300 &amp; 317'!$L$134,'300 &amp; 317'!$L$138</definedName>
    <definedName name="OSRRefE20x_7" localSheetId="50">'301'!$L$18,'301'!$L$29,'301'!$L$40,'301'!$L$42,'301'!$L$44,'301'!$L$47,'301'!$L$49,'301'!$L$51,'301'!$L$53,'301'!$L$55,'301'!$L$57,'301'!$L$59,'301'!$L$61,'301'!$L$63,'301'!$L$68,'301'!$L$71,'301'!$L$73,'301'!$L$79,'301'!$L$81,'301'!$L$83,'301'!$L$85</definedName>
    <definedName name="OSRRefE20x_7" localSheetId="52">'307'!$L$21,'307'!$L$30,'307'!$L$41,'307'!$L$43,'307'!$L$45,'307'!$L$47,'307'!$L$49,'307'!$L$51,'307'!$L$53,'307'!$L$57</definedName>
    <definedName name="OSRRefE20x_7" localSheetId="53">'308'!$L$32,'308'!$L$43,'308'!$L$54,'308'!$L$56,'308'!$L$58,'308'!$L$60,'308'!$L$62,'308'!$L$64,'308'!$L$66,'308'!$L$70,'308'!$L$73,'308'!$L$76,'308'!$L$79</definedName>
    <definedName name="OSRRefE20x_7" localSheetId="64">'309'!$L$18,'309'!$L$20,'309'!$L$22</definedName>
    <definedName name="OSRRefE20x_7" localSheetId="63">'310'!$L$22,'310'!$L$31,'310'!$L$42,'310'!$L$44,'310'!$L$46,'310'!$L$48,'310'!$L$51,'310'!$L$53,'310'!$L$55,'310'!$L$57,'310'!$L$59,'310'!$L$61,'310'!$L$65,'310'!$L$67,'310'!$L$70,'310'!$L$76,'310'!$L$79,'310'!$L$81</definedName>
    <definedName name="OSRRefE20x_7" localSheetId="70">'310 &amp; 491'!$L$25,'310 &amp; 491'!$L$35,'310 &amp; 491'!$L$46,'310 &amp; 491'!$L$48,'310 &amp; 491'!$L$50,'310 &amp; 491'!$L$52,'310 &amp; 491'!$L$55,'310 &amp; 491'!$L$57,'310 &amp; 491'!$L$59,'310 &amp; 491'!$L$62,'310 &amp; 491'!$L$64,'310 &amp; 491'!$L$66,'310 &amp; 491'!$L$68,'310 &amp; 491'!$L$73,'310 &amp; 491'!$L$75,'310 &amp; 491'!$L$81,'310 &amp; 491'!$L$83,'310 &amp; 491'!$L$94,'310 &amp; 491'!$L$97,'310 &amp; 491'!$L$99,'310 &amp; 491'!$L$101</definedName>
    <definedName name="OSRRefE20x_7" localSheetId="54">'311'!$L$32,'311'!$L$43,'311'!$L$54,'311'!$L$56,'311'!$L$58,'311'!$L$60,'311'!$L$62,'311'!$L$64,'311'!$L$66,'311'!$L$70,'311'!$L$73,'311'!$L$76,'311'!$L$79</definedName>
    <definedName name="OSRRefE20x_7" localSheetId="65">'313'!$L$18</definedName>
    <definedName name="OSRRefE20x_7" localSheetId="57">'315'!$L$37,'315'!$L$47,'315'!$L$58,'315'!$L$60,'315'!$L$62,'315'!$L$64,'315'!$L$66,'315'!$L$69,'315'!$L$71,'315'!$L$73,'315'!$L$75,'315'!$L$77,'315'!$L$81,'315'!$L$84,'315'!$L$88,'315'!$L$90</definedName>
    <definedName name="OSRRefE20x_7" localSheetId="60">'316'!$L$22,'316'!$L$32,'316'!$L$43,'316'!$L$45,'316'!$L$47,'316'!$L$49,'316'!$L$52,'316'!$L$56,'316'!$L$58,'316'!$L$63</definedName>
    <definedName name="OSRRefE20x_7" localSheetId="62">'317'!$L$32,'317'!$L$43,'317'!$L$54,'317'!$L$56,'317'!$L$58,'317'!$L$60,'317'!$L$62,'317'!$L$64,'317'!$L$66,'317'!$L$69</definedName>
    <definedName name="OSRRefE20x_7" localSheetId="66">'321'!$L$21,'321'!$L$30,'321'!$L$41,'321'!$L$43,'321'!$L$45,'321'!$L$47,'321'!$L$49,'321'!$L$52,'321'!$L$54,'321'!$L$56,'321'!$L$59,'321'!$L$61</definedName>
    <definedName name="OSRRefE20x_7" localSheetId="67">'325'!$L$22,'325'!$L$31,'325'!$L$42,'325'!$L$44,'325'!$L$46,'325'!$L$49,'325'!$L$51,'325'!$L$53,'325'!$L$55,'325'!$L$57,'325'!$L$59,'325'!$L$62,'325'!$L$65,'325'!$L$71,'325'!$L$74</definedName>
    <definedName name="OSRRefE20x_7" localSheetId="58">'326'!$L$23,'326'!$L$33,'326'!$L$44,'326'!$L$46,'326'!$L$48,'326'!$L$50,'326'!$L$52,'326'!$L$54,'326'!$L$56,'326'!$L$58,'326'!$L$60,'326'!$L$63,'326'!$L$66,'326'!$L$69,'326'!$L$73,'326'!$L$75,'326'!$L$78</definedName>
    <definedName name="OSRRefE20x_7" localSheetId="68">'327'!$L$20</definedName>
    <definedName name="OSRRefE20x_7" localSheetId="51">'330'!$L$21,'330'!$L$30,'330'!$L$41,'330'!$L$43,'330'!$L$45,'330'!$L$47,'330'!$L$49,'330'!$L$51,'330'!$L$53,'330'!$L$57</definedName>
    <definedName name="OSRRefE20x_7" localSheetId="56">'331'!$L$37,'331'!$L$47,'331'!$L$58,'331'!$L$60,'331'!$L$62,'331'!$L$64,'331'!$L$66,'331'!$L$69,'331'!$L$72,'331'!$L$74,'331'!$L$76,'331'!$L$78,'331'!$L$80,'331'!$L$83,'331'!$L$87,'331'!$L$90,'331'!$L$93,'331'!$L$98,'331'!$L$100,'331'!$L$103</definedName>
    <definedName name="OSRRefE20x_7" localSheetId="59">'332'!$L$22,'332'!$L$32,'332'!$L$43,'332'!$L$45,'332'!$L$47,'332'!$L$49,'332'!$L$52,'332'!$L$56,'332'!$L$58,'332'!$L$63</definedName>
    <definedName name="OSRRefE20x_7" localSheetId="72">'405'!$L$21,'405'!$L$31,'405'!$L$42,'405'!$L$44,'405'!$L$46,'405'!$L$49,'405'!$L$51,'405'!$L$53,'405'!$L$55,'405'!$L$58,'405'!$L$62,'405'!$L$64,'405'!$L$72,'405'!$L$74,'405'!$L$76,'405'!$L$78</definedName>
    <definedName name="OSRRefE20x_7" localSheetId="73">'411'!$L$18,'411'!$L$28,'411'!$L$39,'411'!$L$41,'411'!$L$44,'411'!$L$46,'411'!$L$48,'411'!$L$50,'411'!$L$54,'411'!$L$57,'411'!$L$59,'411'!$L$61,'411'!$L$63</definedName>
    <definedName name="OSRRefE20x_7" localSheetId="74">'412'!$L$18,'412'!$L$20</definedName>
    <definedName name="OSRRefE20x_7" localSheetId="75">'413'!$L$18</definedName>
    <definedName name="OSRRefE20x_7" localSheetId="76">'415'!$L$25,'415'!$L$35,'415'!$L$46,'415'!$L$48,'415'!$L$50,'415'!$L$52,'415'!$L$55,'415'!$L$57,'415'!$L$59,'415'!$L$61,'415'!$L$63,'415'!$L$65,'415'!$L$68,'415'!$L$73,'415'!$L$75,'415'!$L$82,'415'!$L$85,'415'!$L$87</definedName>
    <definedName name="OSRRefE20x_7" localSheetId="77">'418'!$L$21,'418'!$L$31,'418'!$L$42,'418'!$L$44,'418'!$L$46,'418'!$L$49,'418'!$L$51,'418'!$L$53,'418'!$L$56,'418'!$L$59,'418'!$L$63,'418'!$L$65,'418'!$L$73,'418'!$L$76,'418'!$L$78,'418'!$L$80</definedName>
    <definedName name="OSRRefE20x_7" localSheetId="78">'423'!$L$18,'423'!$L$27,'423'!$L$38,'423'!$L$40</definedName>
    <definedName name="OSRRefE20x_7" localSheetId="79">'424'!$L$18</definedName>
    <definedName name="OSRRefE20x_7" localSheetId="80">'425'!$L$19</definedName>
    <definedName name="OSRRefE20x_7" localSheetId="83">'430'!$L$18,'430'!$L$28,'430'!$L$39,'430'!$L$41,'430'!$L$43,'430'!$L$45,'430'!$L$48</definedName>
    <definedName name="OSRRefE20x_7" localSheetId="84">'433'!$L$20,'433'!$L$31,'433'!$L$42,'433'!$L$44,'433'!$L$46,'433'!$L$48,'433'!$L$50,'433'!$L$52,'433'!$L$54,'433'!$L$56,'433'!$L$58,'433'!$L$60,'433'!$L$64,'433'!$L$69,'433'!$L$76,'433'!$L$78</definedName>
    <definedName name="OSRRefE20x_7" localSheetId="85">'444'!$L$25,'444'!$L$36,'444'!$L$47,'444'!$L$49,'444'!$L$51,'444'!$L$53,'444'!$L$55,'444'!$L$57,'444'!$L$59,'444'!$L$61,'444'!$L$63,'444'!$L$65,'444'!$L$68,'444'!$L$73,'444'!$L$75,'444'!$L$82,'444'!$L$84</definedName>
    <definedName name="OSRRefE20x_7" localSheetId="86">'450'!$L$20,'450'!$L$31,'450'!$L$42,'450'!$L$44,'450'!$L$46,'450'!$L$48,'450'!$L$50,'450'!$L$52,'450'!$L$54,'450'!$L$56,'450'!$L$58,'450'!$L$60,'450'!$L$63,'450'!$L$68,'450'!$L$75,'450'!$L$77</definedName>
    <definedName name="OSRRefE20x_7" localSheetId="71">'491'!$L$25,'491'!$L$35,'491'!$L$46,'491'!$L$48,'491'!$L$50,'491'!$L$52,'491'!$L$55,'491'!$L$57,'491'!$L$59,'491'!$L$62,'491'!$L$64,'491'!$L$66,'491'!$L$68,'491'!$L$72,'491'!$L$78,'491'!$L$80,'491'!$L$90,'491'!$L$93,'491'!$L$95,'491'!$L$97</definedName>
    <definedName name="OSRRefE20x_7" localSheetId="82">'492'!$L$25,'492'!$L$36,'492'!$L$47,'492'!$L$49,'492'!$L$51,'492'!$L$53,'492'!$L$55,'492'!$L$57,'492'!$L$59,'492'!$L$61,'492'!$L$63,'492'!$L$65,'492'!$L$67,'492'!$L$71,'492'!$L$76,'492'!$L$78,'492'!$L$86,'492'!$L$89</definedName>
    <definedName name="OSRRefE20x_7" localSheetId="88">'501'!$L$19,'501'!$L$29,'501'!$L$40,'501'!$L$42,'501'!$L$44,'501'!$L$46,'501'!$L$48,'501'!$L$50,'501'!$L$52,'501'!$L$54,'501'!$L$58,'501'!$L$60,'501'!$L$63,'501'!$L$65</definedName>
    <definedName name="OSRRefE20x_7" localSheetId="39">'Div 2'!$L$18,'Div 2'!$L$30,'Div 2'!$L$41,'Div 2'!$L$43,'Div 2'!$L$45,'Div 2'!$L$47,'Div 2'!$L$50,'Div 2'!$L$52,'Div 2'!$L$54,'Div 2'!$L$56,'Div 2'!$L$58,'Div 2'!$L$60,'Div 2'!$L$62,'Div 2'!$L$67,'Div 2'!$L$72,'Div 2'!$L$75,'Div 2'!$L$78,'Div 2'!$L$84,'Div 2'!$L$87,'Div 2'!$L$89</definedName>
    <definedName name="OSRRefE20x_7" localSheetId="41">'Div 3'!$L$45,'Div 3'!$L$56,'Div 3'!$L$67,'Div 3'!$L$69,'Div 3'!$L$71,'Div 3'!$L$73,'Div 3'!$L$76,'Div 3'!$L$79,'Div 3'!$L$81,'Div 3'!$L$83,'Div 3'!$L$85,'Div 3'!$L$88,'Div 3'!$L$91,'Div 3'!$L$93,'Div 3'!$L$95,'Div 3'!$L$97,'Div 3'!$L$99,'Div 3'!$L$101,'Div 3'!$L$106,'Div 3'!$L$111,'Div 3'!$L$116,'Div 3'!$L$119,'Div 3'!$L$127,'Div 3'!$L$130,'Div 3'!$L$132,'Div 3'!$L$136</definedName>
    <definedName name="OSRRefE20x_7" localSheetId="69">'Div 4'!$L$27,'Div 4'!$L$38,'Div 4'!$L$49,'Div 4'!$L$51,'Div 4'!$L$53,'Div 4'!$L$55,'Div 4'!$L$58,'Div 4'!$L$60,'Div 4'!$L$62,'Div 4'!$L$64,'Div 4'!$L$67,'Div 4'!$L$69,'Div 4'!$L$71,'Div 4'!$L$73,'Div 4'!$L$75,'Div 4'!$L$80,'Div 4'!$L$86,'Div 4'!$L$89,'Div 4'!$L$100,'Div 4'!$L$103,'Div 4'!$L$105,'Div 4'!$L$107</definedName>
    <definedName name="OSRRefE20x_7" localSheetId="87">'Div 5'!$L$19,'Div 5'!$L$29,'Div 5'!$L$40,'Div 5'!$L$42,'Div 5'!$L$44,'Div 5'!$L$46,'Div 5'!$L$48,'Div 5'!$L$50,'Div 5'!$L$52,'Div 5'!$L$54,'Div 5'!$L$58,'Div 5'!$L$60,'Div 5'!$L$63,'Div 5'!$L$65</definedName>
    <definedName name="OSRRefE20x_7" localSheetId="61">'Div 6'!$L$32,'Div 6'!$L$43,'Div 6'!$L$54,'Div 6'!$L$56,'Div 6'!$L$58,'Div 6'!$L$60,'Div 6'!$L$62,'Div 6'!$L$64,'Div 6'!$L$66,'Div 6'!$L$69</definedName>
    <definedName name="OSRRefE20x_7" localSheetId="2">Summary!$L$56,Summary!$L$67,Summary!$L$78,Summary!$L$80,Summary!$L$82,Summary!$L$84,Summary!$L$87,Summary!$L$90,Summary!$L$92,Summary!$L$94,Summary!$L$96,Summary!$L$99,Summary!$L$103,Summary!$L$105,Summary!$L$107,Summary!$L$109,Summary!$L$111,Summary!$L$113,Summary!$L$115,Summary!$L$120,Summary!$L$125,Summary!$L$131,Summary!$L$134,Summary!$L$145,Summary!$L$148,Summary!$L$150,Summary!$L$154</definedName>
    <definedName name="OSRRefE20x_8" localSheetId="40">'200'!$M$18,'200'!$M$20,'200'!$M$22,'200'!$M$24</definedName>
    <definedName name="OSRRefE20x_8" localSheetId="42">'201'!$M$18,'201'!$M$28,'201'!$M$39,'201'!$M$41,'201'!$M$43,'201'!$M$45,'201'!$M$47,'201'!$M$49,'201'!$M$51,'201'!$M$53,'201'!$M$57,'201'!$M$59,'201'!$M$61,'201'!$M$64,'201'!$M$66,'201'!$M$68</definedName>
    <definedName name="OSRRefE20x_8" localSheetId="43">'202'!$M$18,'202'!$M$28,'202'!$M$39,'202'!$M$41,'202'!$M$43,'202'!$M$45,'202'!$M$47,'202'!$M$51,'202'!$M$53,'202'!$M$55,'202'!$M$57,'202'!$M$59</definedName>
    <definedName name="OSRRefE20x_8" localSheetId="44">'203'!$M$18,'203'!$M$29,'203'!$M$40,'203'!$M$42,'203'!$M$44,'203'!$M$46,'203'!$M$48,'203'!$M$50,'203'!$M$52,'203'!$M$56,'203'!$M$58,'203'!$M$60,'203'!$M$65,'203'!$M$67,'203'!$M$69</definedName>
    <definedName name="OSRRefE20x_8" localSheetId="45">'204'!$M$18,'204'!$M$28,'204'!$M$39,'204'!$M$42,'204'!$M$44,'204'!$M$48,'204'!$M$51,'204'!$M$53,'204'!$M$56</definedName>
    <definedName name="OSRRefE20x_8" localSheetId="46">'205'!$M$18,'205'!$M$28,'205'!$M$39,'205'!$M$41,'205'!$M$43,'205'!$M$47,'205'!$M$49,'205'!$M$51</definedName>
    <definedName name="OSRRefE20x_8" localSheetId="47">'206'!$M$18,'206'!$M$28,'206'!$M$39,'206'!$M$41,'206'!$M$43,'206'!$M$45</definedName>
    <definedName name="OSRRefE20x_8" localSheetId="48">'300'!$M$44,'300'!$M$55,'300'!$M$66,'300'!$M$68,'300'!$M$70,'300'!$M$72,'300'!$M$75,'300'!$M$78,'300'!$M$80,'300'!$M$82,'300'!$M$84,'300'!$M$87,'300'!$M$90,'300'!$M$92,'300'!$M$94,'300'!$M$96,'300'!$M$98,'300'!$M$103,'300'!$M$108,'300'!$M$112,'300'!$M$115,'300'!$M$123,'300'!$M$126,'300'!$M$128,'300'!$M$132</definedName>
    <definedName name="OSRRefE20x_8" localSheetId="49">'300 &amp; 317'!$M$50,'300 &amp; 317'!$M$61,'300 &amp; 317'!$M$72,'300 &amp; 317'!$M$74,'300 &amp; 317'!$M$76,'300 &amp; 317'!$M$78,'300 &amp; 317'!$M$81,'300 &amp; 317'!$M$84,'300 &amp; 317'!$M$86,'300 &amp; 317'!$M$88,'300 &amp; 317'!$M$90,'300 &amp; 317'!$M$93,'300 &amp; 317'!$M$96,'300 &amp; 317'!$M$98,'300 &amp; 317'!$M$100,'300 &amp; 317'!$M$102,'300 &amp; 317'!$M$104,'300 &amp; 317'!$M$109,'300 &amp; 317'!$M$114,'300 &amp; 317'!$M$118,'300 &amp; 317'!$M$121,'300 &amp; 317'!$M$129,'300 &amp; 317'!$M$132,'300 &amp; 317'!$M$134,'300 &amp; 317'!$M$138</definedName>
    <definedName name="OSRRefE20x_8" localSheetId="50">'301'!$M$18,'301'!$M$29,'301'!$M$40,'301'!$M$42,'301'!$M$44,'301'!$M$47,'301'!$M$49,'301'!$M$51,'301'!$M$53,'301'!$M$55,'301'!$M$57,'301'!$M$59,'301'!$M$61,'301'!$M$63,'301'!$M$68,'301'!$M$71,'301'!$M$73,'301'!$M$79,'301'!$M$81,'301'!$M$83,'301'!$M$85</definedName>
    <definedName name="OSRRefE20x_8" localSheetId="52">'307'!$M$21,'307'!$M$30,'307'!$M$41,'307'!$M$43,'307'!$M$45,'307'!$M$47,'307'!$M$49,'307'!$M$51,'307'!$M$53,'307'!$M$57</definedName>
    <definedName name="OSRRefE20x_8" localSheetId="53">'308'!$M$32,'308'!$M$43,'308'!$M$54,'308'!$M$56,'308'!$M$58,'308'!$M$60,'308'!$M$62,'308'!$M$64,'308'!$M$66,'308'!$M$70,'308'!$M$73,'308'!$M$76,'308'!$M$79</definedName>
    <definedName name="OSRRefE20x_8" localSheetId="64">'309'!$M$18,'309'!$M$20,'309'!$M$22</definedName>
    <definedName name="OSRRefE20x_8" localSheetId="63">'310'!$M$22,'310'!$M$31,'310'!$M$42,'310'!$M$44,'310'!$M$46,'310'!$M$48,'310'!$M$51,'310'!$M$53,'310'!$M$55,'310'!$M$57,'310'!$M$59,'310'!$M$61,'310'!$M$65,'310'!$M$67,'310'!$M$70,'310'!$M$76,'310'!$M$79,'310'!$M$81</definedName>
    <definedName name="OSRRefE20x_8" localSheetId="70">'310 &amp; 491'!$M$25,'310 &amp; 491'!$M$35,'310 &amp; 491'!$M$46,'310 &amp; 491'!$M$48,'310 &amp; 491'!$M$50,'310 &amp; 491'!$M$52,'310 &amp; 491'!$M$55,'310 &amp; 491'!$M$57,'310 &amp; 491'!$M$59,'310 &amp; 491'!$M$62,'310 &amp; 491'!$M$64,'310 &amp; 491'!$M$66,'310 &amp; 491'!$M$68,'310 &amp; 491'!$M$73,'310 &amp; 491'!$M$75,'310 &amp; 491'!$M$81,'310 &amp; 491'!$M$83,'310 &amp; 491'!$M$94,'310 &amp; 491'!$M$97,'310 &amp; 491'!$M$99,'310 &amp; 491'!$M$101</definedName>
    <definedName name="OSRRefE20x_8" localSheetId="54">'311'!$M$32,'311'!$M$43,'311'!$M$54,'311'!$M$56,'311'!$M$58,'311'!$M$60,'311'!$M$62,'311'!$M$64,'311'!$M$66,'311'!$M$70,'311'!$M$73,'311'!$M$76,'311'!$M$79</definedName>
    <definedName name="OSRRefE20x_8" localSheetId="65">'313'!$M$18</definedName>
    <definedName name="OSRRefE20x_8" localSheetId="57">'315'!$M$37,'315'!$M$47,'315'!$M$58,'315'!$M$60,'315'!$M$62,'315'!$M$64,'315'!$M$66,'315'!$M$69,'315'!$M$71,'315'!$M$73,'315'!$M$75,'315'!$M$77,'315'!$M$81,'315'!$M$84,'315'!$M$88,'315'!$M$90</definedName>
    <definedName name="OSRRefE20x_8" localSheetId="60">'316'!$M$22,'316'!$M$32,'316'!$M$43,'316'!$M$45,'316'!$M$47,'316'!$M$49,'316'!$M$52,'316'!$M$56,'316'!$M$58,'316'!$M$63</definedName>
    <definedName name="OSRRefE20x_8" localSheetId="62">'317'!$M$32,'317'!$M$43,'317'!$M$54,'317'!$M$56,'317'!$M$58,'317'!$M$60,'317'!$M$62,'317'!$M$64,'317'!$M$66,'317'!$M$69</definedName>
    <definedName name="OSRRefE20x_8" localSheetId="66">'321'!$M$21,'321'!$M$30,'321'!$M$41,'321'!$M$43,'321'!$M$45,'321'!$M$47,'321'!$M$49,'321'!$M$52,'321'!$M$54,'321'!$M$56,'321'!$M$59,'321'!$M$61</definedName>
    <definedName name="OSRRefE20x_8" localSheetId="67">'325'!$M$22,'325'!$M$31,'325'!$M$42,'325'!$M$44,'325'!$M$46,'325'!$M$49,'325'!$M$51,'325'!$M$53,'325'!$M$55,'325'!$M$57,'325'!$M$59,'325'!$M$62,'325'!$M$65,'325'!$M$71,'325'!$M$74</definedName>
    <definedName name="OSRRefE20x_8" localSheetId="58">'326'!$M$23,'326'!$M$33,'326'!$M$44,'326'!$M$46,'326'!$M$48,'326'!$M$50,'326'!$M$52,'326'!$M$54,'326'!$M$56,'326'!$M$58,'326'!$M$60,'326'!$M$63,'326'!$M$66,'326'!$M$69,'326'!$M$73,'326'!$M$75,'326'!$M$78</definedName>
    <definedName name="OSRRefE20x_8" localSheetId="68">'327'!$M$20</definedName>
    <definedName name="OSRRefE20x_8" localSheetId="51">'330'!$M$21,'330'!$M$30,'330'!$M$41,'330'!$M$43,'330'!$M$45,'330'!$M$47,'330'!$M$49,'330'!$M$51,'330'!$M$53,'330'!$M$57</definedName>
    <definedName name="OSRRefE20x_8" localSheetId="56">'331'!$M$37,'331'!$M$47,'331'!$M$58,'331'!$M$60,'331'!$M$62,'331'!$M$64,'331'!$M$66,'331'!$M$69,'331'!$M$72,'331'!$M$74,'331'!$M$76,'331'!$M$78,'331'!$M$80,'331'!$M$83,'331'!$M$87,'331'!$M$90,'331'!$M$93,'331'!$M$98,'331'!$M$100,'331'!$M$103</definedName>
    <definedName name="OSRRefE20x_8" localSheetId="59">'332'!$M$22,'332'!$M$32,'332'!$M$43,'332'!$M$45,'332'!$M$47,'332'!$M$49,'332'!$M$52,'332'!$M$56,'332'!$M$58,'332'!$M$63</definedName>
    <definedName name="OSRRefE20x_8" localSheetId="72">'405'!$M$21,'405'!$M$31,'405'!$M$42,'405'!$M$44,'405'!$M$46,'405'!$M$49,'405'!$M$51,'405'!$M$53,'405'!$M$55,'405'!$M$58,'405'!$M$62,'405'!$M$64,'405'!$M$72,'405'!$M$74,'405'!$M$76,'405'!$M$78</definedName>
    <definedName name="OSRRefE20x_8" localSheetId="73">'411'!$M$18,'411'!$M$28,'411'!$M$39,'411'!$M$41,'411'!$M$44,'411'!$M$46,'411'!$M$48,'411'!$M$50,'411'!$M$54,'411'!$M$57,'411'!$M$59,'411'!$M$61,'411'!$M$63</definedName>
    <definedName name="OSRRefE20x_8" localSheetId="74">'412'!$M$18,'412'!$M$20</definedName>
    <definedName name="OSRRefE20x_8" localSheetId="75">'413'!$M$18</definedName>
    <definedName name="OSRRefE20x_8" localSheetId="76">'415'!$M$25,'415'!$M$35,'415'!$M$46,'415'!$M$48,'415'!$M$50,'415'!$M$52,'415'!$M$55,'415'!$M$57,'415'!$M$59,'415'!$M$61,'415'!$M$63,'415'!$M$65,'415'!$M$68,'415'!$M$73,'415'!$M$75,'415'!$M$82,'415'!$M$85,'415'!$M$87</definedName>
    <definedName name="OSRRefE20x_8" localSheetId="77">'418'!$M$21,'418'!$M$31,'418'!$M$42,'418'!$M$44,'418'!$M$46,'418'!$M$49,'418'!$M$51,'418'!$M$53,'418'!$M$56,'418'!$M$59,'418'!$M$63,'418'!$M$65,'418'!$M$73,'418'!$M$76,'418'!$M$78,'418'!$M$80</definedName>
    <definedName name="OSRRefE20x_8" localSheetId="78">'423'!$M$18,'423'!$M$27,'423'!$M$38,'423'!$M$40</definedName>
    <definedName name="OSRRefE20x_8" localSheetId="79">'424'!$M$18</definedName>
    <definedName name="OSRRefE20x_8" localSheetId="80">'425'!$M$19</definedName>
    <definedName name="OSRRefE20x_8" localSheetId="83">'430'!$M$18,'430'!$M$28,'430'!$M$39,'430'!$M$41,'430'!$M$43,'430'!$M$45,'430'!$M$48</definedName>
    <definedName name="OSRRefE20x_8" localSheetId="84">'433'!$M$20,'433'!$M$31,'433'!$M$42,'433'!$M$44,'433'!$M$46,'433'!$M$48,'433'!$M$50,'433'!$M$52,'433'!$M$54,'433'!$M$56,'433'!$M$58,'433'!$M$60,'433'!$M$64,'433'!$M$69,'433'!$M$76,'433'!$M$78</definedName>
    <definedName name="OSRRefE20x_8" localSheetId="85">'444'!$M$25,'444'!$M$36,'444'!$M$47,'444'!$M$49,'444'!$M$51,'444'!$M$53,'444'!$M$55,'444'!$M$57,'444'!$M$59,'444'!$M$61,'444'!$M$63,'444'!$M$65,'444'!$M$68,'444'!$M$73,'444'!$M$75,'444'!$M$82,'444'!$M$84</definedName>
    <definedName name="OSRRefE20x_8" localSheetId="86">'450'!$M$20,'450'!$M$31,'450'!$M$42,'450'!$M$44,'450'!$M$46,'450'!$M$48,'450'!$M$50,'450'!$M$52,'450'!$M$54,'450'!$M$56,'450'!$M$58,'450'!$M$60,'450'!$M$63,'450'!$M$68,'450'!$M$75,'450'!$M$77</definedName>
    <definedName name="OSRRefE20x_8" localSheetId="71">'491'!$M$25,'491'!$M$35,'491'!$M$46,'491'!$M$48,'491'!$M$50,'491'!$M$52,'491'!$M$55,'491'!$M$57,'491'!$M$59,'491'!$M$62,'491'!$M$64,'491'!$M$66,'491'!$M$68,'491'!$M$72,'491'!$M$78,'491'!$M$80,'491'!$M$90,'491'!$M$93,'491'!$M$95,'491'!$M$97</definedName>
    <definedName name="OSRRefE20x_8" localSheetId="82">'492'!$M$25,'492'!$M$36,'492'!$M$47,'492'!$M$49,'492'!$M$51,'492'!$M$53,'492'!$M$55,'492'!$M$57,'492'!$M$59,'492'!$M$61,'492'!$M$63,'492'!$M$65,'492'!$M$67,'492'!$M$71,'492'!$M$76,'492'!$M$78,'492'!$M$86,'492'!$M$89</definedName>
    <definedName name="OSRRefE20x_8" localSheetId="88">'501'!$M$19,'501'!$M$29,'501'!$M$40,'501'!$M$42,'501'!$M$44,'501'!$M$46,'501'!$M$48,'501'!$M$50,'501'!$M$52,'501'!$M$54,'501'!$M$58,'501'!$M$60,'501'!$M$63,'501'!$M$65</definedName>
    <definedName name="OSRRefE20x_8" localSheetId="39">'Div 2'!$M$18,'Div 2'!$M$30,'Div 2'!$M$41,'Div 2'!$M$43,'Div 2'!$M$45,'Div 2'!$M$47,'Div 2'!$M$50,'Div 2'!$M$52,'Div 2'!$M$54,'Div 2'!$M$56,'Div 2'!$M$58,'Div 2'!$M$60,'Div 2'!$M$62,'Div 2'!$M$67,'Div 2'!$M$72,'Div 2'!$M$75,'Div 2'!$M$78,'Div 2'!$M$84,'Div 2'!$M$87,'Div 2'!$M$89</definedName>
    <definedName name="OSRRefE20x_8" localSheetId="41">'Div 3'!$M$45,'Div 3'!$M$56,'Div 3'!$M$67,'Div 3'!$M$69,'Div 3'!$M$71,'Div 3'!$M$73,'Div 3'!$M$76,'Div 3'!$M$79,'Div 3'!$M$81,'Div 3'!$M$83,'Div 3'!$M$85,'Div 3'!$M$88,'Div 3'!$M$91,'Div 3'!$M$93,'Div 3'!$M$95,'Div 3'!$M$97,'Div 3'!$M$99,'Div 3'!$M$101,'Div 3'!$M$106,'Div 3'!$M$111,'Div 3'!$M$116,'Div 3'!$M$119,'Div 3'!$M$127,'Div 3'!$M$130,'Div 3'!$M$132,'Div 3'!$M$136</definedName>
    <definedName name="OSRRefE20x_8" localSheetId="69">'Div 4'!$M$27,'Div 4'!$M$38,'Div 4'!$M$49,'Div 4'!$M$51,'Div 4'!$M$53,'Div 4'!$M$55,'Div 4'!$M$58,'Div 4'!$M$60,'Div 4'!$M$62,'Div 4'!$M$64,'Div 4'!$M$67,'Div 4'!$M$69,'Div 4'!$M$71,'Div 4'!$M$73,'Div 4'!$M$75,'Div 4'!$M$80,'Div 4'!$M$86,'Div 4'!$M$89,'Div 4'!$M$100,'Div 4'!$M$103,'Div 4'!$M$105,'Div 4'!$M$107</definedName>
    <definedName name="OSRRefE20x_8" localSheetId="87">'Div 5'!$M$19,'Div 5'!$M$29,'Div 5'!$M$40,'Div 5'!$M$42,'Div 5'!$M$44,'Div 5'!$M$46,'Div 5'!$M$48,'Div 5'!$M$50,'Div 5'!$M$52,'Div 5'!$M$54,'Div 5'!$M$58,'Div 5'!$M$60,'Div 5'!$M$63,'Div 5'!$M$65</definedName>
    <definedName name="OSRRefE20x_8" localSheetId="61">'Div 6'!$M$32,'Div 6'!$M$43,'Div 6'!$M$54,'Div 6'!$M$56,'Div 6'!$M$58,'Div 6'!$M$60,'Div 6'!$M$62,'Div 6'!$M$64,'Div 6'!$M$66,'Div 6'!$M$69</definedName>
    <definedName name="OSRRefE20x_8" localSheetId="2">Summary!$M$56,Summary!$M$67,Summary!$M$78,Summary!$M$80,Summary!$M$82,Summary!$M$84,Summary!$M$87,Summary!$M$90,Summary!$M$92,Summary!$M$94,Summary!$M$96,Summary!$M$99,Summary!$M$103,Summary!$M$105,Summary!$M$107,Summary!$M$109,Summary!$M$111,Summary!$M$113,Summary!$M$115,Summary!$M$120,Summary!$M$125,Summary!$M$131,Summary!$M$134,Summary!$M$145,Summary!$M$148,Summary!$M$150,Summary!$M$154</definedName>
    <definedName name="OSRRefE20x_9" localSheetId="40">'200'!$N$18,'200'!$N$20,'200'!$N$22,'200'!$N$24</definedName>
    <definedName name="OSRRefE20x_9" localSheetId="42">'201'!$N$18,'201'!$N$28,'201'!$N$39,'201'!$N$41,'201'!$N$43,'201'!$N$45,'201'!$N$47,'201'!$N$49,'201'!$N$51,'201'!$N$53,'201'!$N$57,'201'!$N$59,'201'!$N$61,'201'!$N$64,'201'!$N$66,'201'!$N$68</definedName>
    <definedName name="OSRRefE20x_9" localSheetId="43">'202'!$N$18,'202'!$N$28,'202'!$N$39,'202'!$N$41,'202'!$N$43,'202'!$N$45,'202'!$N$47,'202'!$N$51,'202'!$N$53,'202'!$N$55,'202'!$N$57,'202'!$N$59</definedName>
    <definedName name="OSRRefE20x_9" localSheetId="44">'203'!$N$18,'203'!$N$29,'203'!$N$40,'203'!$N$42,'203'!$N$44,'203'!$N$46,'203'!$N$48,'203'!$N$50,'203'!$N$52,'203'!$N$56,'203'!$N$58,'203'!$N$60,'203'!$N$65,'203'!$N$67,'203'!$N$69</definedName>
    <definedName name="OSRRefE20x_9" localSheetId="45">'204'!$N$18,'204'!$N$28,'204'!$N$39,'204'!$N$42,'204'!$N$44,'204'!$N$48,'204'!$N$51,'204'!$N$53,'204'!$N$56</definedName>
    <definedName name="OSRRefE20x_9" localSheetId="46">'205'!$N$18,'205'!$N$28,'205'!$N$39,'205'!$N$41,'205'!$N$43,'205'!$N$47,'205'!$N$49,'205'!$N$51</definedName>
    <definedName name="OSRRefE20x_9" localSheetId="47">'206'!$N$18,'206'!$N$28,'206'!$N$39,'206'!$N$41,'206'!$N$43,'206'!$N$45</definedName>
    <definedName name="OSRRefE20x_9" localSheetId="48">'300'!$N$44,'300'!$N$55,'300'!$N$66,'300'!$N$68,'300'!$N$70,'300'!$N$72,'300'!$N$75,'300'!$N$78,'300'!$N$80,'300'!$N$82,'300'!$N$84,'300'!$N$87,'300'!$N$90,'300'!$N$92,'300'!$N$94,'300'!$N$96,'300'!$N$98,'300'!$N$103,'300'!$N$108,'300'!$N$112,'300'!$N$115,'300'!$N$123,'300'!$N$126,'300'!$N$128,'300'!$N$132</definedName>
    <definedName name="OSRRefE20x_9" localSheetId="49">'300 &amp; 317'!$N$50,'300 &amp; 317'!$N$61,'300 &amp; 317'!$N$72,'300 &amp; 317'!$N$74,'300 &amp; 317'!$N$76,'300 &amp; 317'!$N$78,'300 &amp; 317'!$N$81,'300 &amp; 317'!$N$84,'300 &amp; 317'!$N$86,'300 &amp; 317'!$N$88,'300 &amp; 317'!$N$90,'300 &amp; 317'!$N$93,'300 &amp; 317'!$N$96,'300 &amp; 317'!$N$98,'300 &amp; 317'!$N$100,'300 &amp; 317'!$N$102,'300 &amp; 317'!$N$104,'300 &amp; 317'!$N$109,'300 &amp; 317'!$N$114,'300 &amp; 317'!$N$118,'300 &amp; 317'!$N$121,'300 &amp; 317'!$N$129,'300 &amp; 317'!$N$132,'300 &amp; 317'!$N$134,'300 &amp; 317'!$N$138</definedName>
    <definedName name="OSRRefE20x_9" localSheetId="50">'301'!$N$18,'301'!$N$29,'301'!$N$40,'301'!$N$42,'301'!$N$44,'301'!$N$47,'301'!$N$49,'301'!$N$51,'301'!$N$53,'301'!$N$55,'301'!$N$57,'301'!$N$59,'301'!$N$61,'301'!$N$63,'301'!$N$68,'301'!$N$71,'301'!$N$73,'301'!$N$79,'301'!$N$81,'301'!$N$83,'301'!$N$85</definedName>
    <definedName name="OSRRefE20x_9" localSheetId="52">'307'!$N$21,'307'!$N$30,'307'!$N$41,'307'!$N$43,'307'!$N$45,'307'!$N$47,'307'!$N$49,'307'!$N$51,'307'!$N$53,'307'!$N$57</definedName>
    <definedName name="OSRRefE20x_9" localSheetId="53">'308'!$N$32,'308'!$N$43,'308'!$N$54,'308'!$N$56,'308'!$N$58,'308'!$N$60,'308'!$N$62,'308'!$N$64,'308'!$N$66,'308'!$N$70,'308'!$N$73,'308'!$N$76,'308'!$N$79</definedName>
    <definedName name="OSRRefE20x_9" localSheetId="64">'309'!$N$18,'309'!$N$20,'309'!$N$22</definedName>
    <definedName name="OSRRefE20x_9" localSheetId="63">'310'!$N$22,'310'!$N$31,'310'!$N$42,'310'!$N$44,'310'!$N$46,'310'!$N$48,'310'!$N$51,'310'!$N$53,'310'!$N$55,'310'!$N$57,'310'!$N$59,'310'!$N$61,'310'!$N$65,'310'!$N$67,'310'!$N$70,'310'!$N$76,'310'!$N$79,'310'!$N$81</definedName>
    <definedName name="OSRRefE20x_9" localSheetId="70">'310 &amp; 491'!$N$25,'310 &amp; 491'!$N$35,'310 &amp; 491'!$N$46,'310 &amp; 491'!$N$48,'310 &amp; 491'!$N$50,'310 &amp; 491'!$N$52,'310 &amp; 491'!$N$55,'310 &amp; 491'!$N$57,'310 &amp; 491'!$N$59,'310 &amp; 491'!$N$62,'310 &amp; 491'!$N$64,'310 &amp; 491'!$N$66,'310 &amp; 491'!$N$68,'310 &amp; 491'!$N$73,'310 &amp; 491'!$N$75,'310 &amp; 491'!$N$81,'310 &amp; 491'!$N$83,'310 &amp; 491'!$N$94,'310 &amp; 491'!$N$97,'310 &amp; 491'!$N$99,'310 &amp; 491'!$N$101</definedName>
    <definedName name="OSRRefE20x_9" localSheetId="54">'311'!$N$32,'311'!$N$43,'311'!$N$54,'311'!$N$56,'311'!$N$58,'311'!$N$60,'311'!$N$62,'311'!$N$64,'311'!$N$66,'311'!$N$70,'311'!$N$73,'311'!$N$76,'311'!$N$79</definedName>
    <definedName name="OSRRefE20x_9" localSheetId="65">'313'!$N$18</definedName>
    <definedName name="OSRRefE20x_9" localSheetId="57">'315'!$N$37,'315'!$N$47,'315'!$N$58,'315'!$N$60,'315'!$N$62,'315'!$N$64,'315'!$N$66,'315'!$N$69,'315'!$N$71,'315'!$N$73,'315'!$N$75,'315'!$N$77,'315'!$N$81,'315'!$N$84,'315'!$N$88,'315'!$N$90</definedName>
    <definedName name="OSRRefE20x_9" localSheetId="60">'316'!$N$22,'316'!$N$32,'316'!$N$43,'316'!$N$45,'316'!$N$47,'316'!$N$49,'316'!$N$52,'316'!$N$56,'316'!$N$58,'316'!$N$63</definedName>
    <definedName name="OSRRefE20x_9" localSheetId="62">'317'!$N$32,'317'!$N$43,'317'!$N$54,'317'!$N$56,'317'!$N$58,'317'!$N$60,'317'!$N$62,'317'!$N$64,'317'!$N$66,'317'!$N$69</definedName>
    <definedName name="OSRRefE20x_9" localSheetId="66">'321'!$N$21,'321'!$N$30,'321'!$N$41,'321'!$N$43,'321'!$N$45,'321'!$N$47,'321'!$N$49,'321'!$N$52,'321'!$N$54,'321'!$N$56,'321'!$N$59,'321'!$N$61</definedName>
    <definedName name="OSRRefE20x_9" localSheetId="67">'325'!$N$22,'325'!$N$31,'325'!$N$42,'325'!$N$44,'325'!$N$46,'325'!$N$49,'325'!$N$51,'325'!$N$53,'325'!$N$55,'325'!$N$57,'325'!$N$59,'325'!$N$62,'325'!$N$65,'325'!$N$71,'325'!$N$74</definedName>
    <definedName name="OSRRefE20x_9" localSheetId="58">'326'!$N$23,'326'!$N$33,'326'!$N$44,'326'!$N$46,'326'!$N$48,'326'!$N$50,'326'!$N$52,'326'!$N$54,'326'!$N$56,'326'!$N$58,'326'!$N$60,'326'!$N$63,'326'!$N$66,'326'!$N$69,'326'!$N$73,'326'!$N$75,'326'!$N$78</definedName>
    <definedName name="OSRRefE20x_9" localSheetId="68">'327'!$N$20</definedName>
    <definedName name="OSRRefE20x_9" localSheetId="51">'330'!$N$21,'330'!$N$30,'330'!$N$41,'330'!$N$43,'330'!$N$45,'330'!$N$47,'330'!$N$49,'330'!$N$51,'330'!$N$53,'330'!$N$57</definedName>
    <definedName name="OSRRefE20x_9" localSheetId="56">'331'!$N$37,'331'!$N$47,'331'!$N$58,'331'!$N$60,'331'!$N$62,'331'!$N$64,'331'!$N$66,'331'!$N$69,'331'!$N$72,'331'!$N$74,'331'!$N$76,'331'!$N$78,'331'!$N$80,'331'!$N$83,'331'!$N$87,'331'!$N$90,'331'!$N$93,'331'!$N$98,'331'!$N$100,'331'!$N$103</definedName>
    <definedName name="OSRRefE20x_9" localSheetId="59">'332'!$N$22,'332'!$N$32,'332'!$N$43,'332'!$N$45,'332'!$N$47,'332'!$N$49,'332'!$N$52,'332'!$N$56,'332'!$N$58,'332'!$N$63</definedName>
    <definedName name="OSRRefE20x_9" localSheetId="72">'405'!$N$21,'405'!$N$31,'405'!$N$42,'405'!$N$44,'405'!$N$46,'405'!$N$49,'405'!$N$51,'405'!$N$53,'405'!$N$55,'405'!$N$58,'405'!$N$62,'405'!$N$64,'405'!$N$72,'405'!$N$74,'405'!$N$76,'405'!$N$78</definedName>
    <definedName name="OSRRefE20x_9" localSheetId="73">'411'!$N$18,'411'!$N$28,'411'!$N$39,'411'!$N$41,'411'!$N$44,'411'!$N$46,'411'!$N$48,'411'!$N$50,'411'!$N$54,'411'!$N$57,'411'!$N$59,'411'!$N$61,'411'!$N$63</definedName>
    <definedName name="OSRRefE20x_9" localSheetId="74">'412'!$N$18,'412'!$N$20</definedName>
    <definedName name="OSRRefE20x_9" localSheetId="75">'413'!$N$18</definedName>
    <definedName name="OSRRefE20x_9" localSheetId="76">'415'!$N$25,'415'!$N$35,'415'!$N$46,'415'!$N$48,'415'!$N$50,'415'!$N$52,'415'!$N$55,'415'!$N$57,'415'!$N$59,'415'!$N$61,'415'!$N$63,'415'!$N$65,'415'!$N$68,'415'!$N$73,'415'!$N$75,'415'!$N$82,'415'!$N$85,'415'!$N$87</definedName>
    <definedName name="OSRRefE20x_9" localSheetId="77">'418'!$N$21,'418'!$N$31,'418'!$N$42,'418'!$N$44,'418'!$N$46,'418'!$N$49,'418'!$N$51,'418'!$N$53,'418'!$N$56,'418'!$N$59,'418'!$N$63,'418'!$N$65,'418'!$N$73,'418'!$N$76,'418'!$N$78,'418'!$N$80</definedName>
    <definedName name="OSRRefE20x_9" localSheetId="78">'423'!$N$18,'423'!$N$27,'423'!$N$38,'423'!$N$40</definedName>
    <definedName name="OSRRefE20x_9" localSheetId="79">'424'!$N$18</definedName>
    <definedName name="OSRRefE20x_9" localSheetId="80">'425'!$N$19</definedName>
    <definedName name="OSRRefE20x_9" localSheetId="83">'430'!$N$18,'430'!$N$28,'430'!$N$39,'430'!$N$41,'430'!$N$43,'430'!$N$45,'430'!$N$48</definedName>
    <definedName name="OSRRefE20x_9" localSheetId="84">'433'!$N$20,'433'!$N$31,'433'!$N$42,'433'!$N$44,'433'!$N$46,'433'!$N$48,'433'!$N$50,'433'!$N$52,'433'!$N$54,'433'!$N$56,'433'!$N$58,'433'!$N$60,'433'!$N$64,'433'!$N$69,'433'!$N$76,'433'!$N$78</definedName>
    <definedName name="OSRRefE20x_9" localSheetId="85">'444'!$N$25,'444'!$N$36,'444'!$N$47,'444'!$N$49,'444'!$N$51,'444'!$N$53,'444'!$N$55,'444'!$N$57,'444'!$N$59,'444'!$N$61,'444'!$N$63,'444'!$N$65,'444'!$N$68,'444'!$N$73,'444'!$N$75,'444'!$N$82,'444'!$N$84</definedName>
    <definedName name="OSRRefE20x_9" localSheetId="86">'450'!$N$20,'450'!$N$31,'450'!$N$42,'450'!$N$44,'450'!$N$46,'450'!$N$48,'450'!$N$50,'450'!$N$52,'450'!$N$54,'450'!$N$56,'450'!$N$58,'450'!$N$60,'450'!$N$63,'450'!$N$68,'450'!$N$75,'450'!$N$77</definedName>
    <definedName name="OSRRefE20x_9" localSheetId="71">'491'!$N$25,'491'!$N$35,'491'!$N$46,'491'!$N$48,'491'!$N$50,'491'!$N$52,'491'!$N$55,'491'!$N$57,'491'!$N$59,'491'!$N$62,'491'!$N$64,'491'!$N$66,'491'!$N$68,'491'!$N$72,'491'!$N$78,'491'!$N$80,'491'!$N$90,'491'!$N$93,'491'!$N$95,'491'!$N$97</definedName>
    <definedName name="OSRRefE20x_9" localSheetId="82">'492'!$N$25,'492'!$N$36,'492'!$N$47,'492'!$N$49,'492'!$N$51,'492'!$N$53,'492'!$N$55,'492'!$N$57,'492'!$N$59,'492'!$N$61,'492'!$N$63,'492'!$N$65,'492'!$N$67,'492'!$N$71,'492'!$N$76,'492'!$N$78,'492'!$N$86,'492'!$N$89</definedName>
    <definedName name="OSRRefE20x_9" localSheetId="88">'501'!$N$19,'501'!$N$29,'501'!$N$40,'501'!$N$42,'501'!$N$44,'501'!$N$46,'501'!$N$48,'501'!$N$50,'501'!$N$52,'501'!$N$54,'501'!$N$58,'501'!$N$60,'501'!$N$63,'501'!$N$65</definedName>
    <definedName name="OSRRefE20x_9" localSheetId="39">'Div 2'!$N$18,'Div 2'!$N$30,'Div 2'!$N$41,'Div 2'!$N$43,'Div 2'!$N$45,'Div 2'!$N$47,'Div 2'!$N$50,'Div 2'!$N$52,'Div 2'!$N$54,'Div 2'!$N$56,'Div 2'!$N$58,'Div 2'!$N$60,'Div 2'!$N$62,'Div 2'!$N$67,'Div 2'!$N$72,'Div 2'!$N$75,'Div 2'!$N$78,'Div 2'!$N$84,'Div 2'!$N$87,'Div 2'!$N$89</definedName>
    <definedName name="OSRRefE20x_9" localSheetId="41">'Div 3'!$N$45,'Div 3'!$N$56,'Div 3'!$N$67,'Div 3'!$N$69,'Div 3'!$N$71,'Div 3'!$N$73,'Div 3'!$N$76,'Div 3'!$N$79,'Div 3'!$N$81,'Div 3'!$N$83,'Div 3'!$N$85,'Div 3'!$N$88,'Div 3'!$N$91,'Div 3'!$N$93,'Div 3'!$N$95,'Div 3'!$N$97,'Div 3'!$N$99,'Div 3'!$N$101,'Div 3'!$N$106,'Div 3'!$N$111,'Div 3'!$N$116,'Div 3'!$N$119,'Div 3'!$N$127,'Div 3'!$N$130,'Div 3'!$N$132,'Div 3'!$N$136</definedName>
    <definedName name="OSRRefE20x_9" localSheetId="69">'Div 4'!$N$27,'Div 4'!$N$38,'Div 4'!$N$49,'Div 4'!$N$51,'Div 4'!$N$53,'Div 4'!$N$55,'Div 4'!$N$58,'Div 4'!$N$60,'Div 4'!$N$62,'Div 4'!$N$64,'Div 4'!$N$67,'Div 4'!$N$69,'Div 4'!$N$71,'Div 4'!$N$73,'Div 4'!$N$75,'Div 4'!$N$80,'Div 4'!$N$86,'Div 4'!$N$89,'Div 4'!$N$100,'Div 4'!$N$103,'Div 4'!$N$105,'Div 4'!$N$107</definedName>
    <definedName name="OSRRefE20x_9" localSheetId="87">'Div 5'!$N$19,'Div 5'!$N$29,'Div 5'!$N$40,'Div 5'!$N$42,'Div 5'!$N$44,'Div 5'!$N$46,'Div 5'!$N$48,'Div 5'!$N$50,'Div 5'!$N$52,'Div 5'!$N$54,'Div 5'!$N$58,'Div 5'!$N$60,'Div 5'!$N$63,'Div 5'!$N$65</definedName>
    <definedName name="OSRRefE20x_9" localSheetId="61">'Div 6'!$N$32,'Div 6'!$N$43,'Div 6'!$N$54,'Div 6'!$N$56,'Div 6'!$N$58,'Div 6'!$N$60,'Div 6'!$N$62,'Div 6'!$N$64,'Div 6'!$N$66,'Div 6'!$N$69</definedName>
    <definedName name="OSRRefE20x_9" localSheetId="2">Summary!$N$56,Summary!$N$67,Summary!$N$78,Summary!$N$80,Summary!$N$82,Summary!$N$84,Summary!$N$87,Summary!$N$90,Summary!$N$92,Summary!$N$94,Summary!$N$96,Summary!$N$99,Summary!$N$103,Summary!$N$105,Summary!$N$107,Summary!$N$109,Summary!$N$111,Summary!$N$113,Summary!$N$115,Summary!$N$120,Summary!$N$125,Summary!$N$131,Summary!$N$134,Summary!$N$145,Summary!$N$148,Summary!$N$150,Summary!$N$154</definedName>
    <definedName name="OSRRefE21_0_0x" localSheetId="40">'200'!$E$19:$O$19</definedName>
    <definedName name="OSRRefE21_0_0x" localSheetId="42">'201'!$E$19:$O$19</definedName>
    <definedName name="OSRRefE21_0_0x" localSheetId="43">'202'!$E$19:$O$19</definedName>
    <definedName name="OSRRefE21_0_0x" localSheetId="44">'203'!$E$19:$O$19</definedName>
    <definedName name="OSRRefE21_0_0x" localSheetId="45">'204'!$E$19:$O$19</definedName>
    <definedName name="OSRRefE21_0_0x" localSheetId="46">'205'!$E$19:$O$19</definedName>
    <definedName name="OSRRefE21_0_0x" localSheetId="47">'206'!$E$19:$O$19</definedName>
    <definedName name="OSRRefE21_0_0x" localSheetId="48">'300'!$E$45:$O$45</definedName>
    <definedName name="OSRRefE21_0_0x" localSheetId="49">'300 &amp; 317'!$E$51:$O$51</definedName>
    <definedName name="OSRRefE21_0_0x" localSheetId="50">'301'!$E$19:$O$19</definedName>
    <definedName name="OSRRefE21_0_0x" localSheetId="52">'307'!$E$22:$O$22</definedName>
    <definedName name="OSRRefE21_0_0x" localSheetId="53">'308'!$E$33:$O$33</definedName>
    <definedName name="OSRRefE21_0_0x" localSheetId="64">'309'!$E$19:$O$19</definedName>
    <definedName name="OSRRefE21_0_0x" localSheetId="63">'310'!$E$23:$O$23</definedName>
    <definedName name="OSRRefE21_0_0x" localSheetId="70">'310 &amp; 491'!$E$26:$O$26</definedName>
    <definedName name="OSRRefE21_0_0x" localSheetId="54">'311'!$E$33:$O$33</definedName>
    <definedName name="OSRRefE21_0_0x" localSheetId="65">'313'!$E$19:$O$19</definedName>
    <definedName name="OSRRefE21_0_0x" localSheetId="57">'315'!$E$38:$O$38</definedName>
    <definedName name="OSRRefE21_0_0x" localSheetId="60">'316'!$E$23:$O$23</definedName>
    <definedName name="OSRRefE21_0_0x" localSheetId="62">'317'!$E$33:$O$33</definedName>
    <definedName name="OSRRefE21_0_0x" localSheetId="66">'321'!$E$22:$O$22</definedName>
    <definedName name="OSRRefE21_0_0x" localSheetId="67">'325'!$E$23:$O$23</definedName>
    <definedName name="OSRRefE21_0_0x" localSheetId="58">'326'!$E$24:$O$24</definedName>
    <definedName name="OSRRefE21_0_0x" localSheetId="68">'327'!$E$21:$O$21</definedName>
    <definedName name="OSRRefE21_0_0x" localSheetId="51">'330'!$E$22:$O$22</definedName>
    <definedName name="OSRRefE21_0_0x" localSheetId="56">'331'!$E$38:$O$38</definedName>
    <definedName name="OSRRefE21_0_0x" localSheetId="59">'332'!$E$23:$O$23</definedName>
    <definedName name="OSRRefE21_0_0x" localSheetId="72">'405'!$E$22:$O$22</definedName>
    <definedName name="OSRRefE21_0_0x" localSheetId="73">'411'!$E$19:$O$19</definedName>
    <definedName name="OSRRefE21_0_0x" localSheetId="74">'412'!$E$19:$O$19</definedName>
    <definedName name="OSRRefE21_0_0x" localSheetId="75">'413'!$E$19:$O$19</definedName>
    <definedName name="OSRRefE21_0_0x" localSheetId="76">'415'!$E$26:$O$26</definedName>
    <definedName name="OSRRefE21_0_0x" localSheetId="77">'418'!$E$22:$O$22</definedName>
    <definedName name="OSRRefE21_0_0x" localSheetId="78">'423'!$E$19:$O$19</definedName>
    <definedName name="OSRRefE21_0_0x" localSheetId="79">'424'!$E$19:$O$19</definedName>
    <definedName name="OSRRefE21_0_0x" localSheetId="80">'425'!$E$20:$O$20</definedName>
    <definedName name="OSRRefE21_0_0x" localSheetId="83">'430'!$E$19:$O$19</definedName>
    <definedName name="OSRRefE21_0_0x" localSheetId="84">'433'!$E$21:$O$21</definedName>
    <definedName name="OSRRefE21_0_0x" localSheetId="85">'444'!$E$26:$O$26</definedName>
    <definedName name="OSRRefE21_0_0x" localSheetId="86">'450'!$E$21:$O$21</definedName>
    <definedName name="OSRRefE21_0_0x" localSheetId="71">'491'!$E$26:$O$26</definedName>
    <definedName name="OSRRefE21_0_0x" localSheetId="82">'492'!$E$26:$O$26</definedName>
    <definedName name="OSRRefE21_0_0x" localSheetId="88">'501'!$E$20:$O$20</definedName>
    <definedName name="OSRRefE21_0_0x" localSheetId="39">'Div 2'!$E$19:$O$19</definedName>
    <definedName name="OSRRefE21_0_0x" localSheetId="41">'Div 3'!$E$46:$O$46</definedName>
    <definedName name="OSRRefE21_0_0x" localSheetId="69">'Div 4'!$E$28:$O$28</definedName>
    <definedName name="OSRRefE21_0_0x" localSheetId="87">'Div 5'!$E$20:$O$20</definedName>
    <definedName name="OSRRefE21_0_0x" localSheetId="61">'Div 6'!$E$33:$O$33</definedName>
    <definedName name="OSRRefE21_0_0x" localSheetId="2">Summary!$E$57:$O$57</definedName>
    <definedName name="OSRRefE21_0_10x" localSheetId="39">'Div 2'!$E$29:$O$29</definedName>
    <definedName name="OSRRefE21_0_1x" localSheetId="42">'201'!$E$20:$O$20</definedName>
    <definedName name="OSRRefE21_0_1x" localSheetId="43">'202'!$E$20:$O$20</definedName>
    <definedName name="OSRRefE21_0_1x" localSheetId="44">'203'!$E$20:$O$20</definedName>
    <definedName name="OSRRefE21_0_1x" localSheetId="45">'204'!$E$20:$O$20</definedName>
    <definedName name="OSRRefE21_0_1x" localSheetId="46">'205'!$E$20:$O$20</definedName>
    <definedName name="OSRRefE21_0_1x" localSheetId="47">'206'!$E$20:$O$20</definedName>
    <definedName name="OSRRefE21_0_1x" localSheetId="48">'300'!$E$46:$O$46</definedName>
    <definedName name="OSRRefE21_0_1x" localSheetId="49">'300 &amp; 317'!$E$52:$O$52</definedName>
    <definedName name="OSRRefE21_0_1x" localSheetId="50">'301'!$E$20:$O$20</definedName>
    <definedName name="OSRRefE21_0_1x" localSheetId="52">'307'!$E$23:$O$23</definedName>
    <definedName name="OSRRefE21_0_1x" localSheetId="53">'308'!$E$34:$O$34</definedName>
    <definedName name="OSRRefE21_0_1x" localSheetId="63">'310'!$E$24:$O$24</definedName>
    <definedName name="OSRRefE21_0_1x" localSheetId="70">'310 &amp; 491'!$E$27:$O$27</definedName>
    <definedName name="OSRRefE21_0_1x" localSheetId="54">'311'!$E$34:$O$34</definedName>
    <definedName name="OSRRefE21_0_1x" localSheetId="57">'315'!$E$39:$O$39</definedName>
    <definedName name="OSRRefE21_0_1x" localSheetId="60">'316'!$E$24:$O$24</definedName>
    <definedName name="OSRRefE21_0_1x" localSheetId="62">'317'!$E$34:$O$34</definedName>
    <definedName name="OSRRefE21_0_1x" localSheetId="66">'321'!$E$23:$O$23</definedName>
    <definedName name="OSRRefE21_0_1x" localSheetId="67">'325'!$E$24:$O$24</definedName>
    <definedName name="OSRRefE21_0_1x" localSheetId="58">'326'!$E$25:$O$25</definedName>
    <definedName name="OSRRefE21_0_1x" localSheetId="51">'330'!$E$23:$O$23</definedName>
    <definedName name="OSRRefE21_0_1x" localSheetId="56">'331'!$E$39:$O$39</definedName>
    <definedName name="OSRRefE21_0_1x" localSheetId="59">'332'!$E$24:$O$24</definedName>
    <definedName name="OSRRefE21_0_1x" localSheetId="72">'405'!$E$23:$O$23</definedName>
    <definedName name="OSRRefE21_0_1x" localSheetId="73">'411'!$E$20:$O$20</definedName>
    <definedName name="OSRRefE21_0_1x" localSheetId="76">'415'!$E$27:$O$27</definedName>
    <definedName name="OSRRefE21_0_1x" localSheetId="77">'418'!$E$23:$O$23</definedName>
    <definedName name="OSRRefE21_0_1x" localSheetId="78">'423'!$E$20:$O$20</definedName>
    <definedName name="OSRRefE21_0_1x" localSheetId="83">'430'!$E$20:$O$20</definedName>
    <definedName name="OSRRefE21_0_1x" localSheetId="84">'433'!$E$22:$O$22</definedName>
    <definedName name="OSRRefE21_0_1x" localSheetId="85">'444'!$E$27:$O$27</definedName>
    <definedName name="OSRRefE21_0_1x" localSheetId="86">'450'!$E$22:$O$22</definedName>
    <definedName name="OSRRefE21_0_1x" localSheetId="71">'491'!$E$27:$O$27</definedName>
    <definedName name="OSRRefE21_0_1x" localSheetId="82">'492'!$E$27:$O$27</definedName>
    <definedName name="OSRRefE21_0_1x" localSheetId="88">'501'!$E$21:$O$21</definedName>
    <definedName name="OSRRefE21_0_1x" localSheetId="39">'Div 2'!$E$20:$O$20</definedName>
    <definedName name="OSRRefE21_0_1x" localSheetId="41">'Div 3'!$E$47:$O$47</definedName>
    <definedName name="OSRRefE21_0_1x" localSheetId="69">'Div 4'!$E$29:$O$29</definedName>
    <definedName name="OSRRefE21_0_1x" localSheetId="87">'Div 5'!$E$21:$O$21</definedName>
    <definedName name="OSRRefE21_0_1x" localSheetId="61">'Div 6'!$E$34:$O$34</definedName>
    <definedName name="OSRRefE21_0_1x" localSheetId="2">Summary!$E$58:$O$58</definedName>
    <definedName name="OSRRefE21_0_2x" localSheetId="42">'201'!$E$21:$O$21</definedName>
    <definedName name="OSRRefE21_0_2x" localSheetId="43">'202'!$E$21:$O$21</definedName>
    <definedName name="OSRRefE21_0_2x" localSheetId="44">'203'!$E$21:$O$21</definedName>
    <definedName name="OSRRefE21_0_2x" localSheetId="45">'204'!$E$21:$O$21</definedName>
    <definedName name="OSRRefE21_0_2x" localSheetId="46">'205'!$E$21:$O$21</definedName>
    <definedName name="OSRRefE21_0_2x" localSheetId="47">'206'!$E$21:$O$21</definedName>
    <definedName name="OSRRefE21_0_2x" localSheetId="48">'300'!$E$47:$O$47</definedName>
    <definedName name="OSRRefE21_0_2x" localSheetId="49">'300 &amp; 317'!$E$53:$O$53</definedName>
    <definedName name="OSRRefE21_0_2x" localSheetId="50">'301'!$E$21:$O$21</definedName>
    <definedName name="OSRRefE21_0_2x" localSheetId="52">'307'!$E$24:$O$24</definedName>
    <definedName name="OSRRefE21_0_2x" localSheetId="53">'308'!$E$35:$O$35</definedName>
    <definedName name="OSRRefE21_0_2x" localSheetId="63">'310'!$E$25:$O$25</definedName>
    <definedName name="OSRRefE21_0_2x" localSheetId="70">'310 &amp; 491'!$E$28:$O$28</definedName>
    <definedName name="OSRRefE21_0_2x" localSheetId="54">'311'!$E$35:$O$35</definedName>
    <definedName name="OSRRefE21_0_2x" localSheetId="57">'315'!$E$40:$O$40</definedName>
    <definedName name="OSRRefE21_0_2x" localSheetId="60">'316'!$E$25:$O$25</definedName>
    <definedName name="OSRRefE21_0_2x" localSheetId="62">'317'!$E$35:$O$35</definedName>
    <definedName name="OSRRefE21_0_2x" localSheetId="66">'321'!$E$24:$O$24</definedName>
    <definedName name="OSRRefE21_0_2x" localSheetId="67">'325'!$E$25:$O$25</definedName>
    <definedName name="OSRRefE21_0_2x" localSheetId="58">'326'!$E$26:$O$26</definedName>
    <definedName name="OSRRefE21_0_2x" localSheetId="51">'330'!$E$24:$O$24</definedName>
    <definedName name="OSRRefE21_0_2x" localSheetId="56">'331'!$E$40:$O$40</definedName>
    <definedName name="OSRRefE21_0_2x" localSheetId="59">'332'!$E$25:$O$25</definedName>
    <definedName name="OSRRefE21_0_2x" localSheetId="72">'405'!$E$24:$O$24</definedName>
    <definedName name="OSRRefE21_0_2x" localSheetId="73">'411'!$E$21:$O$21</definedName>
    <definedName name="OSRRefE21_0_2x" localSheetId="76">'415'!$E$28:$O$28</definedName>
    <definedName name="OSRRefE21_0_2x" localSheetId="77">'418'!$E$24:$O$24</definedName>
    <definedName name="OSRRefE21_0_2x" localSheetId="78">'423'!$E$21:$O$21</definedName>
    <definedName name="OSRRefE21_0_2x" localSheetId="83">'430'!$E$21:$O$21</definedName>
    <definedName name="OSRRefE21_0_2x" localSheetId="84">'433'!$E$23:$O$23</definedName>
    <definedName name="OSRRefE21_0_2x" localSheetId="85">'444'!$E$28:$O$28</definedName>
    <definedName name="OSRRefE21_0_2x" localSheetId="86">'450'!$E$23:$O$23</definedName>
    <definedName name="OSRRefE21_0_2x" localSheetId="71">'491'!$E$28:$O$28</definedName>
    <definedName name="OSRRefE21_0_2x" localSheetId="82">'492'!$E$28:$O$28</definedName>
    <definedName name="OSRRefE21_0_2x" localSheetId="88">'501'!$E$22:$O$22</definedName>
    <definedName name="OSRRefE21_0_2x" localSheetId="39">'Div 2'!$E$21:$O$21</definedName>
    <definedName name="OSRRefE21_0_2x" localSheetId="41">'Div 3'!$E$48:$O$48</definedName>
    <definedName name="OSRRefE21_0_2x" localSheetId="69">'Div 4'!$E$30:$O$30</definedName>
    <definedName name="OSRRefE21_0_2x" localSheetId="87">'Div 5'!$E$22:$O$22</definedName>
    <definedName name="OSRRefE21_0_2x" localSheetId="61">'Div 6'!$E$35:$O$35</definedName>
    <definedName name="OSRRefE21_0_2x" localSheetId="2">Summary!$E$59:$O$59</definedName>
    <definedName name="OSRRefE21_0_3x" localSheetId="42">'201'!$E$22:$O$22</definedName>
    <definedName name="OSRRefE21_0_3x" localSheetId="43">'202'!$E$22:$O$22</definedName>
    <definedName name="OSRRefE21_0_3x" localSheetId="44">'203'!$E$22:$O$22</definedName>
    <definedName name="OSRRefE21_0_3x" localSheetId="45">'204'!$E$22:$O$22</definedName>
    <definedName name="OSRRefE21_0_3x" localSheetId="46">'205'!$E$22:$O$22</definedName>
    <definedName name="OSRRefE21_0_3x" localSheetId="47">'206'!$E$22:$O$22</definedName>
    <definedName name="OSRRefE21_0_3x" localSheetId="48">'300'!$E$48:$O$48</definedName>
    <definedName name="OSRRefE21_0_3x" localSheetId="49">'300 &amp; 317'!$E$54:$O$54</definedName>
    <definedName name="OSRRefE21_0_3x" localSheetId="50">'301'!$E$22:$O$22</definedName>
    <definedName name="OSRRefE21_0_3x" localSheetId="52">'307'!$E$25:$O$25</definedName>
    <definedName name="OSRRefE21_0_3x" localSheetId="53">'308'!$E$36:$O$36</definedName>
    <definedName name="OSRRefE21_0_3x" localSheetId="63">'310'!$E$26:$O$26</definedName>
    <definedName name="OSRRefE21_0_3x" localSheetId="70">'310 &amp; 491'!$E$29:$O$29</definedName>
    <definedName name="OSRRefE21_0_3x" localSheetId="54">'311'!$E$36:$O$36</definedName>
    <definedName name="OSRRefE21_0_3x" localSheetId="57">'315'!$E$41:$O$41</definedName>
    <definedName name="OSRRefE21_0_3x" localSheetId="60">'316'!$E$26:$O$26</definedName>
    <definedName name="OSRRefE21_0_3x" localSheetId="62">'317'!$E$36:$O$36</definedName>
    <definedName name="OSRRefE21_0_3x" localSheetId="66">'321'!$E$25:$O$25</definedName>
    <definedName name="OSRRefE21_0_3x" localSheetId="67">'325'!$E$26:$O$26</definedName>
    <definedName name="OSRRefE21_0_3x" localSheetId="58">'326'!$E$27:$O$27</definedName>
    <definedName name="OSRRefE21_0_3x" localSheetId="51">'330'!$E$25:$O$25</definedName>
    <definedName name="OSRRefE21_0_3x" localSheetId="56">'331'!$E$41:$O$41</definedName>
    <definedName name="OSRRefE21_0_3x" localSheetId="59">'332'!$E$26:$O$26</definedName>
    <definedName name="OSRRefE21_0_3x" localSheetId="72">'405'!$E$25:$O$25</definedName>
    <definedName name="OSRRefE21_0_3x" localSheetId="73">'411'!$E$22:$O$22</definedName>
    <definedName name="OSRRefE21_0_3x" localSheetId="76">'415'!$E$29:$O$29</definedName>
    <definedName name="OSRRefE21_0_3x" localSheetId="77">'418'!$E$25:$O$25</definedName>
    <definedName name="OSRRefE21_0_3x" localSheetId="78">'423'!$E$22:$O$22</definedName>
    <definedName name="OSRRefE21_0_3x" localSheetId="83">'430'!$E$22:$O$22</definedName>
    <definedName name="OSRRefE21_0_3x" localSheetId="84">'433'!$E$24:$O$24</definedName>
    <definedName name="OSRRefE21_0_3x" localSheetId="85">'444'!$E$29:$O$29</definedName>
    <definedName name="OSRRefE21_0_3x" localSheetId="86">'450'!$E$24:$O$24</definedName>
    <definedName name="OSRRefE21_0_3x" localSheetId="71">'491'!$E$29:$O$29</definedName>
    <definedName name="OSRRefE21_0_3x" localSheetId="82">'492'!$E$29:$O$29</definedName>
    <definedName name="OSRRefE21_0_3x" localSheetId="88">'501'!$E$23:$O$23</definedName>
    <definedName name="OSRRefE21_0_3x" localSheetId="39">'Div 2'!$E$22:$O$22</definedName>
    <definedName name="OSRRefE21_0_3x" localSheetId="41">'Div 3'!$E$49:$O$49</definedName>
    <definedName name="OSRRefE21_0_3x" localSheetId="69">'Div 4'!$E$31:$O$31</definedName>
    <definedName name="OSRRefE21_0_3x" localSheetId="87">'Div 5'!$E$23:$O$23</definedName>
    <definedName name="OSRRefE21_0_3x" localSheetId="61">'Div 6'!$E$36:$O$36</definedName>
    <definedName name="OSRRefE21_0_3x" localSheetId="2">Summary!$E$60:$O$60</definedName>
    <definedName name="OSRRefE21_0_4x" localSheetId="42">'201'!$E$23:$O$23</definedName>
    <definedName name="OSRRefE21_0_4x" localSheetId="43">'202'!$E$23:$O$23</definedName>
    <definedName name="OSRRefE21_0_4x" localSheetId="44">'203'!$E$23:$O$23</definedName>
    <definedName name="OSRRefE21_0_4x" localSheetId="45">'204'!$E$23:$O$23</definedName>
    <definedName name="OSRRefE21_0_4x" localSheetId="46">'205'!$E$23:$O$23</definedName>
    <definedName name="OSRRefE21_0_4x" localSheetId="47">'206'!$E$23:$O$23</definedName>
    <definedName name="OSRRefE21_0_4x" localSheetId="48">'300'!$E$49:$O$49</definedName>
    <definedName name="OSRRefE21_0_4x" localSheetId="49">'300 &amp; 317'!$E$55:$O$55</definedName>
    <definedName name="OSRRefE21_0_4x" localSheetId="50">'301'!$E$23:$O$23</definedName>
    <definedName name="OSRRefE21_0_4x" localSheetId="52">'307'!$E$26:$O$26</definedName>
    <definedName name="OSRRefE21_0_4x" localSheetId="53">'308'!$E$37:$O$37</definedName>
    <definedName name="OSRRefE21_0_4x" localSheetId="63">'310'!$E$27:$O$27</definedName>
    <definedName name="OSRRefE21_0_4x" localSheetId="70">'310 &amp; 491'!$E$30:$O$30</definedName>
    <definedName name="OSRRefE21_0_4x" localSheetId="54">'311'!$E$37:$O$37</definedName>
    <definedName name="OSRRefE21_0_4x" localSheetId="57">'315'!$E$42:$O$42</definedName>
    <definedName name="OSRRefE21_0_4x" localSheetId="60">'316'!$E$27:$O$27</definedName>
    <definedName name="OSRRefE21_0_4x" localSheetId="62">'317'!$E$37:$O$37</definedName>
    <definedName name="OSRRefE21_0_4x" localSheetId="66">'321'!$E$26:$O$26</definedName>
    <definedName name="OSRRefE21_0_4x" localSheetId="67">'325'!$E$27:$O$27</definedName>
    <definedName name="OSRRefE21_0_4x" localSheetId="58">'326'!$E$28:$O$28</definedName>
    <definedName name="OSRRefE21_0_4x" localSheetId="51">'330'!$E$26:$O$26</definedName>
    <definedName name="OSRRefE21_0_4x" localSheetId="56">'331'!$E$42:$O$42</definedName>
    <definedName name="OSRRefE21_0_4x" localSheetId="59">'332'!$E$27:$O$27</definedName>
    <definedName name="OSRRefE21_0_4x" localSheetId="72">'405'!$E$26:$O$26</definedName>
    <definedName name="OSRRefE21_0_4x" localSheetId="73">'411'!$E$23:$O$23</definedName>
    <definedName name="OSRRefE21_0_4x" localSheetId="76">'415'!$E$30:$O$30</definedName>
    <definedName name="OSRRefE21_0_4x" localSheetId="77">'418'!$E$26:$O$26</definedName>
    <definedName name="OSRRefE21_0_4x" localSheetId="78">'423'!$E$23:$O$23</definedName>
    <definedName name="OSRRefE21_0_4x" localSheetId="83">'430'!$E$23:$O$23</definedName>
    <definedName name="OSRRefE21_0_4x" localSheetId="84">'433'!$E$25:$O$25</definedName>
    <definedName name="OSRRefE21_0_4x" localSheetId="85">'444'!$E$30:$O$30</definedName>
    <definedName name="OSRRefE21_0_4x" localSheetId="86">'450'!$E$25:$O$25</definedName>
    <definedName name="OSRRefE21_0_4x" localSheetId="71">'491'!$E$30:$O$30</definedName>
    <definedName name="OSRRefE21_0_4x" localSheetId="82">'492'!$E$30:$O$30</definedName>
    <definedName name="OSRRefE21_0_4x" localSheetId="88">'501'!$E$24:$O$24</definedName>
    <definedName name="OSRRefE21_0_4x" localSheetId="39">'Div 2'!$E$23:$O$23</definedName>
    <definedName name="OSRRefE21_0_4x" localSheetId="41">'Div 3'!$E$50:$O$50</definedName>
    <definedName name="OSRRefE21_0_4x" localSheetId="69">'Div 4'!$E$32:$O$32</definedName>
    <definedName name="OSRRefE21_0_4x" localSheetId="87">'Div 5'!$E$24:$O$24</definedName>
    <definedName name="OSRRefE21_0_4x" localSheetId="61">'Div 6'!$E$37:$O$37</definedName>
    <definedName name="OSRRefE21_0_4x" localSheetId="2">Summary!$E$61:$O$61</definedName>
    <definedName name="OSRRefE21_0_5x" localSheetId="42">'201'!$E$24:$O$24</definedName>
    <definedName name="OSRRefE21_0_5x" localSheetId="43">'202'!$E$24:$O$24</definedName>
    <definedName name="OSRRefE21_0_5x" localSheetId="44">'203'!$E$24:$O$24</definedName>
    <definedName name="OSRRefE21_0_5x" localSheetId="45">'204'!$E$24:$O$24</definedName>
    <definedName name="OSRRefE21_0_5x" localSheetId="46">'205'!$E$24:$O$24</definedName>
    <definedName name="OSRRefE21_0_5x" localSheetId="47">'206'!$E$24:$O$24</definedName>
    <definedName name="OSRRefE21_0_5x" localSheetId="48">'300'!$E$50:$O$50</definedName>
    <definedName name="OSRRefE21_0_5x" localSheetId="49">'300 &amp; 317'!$E$56:$O$56</definedName>
    <definedName name="OSRRefE21_0_5x" localSheetId="50">'301'!$E$24:$O$24</definedName>
    <definedName name="OSRRefE21_0_5x" localSheetId="52">'307'!$E$27:$O$27</definedName>
    <definedName name="OSRRefE21_0_5x" localSheetId="53">'308'!$E$38:$O$38</definedName>
    <definedName name="OSRRefE21_0_5x" localSheetId="63">'310'!$E$28:$O$28</definedName>
    <definedName name="OSRRefE21_0_5x" localSheetId="70">'310 &amp; 491'!$E$31:$O$31</definedName>
    <definedName name="OSRRefE21_0_5x" localSheetId="54">'311'!$E$38:$O$38</definedName>
    <definedName name="OSRRefE21_0_5x" localSheetId="57">'315'!$E$43:$O$43</definedName>
    <definedName name="OSRRefE21_0_5x" localSheetId="60">'316'!$E$28:$O$28</definedName>
    <definedName name="OSRRefE21_0_5x" localSheetId="62">'317'!$E$38:$O$38</definedName>
    <definedName name="OSRRefE21_0_5x" localSheetId="66">'321'!$E$27:$O$27</definedName>
    <definedName name="OSRRefE21_0_5x" localSheetId="67">'325'!$E$28:$O$28</definedName>
    <definedName name="OSRRefE21_0_5x" localSheetId="58">'326'!$E$29:$O$29</definedName>
    <definedName name="OSRRefE21_0_5x" localSheetId="51">'330'!$E$27:$O$27</definedName>
    <definedName name="OSRRefE21_0_5x" localSheetId="56">'331'!$E$43:$O$43</definedName>
    <definedName name="OSRRefE21_0_5x" localSheetId="59">'332'!$E$28:$O$28</definedName>
    <definedName name="OSRRefE21_0_5x" localSheetId="72">'405'!$E$27:$O$27</definedName>
    <definedName name="OSRRefE21_0_5x" localSheetId="73">'411'!$E$24:$O$24</definedName>
    <definedName name="OSRRefE21_0_5x" localSheetId="76">'415'!$E$31:$O$31</definedName>
    <definedName name="OSRRefE21_0_5x" localSheetId="77">'418'!$E$27:$O$27</definedName>
    <definedName name="OSRRefE21_0_5x" localSheetId="78">'423'!$E$24:$O$24</definedName>
    <definedName name="OSRRefE21_0_5x" localSheetId="83">'430'!$E$24:$O$24</definedName>
    <definedName name="OSRRefE21_0_5x" localSheetId="84">'433'!$E$26:$O$26</definedName>
    <definedName name="OSRRefE21_0_5x" localSheetId="85">'444'!$E$31:$O$31</definedName>
    <definedName name="OSRRefE21_0_5x" localSheetId="86">'450'!$E$26:$O$26</definedName>
    <definedName name="OSRRefE21_0_5x" localSheetId="71">'491'!$E$31:$O$31</definedName>
    <definedName name="OSRRefE21_0_5x" localSheetId="82">'492'!$E$31:$O$31</definedName>
    <definedName name="OSRRefE21_0_5x" localSheetId="88">'501'!$E$25:$O$25</definedName>
    <definedName name="OSRRefE21_0_5x" localSheetId="39">'Div 2'!$E$24:$O$24</definedName>
    <definedName name="OSRRefE21_0_5x" localSheetId="41">'Div 3'!$E$51:$O$51</definedName>
    <definedName name="OSRRefE21_0_5x" localSheetId="69">'Div 4'!$E$33:$O$33</definedName>
    <definedName name="OSRRefE21_0_5x" localSheetId="87">'Div 5'!$E$25:$O$25</definedName>
    <definedName name="OSRRefE21_0_5x" localSheetId="61">'Div 6'!$E$38:$O$38</definedName>
    <definedName name="OSRRefE21_0_5x" localSheetId="2">Summary!$E$62:$O$62</definedName>
    <definedName name="OSRRefE21_0_6x" localSheetId="42">'201'!$E$25:$O$25</definedName>
    <definedName name="OSRRefE21_0_6x" localSheetId="43">'202'!$E$25:$O$25</definedName>
    <definedName name="OSRRefE21_0_6x" localSheetId="44">'203'!$E$25:$O$25</definedName>
    <definedName name="OSRRefE21_0_6x" localSheetId="45">'204'!$E$25:$O$25</definedName>
    <definedName name="OSRRefE21_0_6x" localSheetId="46">'205'!$E$25:$O$25</definedName>
    <definedName name="OSRRefE21_0_6x" localSheetId="47">'206'!$E$25:$O$25</definedName>
    <definedName name="OSRRefE21_0_6x" localSheetId="48">'300'!$E$51:$O$51</definedName>
    <definedName name="OSRRefE21_0_6x" localSheetId="49">'300 &amp; 317'!$E$57:$O$57</definedName>
    <definedName name="OSRRefE21_0_6x" localSheetId="50">'301'!$E$25:$O$25</definedName>
    <definedName name="OSRRefE21_0_6x" localSheetId="52">'307'!$E$28:$O$28</definedName>
    <definedName name="OSRRefE21_0_6x" localSheetId="53">'308'!$E$39:$O$39</definedName>
    <definedName name="OSRRefE21_0_6x" localSheetId="63">'310'!$E$29:$O$29</definedName>
    <definedName name="OSRRefE21_0_6x" localSheetId="70">'310 &amp; 491'!$E$32:$O$32</definedName>
    <definedName name="OSRRefE21_0_6x" localSheetId="54">'311'!$E$39:$O$39</definedName>
    <definedName name="OSRRefE21_0_6x" localSheetId="57">'315'!$E$44:$O$44</definedName>
    <definedName name="OSRRefE21_0_6x" localSheetId="60">'316'!$E$29:$O$29</definedName>
    <definedName name="OSRRefE21_0_6x" localSheetId="62">'317'!$E$39:$O$39</definedName>
    <definedName name="OSRRefE21_0_6x" localSheetId="66">'321'!$E$28:$O$28</definedName>
    <definedName name="OSRRefE21_0_6x" localSheetId="67">'325'!$E$29:$O$29</definedName>
    <definedName name="OSRRefE21_0_6x" localSheetId="58">'326'!$E$30:$O$30</definedName>
    <definedName name="OSRRefE21_0_6x" localSheetId="51">'330'!$E$28:$O$28</definedName>
    <definedName name="OSRRefE21_0_6x" localSheetId="56">'331'!$E$44:$O$44</definedName>
    <definedName name="OSRRefE21_0_6x" localSheetId="59">'332'!$E$29:$O$29</definedName>
    <definedName name="OSRRefE21_0_6x" localSheetId="72">'405'!$E$28:$O$28</definedName>
    <definedName name="OSRRefE21_0_6x" localSheetId="73">'411'!$E$25:$O$25</definedName>
    <definedName name="OSRRefE21_0_6x" localSheetId="76">'415'!$E$32:$O$32</definedName>
    <definedName name="OSRRefE21_0_6x" localSheetId="77">'418'!$E$28:$O$28</definedName>
    <definedName name="OSRRefE21_0_6x" localSheetId="78">'423'!$E$25:$O$25</definedName>
    <definedName name="OSRRefE21_0_6x" localSheetId="83">'430'!$E$25:$O$25</definedName>
    <definedName name="OSRRefE21_0_6x" localSheetId="84">'433'!$E$27:$O$27</definedName>
    <definedName name="OSRRefE21_0_6x" localSheetId="85">'444'!$E$32:$O$32</definedName>
    <definedName name="OSRRefE21_0_6x" localSheetId="86">'450'!$E$27:$O$27</definedName>
    <definedName name="OSRRefE21_0_6x" localSheetId="71">'491'!$E$32:$O$32</definedName>
    <definedName name="OSRRefE21_0_6x" localSheetId="82">'492'!$E$32:$O$32</definedName>
    <definedName name="OSRRefE21_0_6x" localSheetId="88">'501'!$E$26:$O$26</definedName>
    <definedName name="OSRRefE21_0_6x" localSheetId="39">'Div 2'!$E$25:$O$25</definedName>
    <definedName name="OSRRefE21_0_6x" localSheetId="41">'Div 3'!$E$52:$O$52</definedName>
    <definedName name="OSRRefE21_0_6x" localSheetId="69">'Div 4'!$E$34:$O$34</definedName>
    <definedName name="OSRRefE21_0_6x" localSheetId="87">'Div 5'!$E$26:$O$26</definedName>
    <definedName name="OSRRefE21_0_6x" localSheetId="61">'Div 6'!$E$39:$O$39</definedName>
    <definedName name="OSRRefE21_0_6x" localSheetId="2">Summary!$E$63:$O$63</definedName>
    <definedName name="OSRRefE21_0_7x" localSheetId="42">'201'!$E$26:$O$26</definedName>
    <definedName name="OSRRefE21_0_7x" localSheetId="43">'202'!$E$26:$O$26</definedName>
    <definedName name="OSRRefE21_0_7x" localSheetId="44">'203'!$E$26:$O$26</definedName>
    <definedName name="OSRRefE21_0_7x" localSheetId="45">'204'!$E$26:$O$26</definedName>
    <definedName name="OSRRefE21_0_7x" localSheetId="46">'205'!$E$26:$O$26</definedName>
    <definedName name="OSRRefE21_0_7x" localSheetId="47">'206'!$E$26:$O$26</definedName>
    <definedName name="OSRRefE21_0_7x" localSheetId="48">'300'!$E$52:$O$52</definedName>
    <definedName name="OSRRefE21_0_7x" localSheetId="49">'300 &amp; 317'!$E$58:$O$58</definedName>
    <definedName name="OSRRefE21_0_7x" localSheetId="50">'301'!$E$26:$O$26</definedName>
    <definedName name="OSRRefE21_0_7x" localSheetId="52">'307'!$E$29:$O$29</definedName>
    <definedName name="OSRRefE21_0_7x" localSheetId="53">'308'!$E$40:$O$40</definedName>
    <definedName name="OSRRefE21_0_7x" localSheetId="63">'310'!$E$30:$O$30</definedName>
    <definedName name="OSRRefE21_0_7x" localSheetId="70">'310 &amp; 491'!$E$33:$O$33</definedName>
    <definedName name="OSRRefE21_0_7x" localSheetId="54">'311'!$E$40:$O$40</definedName>
    <definedName name="OSRRefE21_0_7x" localSheetId="57">'315'!$E$45:$O$45</definedName>
    <definedName name="OSRRefE21_0_7x" localSheetId="60">'316'!$E$30:$O$30</definedName>
    <definedName name="OSRRefE21_0_7x" localSheetId="62">'317'!$E$40:$O$40</definedName>
    <definedName name="OSRRefE21_0_7x" localSheetId="66">'321'!$E$29:$O$29</definedName>
    <definedName name="OSRRefE21_0_7x" localSheetId="67">'325'!$E$30:$O$30</definedName>
    <definedName name="OSRRefE21_0_7x" localSheetId="58">'326'!$E$31:$O$31</definedName>
    <definedName name="OSRRefE21_0_7x" localSheetId="51">'330'!$E$29:$O$29</definedName>
    <definedName name="OSRRefE21_0_7x" localSheetId="56">'331'!$E$45:$O$45</definedName>
    <definedName name="OSRRefE21_0_7x" localSheetId="59">'332'!$E$30:$O$30</definedName>
    <definedName name="OSRRefE21_0_7x" localSheetId="72">'405'!$E$29:$O$29</definedName>
    <definedName name="OSRRefE21_0_7x" localSheetId="73">'411'!$E$26:$O$26</definedName>
    <definedName name="OSRRefE21_0_7x" localSheetId="76">'415'!$E$33:$O$33</definedName>
    <definedName name="OSRRefE21_0_7x" localSheetId="77">'418'!$E$29:$O$29</definedName>
    <definedName name="OSRRefE21_0_7x" localSheetId="78">'423'!$E$26:$O$26</definedName>
    <definedName name="OSRRefE21_0_7x" localSheetId="83">'430'!$E$26:$O$26</definedName>
    <definedName name="OSRRefE21_0_7x" localSheetId="84">'433'!$E$28:$O$28</definedName>
    <definedName name="OSRRefE21_0_7x" localSheetId="85">'444'!$E$33:$O$33</definedName>
    <definedName name="OSRRefE21_0_7x" localSheetId="86">'450'!$E$28:$O$28</definedName>
    <definedName name="OSRRefE21_0_7x" localSheetId="71">'491'!$E$33:$O$33</definedName>
    <definedName name="OSRRefE21_0_7x" localSheetId="82">'492'!$E$33:$O$33</definedName>
    <definedName name="OSRRefE21_0_7x" localSheetId="88">'501'!$E$27:$O$27</definedName>
    <definedName name="OSRRefE21_0_7x" localSheetId="39">'Div 2'!$E$26:$O$26</definedName>
    <definedName name="OSRRefE21_0_7x" localSheetId="41">'Div 3'!$E$53:$O$53</definedName>
    <definedName name="OSRRefE21_0_7x" localSheetId="69">'Div 4'!$E$35:$O$35</definedName>
    <definedName name="OSRRefE21_0_7x" localSheetId="87">'Div 5'!$E$27:$O$27</definedName>
    <definedName name="OSRRefE21_0_7x" localSheetId="61">'Div 6'!$E$40:$O$40</definedName>
    <definedName name="OSRRefE21_0_7x" localSheetId="2">Summary!$E$64:$O$64</definedName>
    <definedName name="OSRRefE21_0_8x" localSheetId="42">'201'!$E$27:$O$27</definedName>
    <definedName name="OSRRefE21_0_8x" localSheetId="43">'202'!$E$27:$O$27</definedName>
    <definedName name="OSRRefE21_0_8x" localSheetId="44">'203'!$E$27:$O$27</definedName>
    <definedName name="OSRRefE21_0_8x" localSheetId="45">'204'!$E$27:$O$27</definedName>
    <definedName name="OSRRefE21_0_8x" localSheetId="46">'205'!$E$27:$O$27</definedName>
    <definedName name="OSRRefE21_0_8x" localSheetId="47">'206'!$E$27:$O$27</definedName>
    <definedName name="OSRRefE21_0_8x" localSheetId="48">'300'!$E$53:$O$53</definedName>
    <definedName name="OSRRefE21_0_8x" localSheetId="49">'300 &amp; 317'!$E$59:$O$59</definedName>
    <definedName name="OSRRefE21_0_8x" localSheetId="50">'301'!$E$27:$O$27</definedName>
    <definedName name="OSRRefE21_0_8x" localSheetId="53">'308'!$E$41:$O$41</definedName>
    <definedName name="OSRRefE21_0_8x" localSheetId="70">'310 &amp; 491'!$E$34:$O$34</definedName>
    <definedName name="OSRRefE21_0_8x" localSheetId="54">'311'!$E$41:$O$41</definedName>
    <definedName name="OSRRefE21_0_8x" localSheetId="57">'315'!$E$46:$O$46</definedName>
    <definedName name="OSRRefE21_0_8x" localSheetId="60">'316'!$E$31:$O$31</definedName>
    <definedName name="OSRRefE21_0_8x" localSheetId="62">'317'!$E$41:$O$41</definedName>
    <definedName name="OSRRefE21_0_8x" localSheetId="58">'326'!$E$32:$O$32</definedName>
    <definedName name="OSRRefE21_0_8x" localSheetId="56">'331'!$E$46:$O$46</definedName>
    <definedName name="OSRRefE21_0_8x" localSheetId="59">'332'!$E$31:$O$31</definedName>
    <definedName name="OSRRefE21_0_8x" localSheetId="72">'405'!$E$30:$O$30</definedName>
    <definedName name="OSRRefE21_0_8x" localSheetId="73">'411'!$E$27:$O$27</definedName>
    <definedName name="OSRRefE21_0_8x" localSheetId="76">'415'!$E$34:$O$34</definedName>
    <definedName name="OSRRefE21_0_8x" localSheetId="77">'418'!$E$30:$O$30</definedName>
    <definedName name="OSRRefE21_0_8x" localSheetId="83">'430'!$E$27:$O$27</definedName>
    <definedName name="OSRRefE21_0_8x" localSheetId="84">'433'!$E$29:$O$29</definedName>
    <definedName name="OSRRefE21_0_8x" localSheetId="85">'444'!$E$34:$O$34</definedName>
    <definedName name="OSRRefE21_0_8x" localSheetId="86">'450'!$E$29:$O$29</definedName>
    <definedName name="OSRRefE21_0_8x" localSheetId="71">'491'!$E$34:$O$34</definedName>
    <definedName name="OSRRefE21_0_8x" localSheetId="82">'492'!$E$34:$O$34</definedName>
    <definedName name="OSRRefE21_0_8x" localSheetId="88">'501'!$E$28:$O$28</definedName>
    <definedName name="OSRRefE21_0_8x" localSheetId="39">'Div 2'!$E$27:$O$27</definedName>
    <definedName name="OSRRefE21_0_8x" localSheetId="41">'Div 3'!$E$54:$O$54</definedName>
    <definedName name="OSRRefE21_0_8x" localSheetId="69">'Div 4'!$E$36:$O$36</definedName>
    <definedName name="OSRRefE21_0_8x" localSheetId="87">'Div 5'!$E$28:$O$28</definedName>
    <definedName name="OSRRefE21_0_8x" localSheetId="61">'Div 6'!$E$41:$O$41</definedName>
    <definedName name="OSRRefE21_0_8x" localSheetId="2">Summary!$E$65:$O$65</definedName>
    <definedName name="OSRRefE21_0_9x" localSheetId="44">'203'!$E$28:$O$28</definedName>
    <definedName name="OSRRefE21_0_9x" localSheetId="48">'300'!$E$54:$O$54</definedName>
    <definedName name="OSRRefE21_0_9x" localSheetId="49">'300 &amp; 317'!$E$60:$O$60</definedName>
    <definedName name="OSRRefE21_0_9x" localSheetId="50">'301'!$E$28:$O$28</definedName>
    <definedName name="OSRRefE21_0_9x" localSheetId="53">'308'!$E$42:$O$42</definedName>
    <definedName name="OSRRefE21_0_9x" localSheetId="54">'311'!$E$42:$O$42</definedName>
    <definedName name="OSRRefE21_0_9x" localSheetId="62">'317'!$E$42:$O$42</definedName>
    <definedName name="OSRRefE21_0_9x" localSheetId="84">'433'!$E$30:$O$30</definedName>
    <definedName name="OSRRefE21_0_9x" localSheetId="85">'444'!$E$35:$O$35</definedName>
    <definedName name="OSRRefE21_0_9x" localSheetId="86">'450'!$E$30:$O$30</definedName>
    <definedName name="OSRRefE21_0_9x" localSheetId="82">'492'!$E$35:$O$35</definedName>
    <definedName name="OSRRefE21_0_9x" localSheetId="39">'Div 2'!$E$28:$O$28</definedName>
    <definedName name="OSRRefE21_0_9x" localSheetId="41">'Div 3'!$E$55:$O$55</definedName>
    <definedName name="OSRRefE21_0_9x" localSheetId="69">'Div 4'!$E$37:$O$37</definedName>
    <definedName name="OSRRefE21_0_9x" localSheetId="61">'Div 6'!$E$42:$O$42</definedName>
    <definedName name="OSRRefE21_0_9x" localSheetId="2">Summary!$E$66:$O$66</definedName>
    <definedName name="OSRRefE21_0x_0" localSheetId="40">'200'!$E$19</definedName>
    <definedName name="OSRRefE21_0x_0" localSheetId="42">'201'!$E$19:$E$27</definedName>
    <definedName name="OSRRefE21_0x_0" localSheetId="43">'202'!$E$19:$E$27</definedName>
    <definedName name="OSRRefE21_0x_0" localSheetId="44">'203'!$E$19:$E$28</definedName>
    <definedName name="OSRRefE21_0x_0" localSheetId="45">'204'!$E$19:$E$27</definedName>
    <definedName name="OSRRefE21_0x_0" localSheetId="46">'205'!$E$19:$E$27</definedName>
    <definedName name="OSRRefE21_0x_0" localSheetId="47">'206'!$E$19:$E$27</definedName>
    <definedName name="OSRRefE21_0x_0" localSheetId="48">'300'!$E$45:$E$54</definedName>
    <definedName name="OSRRefE21_0x_0" localSheetId="49">'300 &amp; 317'!$E$51:$E$60</definedName>
    <definedName name="OSRRefE21_0x_0" localSheetId="50">'301'!$E$19:$E$28</definedName>
    <definedName name="OSRRefE21_0x_0" localSheetId="52">'307'!$E$22:$E$29</definedName>
    <definedName name="OSRRefE21_0x_0" localSheetId="53">'308'!$E$33:$E$42</definedName>
    <definedName name="OSRRefE21_0x_0" localSheetId="64">'309'!$E$19</definedName>
    <definedName name="OSRRefE21_0x_0" localSheetId="63">'310'!$E$23:$E$30</definedName>
    <definedName name="OSRRefE21_0x_0" localSheetId="70">'310 &amp; 491'!$E$26:$E$34</definedName>
    <definedName name="OSRRefE21_0x_0" localSheetId="54">'311'!$E$33:$E$42</definedName>
    <definedName name="OSRRefE21_0x_0" localSheetId="65">'313'!$E$19</definedName>
    <definedName name="OSRRefE21_0x_0" localSheetId="57">'315'!$E$38:$E$46</definedName>
    <definedName name="OSRRefE21_0x_0" localSheetId="60">'316'!$E$23:$E$31</definedName>
    <definedName name="OSRRefE21_0x_0" localSheetId="62">'317'!$E$33:$E$42</definedName>
    <definedName name="OSRRefE21_0x_0" localSheetId="66">'321'!$E$22:$E$29</definedName>
    <definedName name="OSRRefE21_0x_0" localSheetId="67">'325'!$E$23:$E$30</definedName>
    <definedName name="OSRRefE21_0x_0" localSheetId="58">'326'!$E$24:$E$32</definedName>
    <definedName name="OSRRefE21_0x_0" localSheetId="68">'327'!$E$21</definedName>
    <definedName name="OSRRefE21_0x_0" localSheetId="51">'330'!$E$22:$E$29</definedName>
    <definedName name="OSRRefE21_0x_0" localSheetId="56">'331'!$E$38:$E$46</definedName>
    <definedName name="OSRRefE21_0x_0" localSheetId="59">'332'!$E$23:$E$31</definedName>
    <definedName name="OSRRefE21_0x_0" localSheetId="72">'405'!$E$22:$E$30</definedName>
    <definedName name="OSRRefE21_0x_0" localSheetId="73">'411'!$E$19:$E$27</definedName>
    <definedName name="OSRRefE21_0x_0" localSheetId="74">'412'!$E$19</definedName>
    <definedName name="OSRRefE21_0x_0" localSheetId="75">'413'!$E$19</definedName>
    <definedName name="OSRRefE21_0x_0" localSheetId="76">'415'!$E$26:$E$34</definedName>
    <definedName name="OSRRefE21_0x_0" localSheetId="77">'418'!$E$22:$E$30</definedName>
    <definedName name="OSRRefE21_0x_0" localSheetId="78">'423'!$E$19:$E$26</definedName>
    <definedName name="OSRRefE21_0x_0" localSheetId="79">'424'!$E$19</definedName>
    <definedName name="OSRRefE21_0x_0" localSheetId="80">'425'!$E$20</definedName>
    <definedName name="OSRRefE21_0x_0" localSheetId="83">'430'!$E$19:$E$27</definedName>
    <definedName name="OSRRefE21_0x_0" localSheetId="84">'433'!$E$21:$E$30</definedName>
    <definedName name="OSRRefE21_0x_0" localSheetId="85">'444'!$E$26:$E$35</definedName>
    <definedName name="OSRRefE21_0x_0" localSheetId="86">'450'!$E$21:$E$30</definedName>
    <definedName name="OSRRefE21_0x_0" localSheetId="71">'491'!$E$26:$E$34</definedName>
    <definedName name="OSRRefE21_0x_0" localSheetId="82">'492'!$E$26:$E$35</definedName>
    <definedName name="OSRRefE21_0x_0" localSheetId="88">'501'!$E$20:$E$28</definedName>
    <definedName name="OSRRefE21_0x_0" localSheetId="39">'Div 2'!$E$19:$E$29</definedName>
    <definedName name="OSRRefE21_0x_0" localSheetId="41">'Div 3'!$E$46:$E$55</definedName>
    <definedName name="OSRRefE21_0x_0" localSheetId="69">'Div 4'!$E$28:$E$37</definedName>
    <definedName name="OSRRefE21_0x_0" localSheetId="87">'Div 5'!$E$20:$E$28</definedName>
    <definedName name="OSRRefE21_0x_0" localSheetId="61">'Div 6'!$E$33:$E$42</definedName>
    <definedName name="OSRRefE21_0x_0" localSheetId="2">Summary!$E$57:$E$66</definedName>
    <definedName name="OSRRefE21_0x_1" localSheetId="40">'200'!$F$19</definedName>
    <definedName name="OSRRefE21_0x_1" localSheetId="42">'201'!$F$19:$F$27</definedName>
    <definedName name="OSRRefE21_0x_1" localSheetId="43">'202'!$F$19:$F$27</definedName>
    <definedName name="OSRRefE21_0x_1" localSheetId="44">'203'!$F$19:$F$28</definedName>
    <definedName name="OSRRefE21_0x_1" localSheetId="45">'204'!$F$19:$F$27</definedName>
    <definedName name="OSRRefE21_0x_1" localSheetId="46">'205'!$F$19:$F$27</definedName>
    <definedName name="OSRRefE21_0x_1" localSheetId="47">'206'!$F$19:$F$27</definedName>
    <definedName name="OSRRefE21_0x_1" localSheetId="48">'300'!$F$45:$F$54</definedName>
    <definedName name="OSRRefE21_0x_1" localSheetId="49">'300 &amp; 317'!$F$51:$F$60</definedName>
    <definedName name="OSRRefE21_0x_1" localSheetId="50">'301'!$F$19:$F$28</definedName>
    <definedName name="OSRRefE21_0x_1" localSheetId="52">'307'!$F$22:$F$29</definedName>
    <definedName name="OSRRefE21_0x_1" localSheetId="53">'308'!$F$33:$F$42</definedName>
    <definedName name="OSRRefE21_0x_1" localSheetId="64">'309'!$F$19</definedName>
    <definedName name="OSRRefE21_0x_1" localSheetId="63">'310'!$F$23:$F$30</definedName>
    <definedName name="OSRRefE21_0x_1" localSheetId="70">'310 &amp; 491'!$F$26:$F$34</definedName>
    <definedName name="OSRRefE21_0x_1" localSheetId="54">'311'!$F$33:$F$42</definedName>
    <definedName name="OSRRefE21_0x_1" localSheetId="65">'313'!$F$19</definedName>
    <definedName name="OSRRefE21_0x_1" localSheetId="57">'315'!$F$38:$F$46</definedName>
    <definedName name="OSRRefE21_0x_1" localSheetId="60">'316'!$F$23:$F$31</definedName>
    <definedName name="OSRRefE21_0x_1" localSheetId="62">'317'!$F$33:$F$42</definedName>
    <definedName name="OSRRefE21_0x_1" localSheetId="66">'321'!$F$22:$F$29</definedName>
    <definedName name="OSRRefE21_0x_1" localSheetId="67">'325'!$F$23:$F$30</definedName>
    <definedName name="OSRRefE21_0x_1" localSheetId="58">'326'!$F$24:$F$32</definedName>
    <definedName name="OSRRefE21_0x_1" localSheetId="68">'327'!$F$21</definedName>
    <definedName name="OSRRefE21_0x_1" localSheetId="51">'330'!$F$22:$F$29</definedName>
    <definedName name="OSRRefE21_0x_1" localSheetId="56">'331'!$F$38:$F$46</definedName>
    <definedName name="OSRRefE21_0x_1" localSheetId="59">'332'!$F$23:$F$31</definedName>
    <definedName name="OSRRefE21_0x_1" localSheetId="72">'405'!$F$22:$F$30</definedName>
    <definedName name="OSRRefE21_0x_1" localSheetId="73">'411'!$F$19:$F$27</definedName>
    <definedName name="OSRRefE21_0x_1" localSheetId="74">'412'!$F$19</definedName>
    <definedName name="OSRRefE21_0x_1" localSheetId="75">'413'!$F$19</definedName>
    <definedName name="OSRRefE21_0x_1" localSheetId="76">'415'!$F$26:$F$34</definedName>
    <definedName name="OSRRefE21_0x_1" localSheetId="77">'418'!$F$22:$F$30</definedName>
    <definedName name="OSRRefE21_0x_1" localSheetId="78">'423'!$F$19:$F$26</definedName>
    <definedName name="OSRRefE21_0x_1" localSheetId="79">'424'!$F$19</definedName>
    <definedName name="OSRRefE21_0x_1" localSheetId="80">'425'!$F$20</definedName>
    <definedName name="OSRRefE21_0x_1" localSheetId="83">'430'!$F$19:$F$27</definedName>
    <definedName name="OSRRefE21_0x_1" localSheetId="84">'433'!$F$21:$F$30</definedName>
    <definedName name="OSRRefE21_0x_1" localSheetId="85">'444'!$F$26:$F$35</definedName>
    <definedName name="OSRRefE21_0x_1" localSheetId="86">'450'!$F$21:$F$30</definedName>
    <definedName name="OSRRefE21_0x_1" localSheetId="71">'491'!$F$26:$F$34</definedName>
    <definedName name="OSRRefE21_0x_1" localSheetId="82">'492'!$F$26:$F$35</definedName>
    <definedName name="OSRRefE21_0x_1" localSheetId="88">'501'!$F$20:$F$28</definedName>
    <definedName name="OSRRefE21_0x_1" localSheetId="39">'Div 2'!$F$19:$F$29</definedName>
    <definedName name="OSRRefE21_0x_1" localSheetId="41">'Div 3'!$F$46:$F$55</definedName>
    <definedName name="OSRRefE21_0x_1" localSheetId="69">'Div 4'!$F$28:$F$37</definedName>
    <definedName name="OSRRefE21_0x_1" localSheetId="87">'Div 5'!$F$20:$F$28</definedName>
    <definedName name="OSRRefE21_0x_1" localSheetId="61">'Div 6'!$F$33:$F$42</definedName>
    <definedName name="OSRRefE21_0x_1" localSheetId="2">Summary!$F$57:$F$66</definedName>
    <definedName name="OSRRefE21_0x_10" localSheetId="40">'200'!$O$19</definedName>
    <definedName name="OSRRefE21_0x_10" localSheetId="42">'201'!$O$19:$O$27</definedName>
    <definedName name="OSRRefE21_0x_10" localSheetId="43">'202'!$O$19:$O$27</definedName>
    <definedName name="OSRRefE21_0x_10" localSheetId="44">'203'!$O$19:$O$28</definedName>
    <definedName name="OSRRefE21_0x_10" localSheetId="45">'204'!$O$19:$O$27</definedName>
    <definedName name="OSRRefE21_0x_10" localSheetId="46">'205'!$O$19:$O$27</definedName>
    <definedName name="OSRRefE21_0x_10" localSheetId="47">'206'!$O$19:$O$27</definedName>
    <definedName name="OSRRefE21_0x_10" localSheetId="48">'300'!$O$45:$O$54</definedName>
    <definedName name="OSRRefE21_0x_10" localSheetId="49">'300 &amp; 317'!$O$51:$O$60</definedName>
    <definedName name="OSRRefE21_0x_10" localSheetId="50">'301'!$O$19:$O$28</definedName>
    <definedName name="OSRRefE21_0x_10" localSheetId="52">'307'!$O$22:$O$29</definedName>
    <definedName name="OSRRefE21_0x_10" localSheetId="53">'308'!$O$33:$O$42</definedName>
    <definedName name="OSRRefE21_0x_10" localSheetId="64">'309'!$O$19</definedName>
    <definedName name="OSRRefE21_0x_10" localSheetId="63">'310'!$O$23:$O$30</definedName>
    <definedName name="OSRRefE21_0x_10" localSheetId="70">'310 &amp; 491'!$O$26:$O$34</definedName>
    <definedName name="OSRRefE21_0x_10" localSheetId="54">'311'!$O$33:$O$42</definedName>
    <definedName name="OSRRefE21_0x_10" localSheetId="65">'313'!$O$19</definedName>
    <definedName name="OSRRefE21_0x_10" localSheetId="57">'315'!$O$38:$O$46</definedName>
    <definedName name="OSRRefE21_0x_10" localSheetId="60">'316'!$O$23:$O$31</definedName>
    <definedName name="OSRRefE21_0x_10" localSheetId="62">'317'!$O$33:$O$42</definedName>
    <definedName name="OSRRefE21_0x_10" localSheetId="66">'321'!$O$22:$O$29</definedName>
    <definedName name="OSRRefE21_0x_10" localSheetId="67">'325'!$O$23:$O$30</definedName>
    <definedName name="OSRRefE21_0x_10" localSheetId="58">'326'!$O$24:$O$32</definedName>
    <definedName name="OSRRefE21_0x_10" localSheetId="68">'327'!$O$21</definedName>
    <definedName name="OSRRefE21_0x_10" localSheetId="51">'330'!$O$22:$O$29</definedName>
    <definedName name="OSRRefE21_0x_10" localSheetId="56">'331'!$O$38:$O$46</definedName>
    <definedName name="OSRRefE21_0x_10" localSheetId="59">'332'!$O$23:$O$31</definedName>
    <definedName name="OSRRefE21_0x_10" localSheetId="72">'405'!$O$22:$O$30</definedName>
    <definedName name="OSRRefE21_0x_10" localSheetId="73">'411'!$O$19:$O$27</definedName>
    <definedName name="OSRRefE21_0x_10" localSheetId="74">'412'!$O$19</definedName>
    <definedName name="OSRRefE21_0x_10" localSheetId="75">'413'!$O$19</definedName>
    <definedName name="OSRRefE21_0x_10" localSheetId="76">'415'!$O$26:$O$34</definedName>
    <definedName name="OSRRefE21_0x_10" localSheetId="77">'418'!$O$22:$O$30</definedName>
    <definedName name="OSRRefE21_0x_10" localSheetId="78">'423'!$O$19:$O$26</definedName>
    <definedName name="OSRRefE21_0x_10" localSheetId="79">'424'!$O$19</definedName>
    <definedName name="OSRRefE21_0x_10" localSheetId="80">'425'!$O$20</definedName>
    <definedName name="OSRRefE21_0x_10" localSheetId="83">'430'!$O$19:$O$27</definedName>
    <definedName name="OSRRefE21_0x_10" localSheetId="84">'433'!$O$21:$O$30</definedName>
    <definedName name="OSRRefE21_0x_10" localSheetId="85">'444'!$O$26:$O$35</definedName>
    <definedName name="OSRRefE21_0x_10" localSheetId="86">'450'!$O$21:$O$30</definedName>
    <definedName name="OSRRefE21_0x_10" localSheetId="71">'491'!$O$26:$O$34</definedName>
    <definedName name="OSRRefE21_0x_10" localSheetId="82">'492'!$O$26:$O$35</definedName>
    <definedName name="OSRRefE21_0x_10" localSheetId="88">'501'!$O$20:$O$28</definedName>
    <definedName name="OSRRefE21_0x_10" localSheetId="39">'Div 2'!$O$19:$O$29</definedName>
    <definedName name="OSRRefE21_0x_10" localSheetId="41">'Div 3'!$O$46:$O$55</definedName>
    <definedName name="OSRRefE21_0x_10" localSheetId="69">'Div 4'!$O$28:$O$37</definedName>
    <definedName name="OSRRefE21_0x_10" localSheetId="87">'Div 5'!$O$20:$O$28</definedName>
    <definedName name="OSRRefE21_0x_10" localSheetId="61">'Div 6'!$O$33:$O$42</definedName>
    <definedName name="OSRRefE21_0x_10" localSheetId="2">Summary!$O$57:$O$66</definedName>
    <definedName name="OSRRefE21_0x_2" localSheetId="40">'200'!$G$19</definedName>
    <definedName name="OSRRefE21_0x_2" localSheetId="42">'201'!$G$19:$G$27</definedName>
    <definedName name="OSRRefE21_0x_2" localSheetId="43">'202'!$G$19:$G$27</definedName>
    <definedName name="OSRRefE21_0x_2" localSheetId="44">'203'!$G$19:$G$28</definedName>
    <definedName name="OSRRefE21_0x_2" localSheetId="45">'204'!$G$19:$G$27</definedName>
    <definedName name="OSRRefE21_0x_2" localSheetId="46">'205'!$G$19:$G$27</definedName>
    <definedName name="OSRRefE21_0x_2" localSheetId="47">'206'!$G$19:$G$27</definedName>
    <definedName name="OSRRefE21_0x_2" localSheetId="48">'300'!$G$45:$G$54</definedName>
    <definedName name="OSRRefE21_0x_2" localSheetId="49">'300 &amp; 317'!$G$51:$G$60</definedName>
    <definedName name="OSRRefE21_0x_2" localSheetId="50">'301'!$G$19:$G$28</definedName>
    <definedName name="OSRRefE21_0x_2" localSheetId="52">'307'!$G$22:$G$29</definedName>
    <definedName name="OSRRefE21_0x_2" localSheetId="53">'308'!$G$33:$G$42</definedName>
    <definedName name="OSRRefE21_0x_2" localSheetId="64">'309'!$G$19</definedName>
    <definedName name="OSRRefE21_0x_2" localSheetId="63">'310'!$G$23:$G$30</definedName>
    <definedName name="OSRRefE21_0x_2" localSheetId="70">'310 &amp; 491'!$G$26:$G$34</definedName>
    <definedName name="OSRRefE21_0x_2" localSheetId="54">'311'!$G$33:$G$42</definedName>
    <definedName name="OSRRefE21_0x_2" localSheetId="65">'313'!$G$19</definedName>
    <definedName name="OSRRefE21_0x_2" localSheetId="57">'315'!$G$38:$G$46</definedName>
    <definedName name="OSRRefE21_0x_2" localSheetId="60">'316'!$G$23:$G$31</definedName>
    <definedName name="OSRRefE21_0x_2" localSheetId="62">'317'!$G$33:$G$42</definedName>
    <definedName name="OSRRefE21_0x_2" localSheetId="66">'321'!$G$22:$G$29</definedName>
    <definedName name="OSRRefE21_0x_2" localSheetId="67">'325'!$G$23:$G$30</definedName>
    <definedName name="OSRRefE21_0x_2" localSheetId="58">'326'!$G$24:$G$32</definedName>
    <definedName name="OSRRefE21_0x_2" localSheetId="68">'327'!$G$21</definedName>
    <definedName name="OSRRefE21_0x_2" localSheetId="51">'330'!$G$22:$G$29</definedName>
    <definedName name="OSRRefE21_0x_2" localSheetId="56">'331'!$G$38:$G$46</definedName>
    <definedName name="OSRRefE21_0x_2" localSheetId="59">'332'!$G$23:$G$31</definedName>
    <definedName name="OSRRefE21_0x_2" localSheetId="72">'405'!$G$22:$G$30</definedName>
    <definedName name="OSRRefE21_0x_2" localSheetId="73">'411'!$G$19:$G$27</definedName>
    <definedName name="OSRRefE21_0x_2" localSheetId="74">'412'!$G$19</definedName>
    <definedName name="OSRRefE21_0x_2" localSheetId="75">'413'!$G$19</definedName>
    <definedName name="OSRRefE21_0x_2" localSheetId="76">'415'!$G$26:$G$34</definedName>
    <definedName name="OSRRefE21_0x_2" localSheetId="77">'418'!$G$22:$G$30</definedName>
    <definedName name="OSRRefE21_0x_2" localSheetId="78">'423'!$G$19:$G$26</definedName>
    <definedName name="OSRRefE21_0x_2" localSheetId="79">'424'!$G$19</definedName>
    <definedName name="OSRRefE21_0x_2" localSheetId="80">'425'!$G$20</definedName>
    <definedName name="OSRRefE21_0x_2" localSheetId="83">'430'!$G$19:$G$27</definedName>
    <definedName name="OSRRefE21_0x_2" localSheetId="84">'433'!$G$21:$G$30</definedName>
    <definedName name="OSRRefE21_0x_2" localSheetId="85">'444'!$G$26:$G$35</definedName>
    <definedName name="OSRRefE21_0x_2" localSheetId="86">'450'!$G$21:$G$30</definedName>
    <definedName name="OSRRefE21_0x_2" localSheetId="71">'491'!$G$26:$G$34</definedName>
    <definedName name="OSRRefE21_0x_2" localSheetId="82">'492'!$G$26:$G$35</definedName>
    <definedName name="OSRRefE21_0x_2" localSheetId="88">'501'!$G$20:$G$28</definedName>
    <definedName name="OSRRefE21_0x_2" localSheetId="39">'Div 2'!$G$19:$G$29</definedName>
    <definedName name="OSRRefE21_0x_2" localSheetId="41">'Div 3'!$G$46:$G$55</definedName>
    <definedName name="OSRRefE21_0x_2" localSheetId="69">'Div 4'!$G$28:$G$37</definedName>
    <definedName name="OSRRefE21_0x_2" localSheetId="87">'Div 5'!$G$20:$G$28</definedName>
    <definedName name="OSRRefE21_0x_2" localSheetId="61">'Div 6'!$G$33:$G$42</definedName>
    <definedName name="OSRRefE21_0x_2" localSheetId="2">Summary!$G$57:$G$66</definedName>
    <definedName name="OSRRefE21_0x_3" localSheetId="40">'200'!$H$19</definedName>
    <definedName name="OSRRefE21_0x_3" localSheetId="42">'201'!$H$19:$H$27</definedName>
    <definedName name="OSRRefE21_0x_3" localSheetId="43">'202'!$H$19:$H$27</definedName>
    <definedName name="OSRRefE21_0x_3" localSheetId="44">'203'!$H$19:$H$28</definedName>
    <definedName name="OSRRefE21_0x_3" localSheetId="45">'204'!$H$19:$H$27</definedName>
    <definedName name="OSRRefE21_0x_3" localSheetId="46">'205'!$H$19:$H$27</definedName>
    <definedName name="OSRRefE21_0x_3" localSheetId="47">'206'!$H$19:$H$27</definedName>
    <definedName name="OSRRefE21_0x_3" localSheetId="48">'300'!$H$45:$H$54</definedName>
    <definedName name="OSRRefE21_0x_3" localSheetId="49">'300 &amp; 317'!$H$51:$H$60</definedName>
    <definedName name="OSRRefE21_0x_3" localSheetId="50">'301'!$H$19:$H$28</definedName>
    <definedName name="OSRRefE21_0x_3" localSheetId="52">'307'!$H$22:$H$29</definedName>
    <definedName name="OSRRefE21_0x_3" localSheetId="53">'308'!$H$33:$H$42</definedName>
    <definedName name="OSRRefE21_0x_3" localSheetId="64">'309'!$H$19</definedName>
    <definedName name="OSRRefE21_0x_3" localSheetId="63">'310'!$H$23:$H$30</definedName>
    <definedName name="OSRRefE21_0x_3" localSheetId="70">'310 &amp; 491'!$H$26:$H$34</definedName>
    <definedName name="OSRRefE21_0x_3" localSheetId="54">'311'!$H$33:$H$42</definedName>
    <definedName name="OSRRefE21_0x_3" localSheetId="65">'313'!$H$19</definedName>
    <definedName name="OSRRefE21_0x_3" localSheetId="57">'315'!$H$38:$H$46</definedName>
    <definedName name="OSRRefE21_0x_3" localSheetId="60">'316'!$H$23:$H$31</definedName>
    <definedName name="OSRRefE21_0x_3" localSheetId="62">'317'!$H$33:$H$42</definedName>
    <definedName name="OSRRefE21_0x_3" localSheetId="66">'321'!$H$22:$H$29</definedName>
    <definedName name="OSRRefE21_0x_3" localSheetId="67">'325'!$H$23:$H$30</definedName>
    <definedName name="OSRRefE21_0x_3" localSheetId="58">'326'!$H$24:$H$32</definedName>
    <definedName name="OSRRefE21_0x_3" localSheetId="68">'327'!$H$21</definedName>
    <definedName name="OSRRefE21_0x_3" localSheetId="51">'330'!$H$22:$H$29</definedName>
    <definedName name="OSRRefE21_0x_3" localSheetId="56">'331'!$H$38:$H$46</definedName>
    <definedName name="OSRRefE21_0x_3" localSheetId="59">'332'!$H$23:$H$31</definedName>
    <definedName name="OSRRefE21_0x_3" localSheetId="72">'405'!$H$22:$H$30</definedName>
    <definedName name="OSRRefE21_0x_3" localSheetId="73">'411'!$H$19:$H$27</definedName>
    <definedName name="OSRRefE21_0x_3" localSheetId="74">'412'!$H$19</definedName>
    <definedName name="OSRRefE21_0x_3" localSheetId="75">'413'!$H$19</definedName>
    <definedName name="OSRRefE21_0x_3" localSheetId="76">'415'!$H$26:$H$34</definedName>
    <definedName name="OSRRefE21_0x_3" localSheetId="77">'418'!$H$22:$H$30</definedName>
    <definedName name="OSRRefE21_0x_3" localSheetId="78">'423'!$H$19:$H$26</definedName>
    <definedName name="OSRRefE21_0x_3" localSheetId="79">'424'!$H$19</definedName>
    <definedName name="OSRRefE21_0x_3" localSheetId="80">'425'!$H$20</definedName>
    <definedName name="OSRRefE21_0x_3" localSheetId="83">'430'!$H$19:$H$27</definedName>
    <definedName name="OSRRefE21_0x_3" localSheetId="84">'433'!$H$21:$H$30</definedName>
    <definedName name="OSRRefE21_0x_3" localSheetId="85">'444'!$H$26:$H$35</definedName>
    <definedName name="OSRRefE21_0x_3" localSheetId="86">'450'!$H$21:$H$30</definedName>
    <definedName name="OSRRefE21_0x_3" localSheetId="71">'491'!$H$26:$H$34</definedName>
    <definedName name="OSRRefE21_0x_3" localSheetId="82">'492'!$H$26:$H$35</definedName>
    <definedName name="OSRRefE21_0x_3" localSheetId="88">'501'!$H$20:$H$28</definedName>
    <definedName name="OSRRefE21_0x_3" localSheetId="39">'Div 2'!$H$19:$H$29</definedName>
    <definedName name="OSRRefE21_0x_3" localSheetId="41">'Div 3'!$H$46:$H$55</definedName>
    <definedName name="OSRRefE21_0x_3" localSheetId="69">'Div 4'!$H$28:$H$37</definedName>
    <definedName name="OSRRefE21_0x_3" localSheetId="87">'Div 5'!$H$20:$H$28</definedName>
    <definedName name="OSRRefE21_0x_3" localSheetId="61">'Div 6'!$H$33:$H$42</definedName>
    <definedName name="OSRRefE21_0x_3" localSheetId="2">Summary!$H$57:$H$66</definedName>
    <definedName name="OSRRefE21_0x_4" localSheetId="40">'200'!$I$19</definedName>
    <definedName name="OSRRefE21_0x_4" localSheetId="42">'201'!$I$19:$I$27</definedName>
    <definedName name="OSRRefE21_0x_4" localSheetId="43">'202'!$I$19:$I$27</definedName>
    <definedName name="OSRRefE21_0x_4" localSheetId="44">'203'!$I$19:$I$28</definedName>
    <definedName name="OSRRefE21_0x_4" localSheetId="45">'204'!$I$19:$I$27</definedName>
    <definedName name="OSRRefE21_0x_4" localSheetId="46">'205'!$I$19:$I$27</definedName>
    <definedName name="OSRRefE21_0x_4" localSheetId="47">'206'!$I$19:$I$27</definedName>
    <definedName name="OSRRefE21_0x_4" localSheetId="48">'300'!$I$45:$I$54</definedName>
    <definedName name="OSRRefE21_0x_4" localSheetId="49">'300 &amp; 317'!$I$51:$I$60</definedName>
    <definedName name="OSRRefE21_0x_4" localSheetId="50">'301'!$I$19:$I$28</definedName>
    <definedName name="OSRRefE21_0x_4" localSheetId="52">'307'!$I$22:$I$29</definedName>
    <definedName name="OSRRefE21_0x_4" localSheetId="53">'308'!$I$33:$I$42</definedName>
    <definedName name="OSRRefE21_0x_4" localSheetId="64">'309'!$I$19</definedName>
    <definedName name="OSRRefE21_0x_4" localSheetId="63">'310'!$I$23:$I$30</definedName>
    <definedName name="OSRRefE21_0x_4" localSheetId="70">'310 &amp; 491'!$I$26:$I$34</definedName>
    <definedName name="OSRRefE21_0x_4" localSheetId="54">'311'!$I$33:$I$42</definedName>
    <definedName name="OSRRefE21_0x_4" localSheetId="65">'313'!$I$19</definedName>
    <definedName name="OSRRefE21_0x_4" localSheetId="57">'315'!$I$38:$I$46</definedName>
    <definedName name="OSRRefE21_0x_4" localSheetId="60">'316'!$I$23:$I$31</definedName>
    <definedName name="OSRRefE21_0x_4" localSheetId="62">'317'!$I$33:$I$42</definedName>
    <definedName name="OSRRefE21_0x_4" localSheetId="66">'321'!$I$22:$I$29</definedName>
    <definedName name="OSRRefE21_0x_4" localSheetId="67">'325'!$I$23:$I$30</definedName>
    <definedName name="OSRRefE21_0x_4" localSheetId="58">'326'!$I$24:$I$32</definedName>
    <definedName name="OSRRefE21_0x_4" localSheetId="68">'327'!$I$21</definedName>
    <definedName name="OSRRefE21_0x_4" localSheetId="51">'330'!$I$22:$I$29</definedName>
    <definedName name="OSRRefE21_0x_4" localSheetId="56">'331'!$I$38:$I$46</definedName>
    <definedName name="OSRRefE21_0x_4" localSheetId="59">'332'!$I$23:$I$31</definedName>
    <definedName name="OSRRefE21_0x_4" localSheetId="72">'405'!$I$22:$I$30</definedName>
    <definedName name="OSRRefE21_0x_4" localSheetId="73">'411'!$I$19:$I$27</definedName>
    <definedName name="OSRRefE21_0x_4" localSheetId="74">'412'!$I$19</definedName>
    <definedName name="OSRRefE21_0x_4" localSheetId="75">'413'!$I$19</definedName>
    <definedName name="OSRRefE21_0x_4" localSheetId="76">'415'!$I$26:$I$34</definedName>
    <definedName name="OSRRefE21_0x_4" localSheetId="77">'418'!$I$22:$I$30</definedName>
    <definedName name="OSRRefE21_0x_4" localSheetId="78">'423'!$I$19:$I$26</definedName>
    <definedName name="OSRRefE21_0x_4" localSheetId="79">'424'!$I$19</definedName>
    <definedName name="OSRRefE21_0x_4" localSheetId="80">'425'!$I$20</definedName>
    <definedName name="OSRRefE21_0x_4" localSheetId="83">'430'!$I$19:$I$27</definedName>
    <definedName name="OSRRefE21_0x_4" localSheetId="84">'433'!$I$21:$I$30</definedName>
    <definedName name="OSRRefE21_0x_4" localSheetId="85">'444'!$I$26:$I$35</definedName>
    <definedName name="OSRRefE21_0x_4" localSheetId="86">'450'!$I$21:$I$30</definedName>
    <definedName name="OSRRefE21_0x_4" localSheetId="71">'491'!$I$26:$I$34</definedName>
    <definedName name="OSRRefE21_0x_4" localSheetId="82">'492'!$I$26:$I$35</definedName>
    <definedName name="OSRRefE21_0x_4" localSheetId="88">'501'!$I$20:$I$28</definedName>
    <definedName name="OSRRefE21_0x_4" localSheetId="39">'Div 2'!$I$19:$I$29</definedName>
    <definedName name="OSRRefE21_0x_4" localSheetId="41">'Div 3'!$I$46:$I$55</definedName>
    <definedName name="OSRRefE21_0x_4" localSheetId="69">'Div 4'!$I$28:$I$37</definedName>
    <definedName name="OSRRefE21_0x_4" localSheetId="87">'Div 5'!$I$20:$I$28</definedName>
    <definedName name="OSRRefE21_0x_4" localSheetId="61">'Div 6'!$I$33:$I$42</definedName>
    <definedName name="OSRRefE21_0x_4" localSheetId="2">Summary!$I$57:$I$66</definedName>
    <definedName name="OSRRefE21_0x_5" localSheetId="40">'200'!$J$19</definedName>
    <definedName name="OSRRefE21_0x_5" localSheetId="42">'201'!$J$19:$J$27</definedName>
    <definedName name="OSRRefE21_0x_5" localSheetId="43">'202'!$J$19:$J$27</definedName>
    <definedName name="OSRRefE21_0x_5" localSheetId="44">'203'!$J$19:$J$28</definedName>
    <definedName name="OSRRefE21_0x_5" localSheetId="45">'204'!$J$19:$J$27</definedName>
    <definedName name="OSRRefE21_0x_5" localSheetId="46">'205'!$J$19:$J$27</definedName>
    <definedName name="OSRRefE21_0x_5" localSheetId="47">'206'!$J$19:$J$27</definedName>
    <definedName name="OSRRefE21_0x_5" localSheetId="48">'300'!$J$45:$J$54</definedName>
    <definedName name="OSRRefE21_0x_5" localSheetId="49">'300 &amp; 317'!$J$51:$J$60</definedName>
    <definedName name="OSRRefE21_0x_5" localSheetId="50">'301'!$J$19:$J$28</definedName>
    <definedName name="OSRRefE21_0x_5" localSheetId="52">'307'!$J$22:$J$29</definedName>
    <definedName name="OSRRefE21_0x_5" localSheetId="53">'308'!$J$33:$J$42</definedName>
    <definedName name="OSRRefE21_0x_5" localSheetId="64">'309'!$J$19</definedName>
    <definedName name="OSRRefE21_0x_5" localSheetId="63">'310'!$J$23:$J$30</definedName>
    <definedName name="OSRRefE21_0x_5" localSheetId="70">'310 &amp; 491'!$J$26:$J$34</definedName>
    <definedName name="OSRRefE21_0x_5" localSheetId="54">'311'!$J$33:$J$42</definedName>
    <definedName name="OSRRefE21_0x_5" localSheetId="65">'313'!$J$19</definedName>
    <definedName name="OSRRefE21_0x_5" localSheetId="57">'315'!$J$38:$J$46</definedName>
    <definedName name="OSRRefE21_0x_5" localSheetId="60">'316'!$J$23:$J$31</definedName>
    <definedName name="OSRRefE21_0x_5" localSheetId="62">'317'!$J$33:$J$42</definedName>
    <definedName name="OSRRefE21_0x_5" localSheetId="66">'321'!$J$22:$J$29</definedName>
    <definedName name="OSRRefE21_0x_5" localSheetId="67">'325'!$J$23:$J$30</definedName>
    <definedName name="OSRRefE21_0x_5" localSheetId="58">'326'!$J$24:$J$32</definedName>
    <definedName name="OSRRefE21_0x_5" localSheetId="68">'327'!$J$21</definedName>
    <definedName name="OSRRefE21_0x_5" localSheetId="51">'330'!$J$22:$J$29</definedName>
    <definedName name="OSRRefE21_0x_5" localSheetId="56">'331'!$J$38:$J$46</definedName>
    <definedName name="OSRRefE21_0x_5" localSheetId="59">'332'!$J$23:$J$31</definedName>
    <definedName name="OSRRefE21_0x_5" localSheetId="72">'405'!$J$22:$J$30</definedName>
    <definedName name="OSRRefE21_0x_5" localSheetId="73">'411'!$J$19:$J$27</definedName>
    <definedName name="OSRRefE21_0x_5" localSheetId="74">'412'!$J$19</definedName>
    <definedName name="OSRRefE21_0x_5" localSheetId="75">'413'!$J$19</definedName>
    <definedName name="OSRRefE21_0x_5" localSheetId="76">'415'!$J$26:$J$34</definedName>
    <definedName name="OSRRefE21_0x_5" localSheetId="77">'418'!$J$22:$J$30</definedName>
    <definedName name="OSRRefE21_0x_5" localSheetId="78">'423'!$J$19:$J$26</definedName>
    <definedName name="OSRRefE21_0x_5" localSheetId="79">'424'!$J$19</definedName>
    <definedName name="OSRRefE21_0x_5" localSheetId="80">'425'!$J$20</definedName>
    <definedName name="OSRRefE21_0x_5" localSheetId="83">'430'!$J$19:$J$27</definedName>
    <definedName name="OSRRefE21_0x_5" localSheetId="84">'433'!$J$21:$J$30</definedName>
    <definedName name="OSRRefE21_0x_5" localSheetId="85">'444'!$J$26:$J$35</definedName>
    <definedName name="OSRRefE21_0x_5" localSheetId="86">'450'!$J$21:$J$30</definedName>
    <definedName name="OSRRefE21_0x_5" localSheetId="71">'491'!$J$26:$J$34</definedName>
    <definedName name="OSRRefE21_0x_5" localSheetId="82">'492'!$J$26:$J$35</definedName>
    <definedName name="OSRRefE21_0x_5" localSheetId="88">'501'!$J$20:$J$28</definedName>
    <definedName name="OSRRefE21_0x_5" localSheetId="39">'Div 2'!$J$19:$J$29</definedName>
    <definedName name="OSRRefE21_0x_5" localSheetId="41">'Div 3'!$J$46:$J$55</definedName>
    <definedName name="OSRRefE21_0x_5" localSheetId="69">'Div 4'!$J$28:$J$37</definedName>
    <definedName name="OSRRefE21_0x_5" localSheetId="87">'Div 5'!$J$20:$J$28</definedName>
    <definedName name="OSRRefE21_0x_5" localSheetId="61">'Div 6'!$J$33:$J$42</definedName>
    <definedName name="OSRRefE21_0x_5" localSheetId="2">Summary!$J$57:$J$66</definedName>
    <definedName name="OSRRefE21_0x_6" localSheetId="40">'200'!$K$19</definedName>
    <definedName name="OSRRefE21_0x_6" localSheetId="42">'201'!$K$19:$K$27</definedName>
    <definedName name="OSRRefE21_0x_6" localSheetId="43">'202'!$K$19:$K$27</definedName>
    <definedName name="OSRRefE21_0x_6" localSheetId="44">'203'!$K$19:$K$28</definedName>
    <definedName name="OSRRefE21_0x_6" localSheetId="45">'204'!$K$19:$K$27</definedName>
    <definedName name="OSRRefE21_0x_6" localSheetId="46">'205'!$K$19:$K$27</definedName>
    <definedName name="OSRRefE21_0x_6" localSheetId="47">'206'!$K$19:$K$27</definedName>
    <definedName name="OSRRefE21_0x_6" localSheetId="48">'300'!$K$45:$K$54</definedName>
    <definedName name="OSRRefE21_0x_6" localSheetId="49">'300 &amp; 317'!$K$51:$K$60</definedName>
    <definedName name="OSRRefE21_0x_6" localSheetId="50">'301'!$K$19:$K$28</definedName>
    <definedName name="OSRRefE21_0x_6" localSheetId="52">'307'!$K$22:$K$29</definedName>
    <definedName name="OSRRefE21_0x_6" localSheetId="53">'308'!$K$33:$K$42</definedName>
    <definedName name="OSRRefE21_0x_6" localSheetId="64">'309'!$K$19</definedName>
    <definedName name="OSRRefE21_0x_6" localSheetId="63">'310'!$K$23:$K$30</definedName>
    <definedName name="OSRRefE21_0x_6" localSheetId="70">'310 &amp; 491'!$K$26:$K$34</definedName>
    <definedName name="OSRRefE21_0x_6" localSheetId="54">'311'!$K$33:$K$42</definedName>
    <definedName name="OSRRefE21_0x_6" localSheetId="65">'313'!$K$19</definedName>
    <definedName name="OSRRefE21_0x_6" localSheetId="57">'315'!$K$38:$K$46</definedName>
    <definedName name="OSRRefE21_0x_6" localSheetId="60">'316'!$K$23:$K$31</definedName>
    <definedName name="OSRRefE21_0x_6" localSheetId="62">'317'!$K$33:$K$42</definedName>
    <definedName name="OSRRefE21_0x_6" localSheetId="66">'321'!$K$22:$K$29</definedName>
    <definedName name="OSRRefE21_0x_6" localSheetId="67">'325'!$K$23:$K$30</definedName>
    <definedName name="OSRRefE21_0x_6" localSheetId="58">'326'!$K$24:$K$32</definedName>
    <definedName name="OSRRefE21_0x_6" localSheetId="68">'327'!$K$21</definedName>
    <definedName name="OSRRefE21_0x_6" localSheetId="51">'330'!$K$22:$K$29</definedName>
    <definedName name="OSRRefE21_0x_6" localSheetId="56">'331'!$K$38:$K$46</definedName>
    <definedName name="OSRRefE21_0x_6" localSheetId="59">'332'!$K$23:$K$31</definedName>
    <definedName name="OSRRefE21_0x_6" localSheetId="72">'405'!$K$22:$K$30</definedName>
    <definedName name="OSRRefE21_0x_6" localSheetId="73">'411'!$K$19:$K$27</definedName>
    <definedName name="OSRRefE21_0x_6" localSheetId="74">'412'!$K$19</definedName>
    <definedName name="OSRRefE21_0x_6" localSheetId="75">'413'!$K$19</definedName>
    <definedName name="OSRRefE21_0x_6" localSheetId="76">'415'!$K$26:$K$34</definedName>
    <definedName name="OSRRefE21_0x_6" localSheetId="77">'418'!$K$22:$K$30</definedName>
    <definedName name="OSRRefE21_0x_6" localSheetId="78">'423'!$K$19:$K$26</definedName>
    <definedName name="OSRRefE21_0x_6" localSheetId="79">'424'!$K$19</definedName>
    <definedName name="OSRRefE21_0x_6" localSheetId="80">'425'!$K$20</definedName>
    <definedName name="OSRRefE21_0x_6" localSheetId="83">'430'!$K$19:$K$27</definedName>
    <definedName name="OSRRefE21_0x_6" localSheetId="84">'433'!$K$21:$K$30</definedName>
    <definedName name="OSRRefE21_0x_6" localSheetId="85">'444'!$K$26:$K$35</definedName>
    <definedName name="OSRRefE21_0x_6" localSheetId="86">'450'!$K$21:$K$30</definedName>
    <definedName name="OSRRefE21_0x_6" localSheetId="71">'491'!$K$26:$K$34</definedName>
    <definedName name="OSRRefE21_0x_6" localSheetId="82">'492'!$K$26:$K$35</definedName>
    <definedName name="OSRRefE21_0x_6" localSheetId="88">'501'!$K$20:$K$28</definedName>
    <definedName name="OSRRefE21_0x_6" localSheetId="39">'Div 2'!$K$19:$K$29</definedName>
    <definedName name="OSRRefE21_0x_6" localSheetId="41">'Div 3'!$K$46:$K$55</definedName>
    <definedName name="OSRRefE21_0x_6" localSheetId="69">'Div 4'!$K$28:$K$37</definedName>
    <definedName name="OSRRefE21_0x_6" localSheetId="87">'Div 5'!$K$20:$K$28</definedName>
    <definedName name="OSRRefE21_0x_6" localSheetId="61">'Div 6'!$K$33:$K$42</definedName>
    <definedName name="OSRRefE21_0x_6" localSheetId="2">Summary!$K$57:$K$66</definedName>
    <definedName name="OSRRefE21_0x_7" localSheetId="40">'200'!$L$19</definedName>
    <definedName name="OSRRefE21_0x_7" localSheetId="42">'201'!$L$19:$L$27</definedName>
    <definedName name="OSRRefE21_0x_7" localSheetId="43">'202'!$L$19:$L$27</definedName>
    <definedName name="OSRRefE21_0x_7" localSheetId="44">'203'!$L$19:$L$28</definedName>
    <definedName name="OSRRefE21_0x_7" localSheetId="45">'204'!$L$19:$L$27</definedName>
    <definedName name="OSRRefE21_0x_7" localSheetId="46">'205'!$L$19:$L$27</definedName>
    <definedName name="OSRRefE21_0x_7" localSheetId="47">'206'!$L$19:$L$27</definedName>
    <definedName name="OSRRefE21_0x_7" localSheetId="48">'300'!$L$45:$L$54</definedName>
    <definedName name="OSRRefE21_0x_7" localSheetId="49">'300 &amp; 317'!$L$51:$L$60</definedName>
    <definedName name="OSRRefE21_0x_7" localSheetId="50">'301'!$L$19:$L$28</definedName>
    <definedName name="OSRRefE21_0x_7" localSheetId="52">'307'!$L$22:$L$29</definedName>
    <definedName name="OSRRefE21_0x_7" localSheetId="53">'308'!$L$33:$L$42</definedName>
    <definedName name="OSRRefE21_0x_7" localSheetId="64">'309'!$L$19</definedName>
    <definedName name="OSRRefE21_0x_7" localSheetId="63">'310'!$L$23:$L$30</definedName>
    <definedName name="OSRRefE21_0x_7" localSheetId="70">'310 &amp; 491'!$L$26:$L$34</definedName>
    <definedName name="OSRRefE21_0x_7" localSheetId="54">'311'!$L$33:$L$42</definedName>
    <definedName name="OSRRefE21_0x_7" localSheetId="65">'313'!$L$19</definedName>
    <definedName name="OSRRefE21_0x_7" localSheetId="57">'315'!$L$38:$L$46</definedName>
    <definedName name="OSRRefE21_0x_7" localSheetId="60">'316'!$L$23:$L$31</definedName>
    <definedName name="OSRRefE21_0x_7" localSheetId="62">'317'!$L$33:$L$42</definedName>
    <definedName name="OSRRefE21_0x_7" localSheetId="66">'321'!$L$22:$L$29</definedName>
    <definedName name="OSRRefE21_0x_7" localSheetId="67">'325'!$L$23:$L$30</definedName>
    <definedName name="OSRRefE21_0x_7" localSheetId="58">'326'!$L$24:$L$32</definedName>
    <definedName name="OSRRefE21_0x_7" localSheetId="68">'327'!$L$21</definedName>
    <definedName name="OSRRefE21_0x_7" localSheetId="51">'330'!$L$22:$L$29</definedName>
    <definedName name="OSRRefE21_0x_7" localSheetId="56">'331'!$L$38:$L$46</definedName>
    <definedName name="OSRRefE21_0x_7" localSheetId="59">'332'!$L$23:$L$31</definedName>
    <definedName name="OSRRefE21_0x_7" localSheetId="72">'405'!$L$22:$L$30</definedName>
    <definedName name="OSRRefE21_0x_7" localSheetId="73">'411'!$L$19:$L$27</definedName>
    <definedName name="OSRRefE21_0x_7" localSheetId="74">'412'!$L$19</definedName>
    <definedName name="OSRRefE21_0x_7" localSheetId="75">'413'!$L$19</definedName>
    <definedName name="OSRRefE21_0x_7" localSheetId="76">'415'!$L$26:$L$34</definedName>
    <definedName name="OSRRefE21_0x_7" localSheetId="77">'418'!$L$22:$L$30</definedName>
    <definedName name="OSRRefE21_0x_7" localSheetId="78">'423'!$L$19:$L$26</definedName>
    <definedName name="OSRRefE21_0x_7" localSheetId="79">'424'!$L$19</definedName>
    <definedName name="OSRRefE21_0x_7" localSheetId="80">'425'!$L$20</definedName>
    <definedName name="OSRRefE21_0x_7" localSheetId="83">'430'!$L$19:$L$27</definedName>
    <definedName name="OSRRefE21_0x_7" localSheetId="84">'433'!$L$21:$L$30</definedName>
    <definedName name="OSRRefE21_0x_7" localSheetId="85">'444'!$L$26:$L$35</definedName>
    <definedName name="OSRRefE21_0x_7" localSheetId="86">'450'!$L$21:$L$30</definedName>
    <definedName name="OSRRefE21_0x_7" localSheetId="71">'491'!$L$26:$L$34</definedName>
    <definedName name="OSRRefE21_0x_7" localSheetId="82">'492'!$L$26:$L$35</definedName>
    <definedName name="OSRRefE21_0x_7" localSheetId="88">'501'!$L$20:$L$28</definedName>
    <definedName name="OSRRefE21_0x_7" localSheetId="39">'Div 2'!$L$19:$L$29</definedName>
    <definedName name="OSRRefE21_0x_7" localSheetId="41">'Div 3'!$L$46:$L$55</definedName>
    <definedName name="OSRRefE21_0x_7" localSheetId="69">'Div 4'!$L$28:$L$37</definedName>
    <definedName name="OSRRefE21_0x_7" localSheetId="87">'Div 5'!$L$20:$L$28</definedName>
    <definedName name="OSRRefE21_0x_7" localSheetId="61">'Div 6'!$L$33:$L$42</definedName>
    <definedName name="OSRRefE21_0x_7" localSheetId="2">Summary!$L$57:$L$66</definedName>
    <definedName name="OSRRefE21_0x_8" localSheetId="40">'200'!$M$19</definedName>
    <definedName name="OSRRefE21_0x_8" localSheetId="42">'201'!$M$19:$M$27</definedName>
    <definedName name="OSRRefE21_0x_8" localSheetId="43">'202'!$M$19:$M$27</definedName>
    <definedName name="OSRRefE21_0x_8" localSheetId="44">'203'!$M$19:$M$28</definedName>
    <definedName name="OSRRefE21_0x_8" localSheetId="45">'204'!$M$19:$M$27</definedName>
    <definedName name="OSRRefE21_0x_8" localSheetId="46">'205'!$M$19:$M$27</definedName>
    <definedName name="OSRRefE21_0x_8" localSheetId="47">'206'!$M$19:$M$27</definedName>
    <definedName name="OSRRefE21_0x_8" localSheetId="48">'300'!$M$45:$M$54</definedName>
    <definedName name="OSRRefE21_0x_8" localSheetId="49">'300 &amp; 317'!$M$51:$M$60</definedName>
    <definedName name="OSRRefE21_0x_8" localSheetId="50">'301'!$M$19:$M$28</definedName>
    <definedName name="OSRRefE21_0x_8" localSheetId="52">'307'!$M$22:$M$29</definedName>
    <definedName name="OSRRefE21_0x_8" localSheetId="53">'308'!$M$33:$M$42</definedName>
    <definedName name="OSRRefE21_0x_8" localSheetId="64">'309'!$M$19</definedName>
    <definedName name="OSRRefE21_0x_8" localSheetId="63">'310'!$M$23:$M$30</definedName>
    <definedName name="OSRRefE21_0x_8" localSheetId="70">'310 &amp; 491'!$M$26:$M$34</definedName>
    <definedName name="OSRRefE21_0x_8" localSheetId="54">'311'!$M$33:$M$42</definedName>
    <definedName name="OSRRefE21_0x_8" localSheetId="65">'313'!$M$19</definedName>
    <definedName name="OSRRefE21_0x_8" localSheetId="57">'315'!$M$38:$M$46</definedName>
    <definedName name="OSRRefE21_0x_8" localSheetId="60">'316'!$M$23:$M$31</definedName>
    <definedName name="OSRRefE21_0x_8" localSheetId="62">'317'!$M$33:$M$42</definedName>
    <definedName name="OSRRefE21_0x_8" localSheetId="66">'321'!$M$22:$M$29</definedName>
    <definedName name="OSRRefE21_0x_8" localSheetId="67">'325'!$M$23:$M$30</definedName>
    <definedName name="OSRRefE21_0x_8" localSheetId="58">'326'!$M$24:$M$32</definedName>
    <definedName name="OSRRefE21_0x_8" localSheetId="68">'327'!$M$21</definedName>
    <definedName name="OSRRefE21_0x_8" localSheetId="51">'330'!$M$22:$M$29</definedName>
    <definedName name="OSRRefE21_0x_8" localSheetId="56">'331'!$M$38:$M$46</definedName>
    <definedName name="OSRRefE21_0x_8" localSheetId="59">'332'!$M$23:$M$31</definedName>
    <definedName name="OSRRefE21_0x_8" localSheetId="72">'405'!$M$22:$M$30</definedName>
    <definedName name="OSRRefE21_0x_8" localSheetId="73">'411'!$M$19:$M$27</definedName>
    <definedName name="OSRRefE21_0x_8" localSheetId="74">'412'!$M$19</definedName>
    <definedName name="OSRRefE21_0x_8" localSheetId="75">'413'!$M$19</definedName>
    <definedName name="OSRRefE21_0x_8" localSheetId="76">'415'!$M$26:$M$34</definedName>
    <definedName name="OSRRefE21_0x_8" localSheetId="77">'418'!$M$22:$M$30</definedName>
    <definedName name="OSRRefE21_0x_8" localSheetId="78">'423'!$M$19:$M$26</definedName>
    <definedName name="OSRRefE21_0x_8" localSheetId="79">'424'!$M$19</definedName>
    <definedName name="OSRRefE21_0x_8" localSheetId="80">'425'!$M$20</definedName>
    <definedName name="OSRRefE21_0x_8" localSheetId="83">'430'!$M$19:$M$27</definedName>
    <definedName name="OSRRefE21_0x_8" localSheetId="84">'433'!$M$21:$M$30</definedName>
    <definedName name="OSRRefE21_0x_8" localSheetId="85">'444'!$M$26:$M$35</definedName>
    <definedName name="OSRRefE21_0x_8" localSheetId="86">'450'!$M$21:$M$30</definedName>
    <definedName name="OSRRefE21_0x_8" localSheetId="71">'491'!$M$26:$M$34</definedName>
    <definedName name="OSRRefE21_0x_8" localSheetId="82">'492'!$M$26:$M$35</definedName>
    <definedName name="OSRRefE21_0x_8" localSheetId="88">'501'!$M$20:$M$28</definedName>
    <definedName name="OSRRefE21_0x_8" localSheetId="39">'Div 2'!$M$19:$M$29</definedName>
    <definedName name="OSRRefE21_0x_8" localSheetId="41">'Div 3'!$M$46:$M$55</definedName>
    <definedName name="OSRRefE21_0x_8" localSheetId="69">'Div 4'!$M$28:$M$37</definedName>
    <definedName name="OSRRefE21_0x_8" localSheetId="87">'Div 5'!$M$20:$M$28</definedName>
    <definedName name="OSRRefE21_0x_8" localSheetId="61">'Div 6'!$M$33:$M$42</definedName>
    <definedName name="OSRRefE21_0x_8" localSheetId="2">Summary!$M$57:$M$66</definedName>
    <definedName name="OSRRefE21_0x_9" localSheetId="40">'200'!$N$19</definedName>
    <definedName name="OSRRefE21_0x_9" localSheetId="42">'201'!$N$19:$N$27</definedName>
    <definedName name="OSRRefE21_0x_9" localSheetId="43">'202'!$N$19:$N$27</definedName>
    <definedName name="OSRRefE21_0x_9" localSheetId="44">'203'!$N$19:$N$28</definedName>
    <definedName name="OSRRefE21_0x_9" localSheetId="45">'204'!$N$19:$N$27</definedName>
    <definedName name="OSRRefE21_0x_9" localSheetId="46">'205'!$N$19:$N$27</definedName>
    <definedName name="OSRRefE21_0x_9" localSheetId="47">'206'!$N$19:$N$27</definedName>
    <definedName name="OSRRefE21_0x_9" localSheetId="48">'300'!$N$45:$N$54</definedName>
    <definedName name="OSRRefE21_0x_9" localSheetId="49">'300 &amp; 317'!$N$51:$N$60</definedName>
    <definedName name="OSRRefE21_0x_9" localSheetId="50">'301'!$N$19:$N$28</definedName>
    <definedName name="OSRRefE21_0x_9" localSheetId="52">'307'!$N$22:$N$29</definedName>
    <definedName name="OSRRefE21_0x_9" localSheetId="53">'308'!$N$33:$N$42</definedName>
    <definedName name="OSRRefE21_0x_9" localSheetId="64">'309'!$N$19</definedName>
    <definedName name="OSRRefE21_0x_9" localSheetId="63">'310'!$N$23:$N$30</definedName>
    <definedName name="OSRRefE21_0x_9" localSheetId="70">'310 &amp; 491'!$N$26:$N$34</definedName>
    <definedName name="OSRRefE21_0x_9" localSheetId="54">'311'!$N$33:$N$42</definedName>
    <definedName name="OSRRefE21_0x_9" localSheetId="65">'313'!$N$19</definedName>
    <definedName name="OSRRefE21_0x_9" localSheetId="57">'315'!$N$38:$N$46</definedName>
    <definedName name="OSRRefE21_0x_9" localSheetId="60">'316'!$N$23:$N$31</definedName>
    <definedName name="OSRRefE21_0x_9" localSheetId="62">'317'!$N$33:$N$42</definedName>
    <definedName name="OSRRefE21_0x_9" localSheetId="66">'321'!$N$22:$N$29</definedName>
    <definedName name="OSRRefE21_0x_9" localSheetId="67">'325'!$N$23:$N$30</definedName>
    <definedName name="OSRRefE21_0x_9" localSheetId="58">'326'!$N$24:$N$32</definedName>
    <definedName name="OSRRefE21_0x_9" localSheetId="68">'327'!$N$21</definedName>
    <definedName name="OSRRefE21_0x_9" localSheetId="51">'330'!$N$22:$N$29</definedName>
    <definedName name="OSRRefE21_0x_9" localSheetId="56">'331'!$N$38:$N$46</definedName>
    <definedName name="OSRRefE21_0x_9" localSheetId="59">'332'!$N$23:$N$31</definedName>
    <definedName name="OSRRefE21_0x_9" localSheetId="72">'405'!$N$22:$N$30</definedName>
    <definedName name="OSRRefE21_0x_9" localSheetId="73">'411'!$N$19:$N$27</definedName>
    <definedName name="OSRRefE21_0x_9" localSheetId="74">'412'!$N$19</definedName>
    <definedName name="OSRRefE21_0x_9" localSheetId="75">'413'!$N$19</definedName>
    <definedName name="OSRRefE21_0x_9" localSheetId="76">'415'!$N$26:$N$34</definedName>
    <definedName name="OSRRefE21_0x_9" localSheetId="77">'418'!$N$22:$N$30</definedName>
    <definedName name="OSRRefE21_0x_9" localSheetId="78">'423'!$N$19:$N$26</definedName>
    <definedName name="OSRRefE21_0x_9" localSheetId="79">'424'!$N$19</definedName>
    <definedName name="OSRRefE21_0x_9" localSheetId="80">'425'!$N$20</definedName>
    <definedName name="OSRRefE21_0x_9" localSheetId="83">'430'!$N$19:$N$27</definedName>
    <definedName name="OSRRefE21_0x_9" localSheetId="84">'433'!$N$21:$N$30</definedName>
    <definedName name="OSRRefE21_0x_9" localSheetId="85">'444'!$N$26:$N$35</definedName>
    <definedName name="OSRRefE21_0x_9" localSheetId="86">'450'!$N$21:$N$30</definedName>
    <definedName name="OSRRefE21_0x_9" localSheetId="71">'491'!$N$26:$N$34</definedName>
    <definedName name="OSRRefE21_0x_9" localSheetId="82">'492'!$N$26:$N$35</definedName>
    <definedName name="OSRRefE21_0x_9" localSheetId="88">'501'!$N$20:$N$28</definedName>
    <definedName name="OSRRefE21_0x_9" localSheetId="39">'Div 2'!$N$19:$N$29</definedName>
    <definedName name="OSRRefE21_0x_9" localSheetId="41">'Div 3'!$N$46:$N$55</definedName>
    <definedName name="OSRRefE21_0x_9" localSheetId="69">'Div 4'!$N$28:$N$37</definedName>
    <definedName name="OSRRefE21_0x_9" localSheetId="87">'Div 5'!$N$20:$N$28</definedName>
    <definedName name="OSRRefE21_0x_9" localSheetId="61">'Div 6'!$N$33:$N$42</definedName>
    <definedName name="OSRRefE21_0x_9" localSheetId="2">Summary!$N$57:$N$66</definedName>
    <definedName name="OSRRefE21_1_0x" localSheetId="40">'200'!$E$21:$O$21</definedName>
    <definedName name="OSRRefE21_1_0x" localSheetId="42">'201'!$E$29:$O$29</definedName>
    <definedName name="OSRRefE21_1_0x" localSheetId="43">'202'!$E$29:$O$29</definedName>
    <definedName name="OSRRefE21_1_0x" localSheetId="44">'203'!$E$30:$O$30</definedName>
    <definedName name="OSRRefE21_1_0x" localSheetId="45">'204'!$E$29:$O$29</definedName>
    <definedName name="OSRRefE21_1_0x" localSheetId="46">'205'!$E$29:$O$29</definedName>
    <definedName name="OSRRefE21_1_0x" localSheetId="47">'206'!$E$29:$O$29</definedName>
    <definedName name="OSRRefE21_1_0x" localSheetId="48">'300'!$E$56:$O$56</definedName>
    <definedName name="OSRRefE21_1_0x" localSheetId="49">'300 &amp; 317'!$E$62:$O$62</definedName>
    <definedName name="OSRRefE21_1_0x" localSheetId="50">'301'!$E$30:$O$30</definedName>
    <definedName name="OSRRefE21_1_0x" localSheetId="52">'307'!$E$31:$O$31</definedName>
    <definedName name="OSRRefE21_1_0x" localSheetId="53">'308'!$E$44:$O$44</definedName>
    <definedName name="OSRRefE21_1_0x" localSheetId="64">'309'!$E$21:$O$21</definedName>
    <definedName name="OSRRefE21_1_0x" localSheetId="63">'310'!$E$32:$O$32</definedName>
    <definedName name="OSRRefE21_1_0x" localSheetId="70">'310 &amp; 491'!$E$36:$O$36</definedName>
    <definedName name="OSRRefE21_1_0x" localSheetId="54">'311'!$E$44:$O$44</definedName>
    <definedName name="OSRRefE21_1_0x" localSheetId="57">'315'!$E$48:$O$48</definedName>
    <definedName name="OSRRefE21_1_0x" localSheetId="60">'316'!$E$33:$O$33</definedName>
    <definedName name="OSRRefE21_1_0x" localSheetId="62">'317'!$E$44:$O$44</definedName>
    <definedName name="OSRRefE21_1_0x" localSheetId="66">'321'!$E$31:$O$31</definedName>
    <definedName name="OSRRefE21_1_0x" localSheetId="67">'325'!$E$32:$O$32</definedName>
    <definedName name="OSRRefE21_1_0x" localSheetId="58">'326'!$E$34:$O$34</definedName>
    <definedName name="OSRRefE21_1_0x" localSheetId="51">'330'!$E$31:$O$31</definedName>
    <definedName name="OSRRefE21_1_0x" localSheetId="56">'331'!$E$48:$O$48</definedName>
    <definedName name="OSRRefE21_1_0x" localSheetId="59">'332'!$E$33:$O$33</definedName>
    <definedName name="OSRRefE21_1_0x" localSheetId="72">'405'!$E$32:$O$32</definedName>
    <definedName name="OSRRefE21_1_0x" localSheetId="73">'411'!$E$29:$O$29</definedName>
    <definedName name="OSRRefE21_1_0x" localSheetId="74">'412'!$E$21:$O$21</definedName>
    <definedName name="OSRRefE21_1_0x" localSheetId="76">'415'!$E$36:$O$36</definedName>
    <definedName name="OSRRefE21_1_0x" localSheetId="77">'418'!$E$32:$O$32</definedName>
    <definedName name="OSRRefE21_1_0x" localSheetId="78">'423'!$E$28:$O$28</definedName>
    <definedName name="OSRRefE21_1_0x" localSheetId="83">'430'!$E$29:$O$29</definedName>
    <definedName name="OSRRefE21_1_0x" localSheetId="84">'433'!$E$32:$O$32</definedName>
    <definedName name="OSRRefE21_1_0x" localSheetId="85">'444'!$E$37:$O$37</definedName>
    <definedName name="OSRRefE21_1_0x" localSheetId="86">'450'!$E$32:$O$32</definedName>
    <definedName name="OSRRefE21_1_0x" localSheetId="71">'491'!$E$36:$O$36</definedName>
    <definedName name="OSRRefE21_1_0x" localSheetId="82">'492'!$E$37:$O$37</definedName>
    <definedName name="OSRRefE21_1_0x" localSheetId="88">'501'!$E$30:$O$30</definedName>
    <definedName name="OSRRefE21_1_0x" localSheetId="39">'Div 2'!$E$31:$O$31</definedName>
    <definedName name="OSRRefE21_1_0x" localSheetId="41">'Div 3'!$E$57:$O$57</definedName>
    <definedName name="OSRRefE21_1_0x" localSheetId="69">'Div 4'!$E$39:$O$39</definedName>
    <definedName name="OSRRefE21_1_0x" localSheetId="87">'Div 5'!$E$30:$O$30</definedName>
    <definedName name="OSRRefE21_1_0x" localSheetId="61">'Div 6'!$E$44:$O$44</definedName>
    <definedName name="OSRRefE21_1_0x" localSheetId="2">Summary!$E$68:$O$68</definedName>
    <definedName name="OSRRefE21_1_1x" localSheetId="42">'201'!$E$30:$O$30</definedName>
    <definedName name="OSRRefE21_1_1x" localSheetId="43">'202'!$E$30:$O$30</definedName>
    <definedName name="OSRRefE21_1_1x" localSheetId="44">'203'!$E$31:$O$31</definedName>
    <definedName name="OSRRefE21_1_1x" localSheetId="45">'204'!$E$30:$O$30</definedName>
    <definedName name="OSRRefE21_1_1x" localSheetId="46">'205'!$E$30:$O$30</definedName>
    <definedName name="OSRRefE21_1_1x" localSheetId="47">'206'!$E$30:$O$30</definedName>
    <definedName name="OSRRefE21_1_1x" localSheetId="48">'300'!$E$57:$O$57</definedName>
    <definedName name="OSRRefE21_1_1x" localSheetId="49">'300 &amp; 317'!$E$63:$O$63</definedName>
    <definedName name="OSRRefE21_1_1x" localSheetId="50">'301'!$E$31:$O$31</definedName>
    <definedName name="OSRRefE21_1_1x" localSheetId="52">'307'!$E$32:$O$32</definedName>
    <definedName name="OSRRefE21_1_1x" localSheetId="53">'308'!$E$45:$O$45</definedName>
    <definedName name="OSRRefE21_1_1x" localSheetId="63">'310'!$E$33:$O$33</definedName>
    <definedName name="OSRRefE21_1_1x" localSheetId="70">'310 &amp; 491'!$E$37:$O$37</definedName>
    <definedName name="OSRRefE21_1_1x" localSheetId="54">'311'!$E$45:$O$45</definedName>
    <definedName name="OSRRefE21_1_1x" localSheetId="57">'315'!$E$49:$O$49</definedName>
    <definedName name="OSRRefE21_1_1x" localSheetId="60">'316'!$E$34:$O$34</definedName>
    <definedName name="OSRRefE21_1_1x" localSheetId="62">'317'!$E$45:$O$45</definedName>
    <definedName name="OSRRefE21_1_1x" localSheetId="66">'321'!$E$32:$O$32</definedName>
    <definedName name="OSRRefE21_1_1x" localSheetId="67">'325'!$E$33:$O$33</definedName>
    <definedName name="OSRRefE21_1_1x" localSheetId="58">'326'!$E$35:$O$35</definedName>
    <definedName name="OSRRefE21_1_1x" localSheetId="51">'330'!$E$32:$O$32</definedName>
    <definedName name="OSRRefE21_1_1x" localSheetId="56">'331'!$E$49:$O$49</definedName>
    <definedName name="OSRRefE21_1_1x" localSheetId="59">'332'!$E$34:$O$34</definedName>
    <definedName name="OSRRefE21_1_1x" localSheetId="72">'405'!$E$33:$O$33</definedName>
    <definedName name="OSRRefE21_1_1x" localSheetId="73">'411'!$E$30:$O$30</definedName>
    <definedName name="OSRRefE21_1_1x" localSheetId="76">'415'!$E$37:$O$37</definedName>
    <definedName name="OSRRefE21_1_1x" localSheetId="77">'418'!$E$33:$O$33</definedName>
    <definedName name="OSRRefE21_1_1x" localSheetId="78">'423'!$E$29:$O$29</definedName>
    <definedName name="OSRRefE21_1_1x" localSheetId="83">'430'!$E$30:$O$30</definedName>
    <definedName name="OSRRefE21_1_1x" localSheetId="84">'433'!$E$33:$O$33</definedName>
    <definedName name="OSRRefE21_1_1x" localSheetId="85">'444'!$E$38:$O$38</definedName>
    <definedName name="OSRRefE21_1_1x" localSheetId="86">'450'!$E$33:$O$33</definedName>
    <definedName name="OSRRefE21_1_1x" localSheetId="71">'491'!$E$37:$O$37</definedName>
    <definedName name="OSRRefE21_1_1x" localSheetId="82">'492'!$E$38:$O$38</definedName>
    <definedName name="OSRRefE21_1_1x" localSheetId="88">'501'!$E$31:$O$31</definedName>
    <definedName name="OSRRefE21_1_1x" localSheetId="39">'Div 2'!$E$32:$O$32</definedName>
    <definedName name="OSRRefE21_1_1x" localSheetId="41">'Div 3'!$E$58:$O$58</definedName>
    <definedName name="OSRRefE21_1_1x" localSheetId="69">'Div 4'!$E$40:$O$40</definedName>
    <definedName name="OSRRefE21_1_1x" localSheetId="87">'Div 5'!$E$31:$O$31</definedName>
    <definedName name="OSRRefE21_1_1x" localSheetId="61">'Div 6'!$E$45:$O$45</definedName>
    <definedName name="OSRRefE21_1_1x" localSheetId="2">Summary!$E$69:$O$69</definedName>
    <definedName name="OSRRefE21_1_2x" localSheetId="42">'201'!$E$31:$O$31</definedName>
    <definedName name="OSRRefE21_1_2x" localSheetId="43">'202'!$E$31:$O$31</definedName>
    <definedName name="OSRRefE21_1_2x" localSheetId="44">'203'!$E$32:$O$32</definedName>
    <definedName name="OSRRefE21_1_2x" localSheetId="45">'204'!$E$31:$O$31</definedName>
    <definedName name="OSRRefE21_1_2x" localSheetId="46">'205'!$E$31:$O$31</definedName>
    <definedName name="OSRRefE21_1_2x" localSheetId="47">'206'!$E$31:$O$31</definedName>
    <definedName name="OSRRefE21_1_2x" localSheetId="48">'300'!$E$58:$O$58</definedName>
    <definedName name="OSRRefE21_1_2x" localSheetId="49">'300 &amp; 317'!$E$64:$O$64</definedName>
    <definedName name="OSRRefE21_1_2x" localSheetId="50">'301'!$E$32:$O$32</definedName>
    <definedName name="OSRRefE21_1_2x" localSheetId="52">'307'!$E$33:$O$33</definedName>
    <definedName name="OSRRefE21_1_2x" localSheetId="53">'308'!$E$46:$O$46</definedName>
    <definedName name="OSRRefE21_1_2x" localSheetId="63">'310'!$E$34:$O$34</definedName>
    <definedName name="OSRRefE21_1_2x" localSheetId="70">'310 &amp; 491'!$E$38:$O$38</definedName>
    <definedName name="OSRRefE21_1_2x" localSheetId="54">'311'!$E$46:$O$46</definedName>
    <definedName name="OSRRefE21_1_2x" localSheetId="57">'315'!$E$50:$O$50</definedName>
    <definedName name="OSRRefE21_1_2x" localSheetId="60">'316'!$E$35:$O$35</definedName>
    <definedName name="OSRRefE21_1_2x" localSheetId="62">'317'!$E$46:$O$46</definedName>
    <definedName name="OSRRefE21_1_2x" localSheetId="66">'321'!$E$33:$O$33</definedName>
    <definedName name="OSRRefE21_1_2x" localSheetId="67">'325'!$E$34:$O$34</definedName>
    <definedName name="OSRRefE21_1_2x" localSheetId="58">'326'!$E$36:$O$36</definedName>
    <definedName name="OSRRefE21_1_2x" localSheetId="51">'330'!$E$33:$O$33</definedName>
    <definedName name="OSRRefE21_1_2x" localSheetId="56">'331'!$E$50:$O$50</definedName>
    <definedName name="OSRRefE21_1_2x" localSheetId="59">'332'!$E$35:$O$35</definedName>
    <definedName name="OSRRefE21_1_2x" localSheetId="72">'405'!$E$34:$O$34</definedName>
    <definedName name="OSRRefE21_1_2x" localSheetId="73">'411'!$E$31:$O$31</definedName>
    <definedName name="OSRRefE21_1_2x" localSheetId="76">'415'!$E$38:$O$38</definedName>
    <definedName name="OSRRefE21_1_2x" localSheetId="77">'418'!$E$34:$O$34</definedName>
    <definedName name="OSRRefE21_1_2x" localSheetId="78">'423'!$E$30:$O$30</definedName>
    <definedName name="OSRRefE21_1_2x" localSheetId="83">'430'!$E$31:$O$31</definedName>
    <definedName name="OSRRefE21_1_2x" localSheetId="84">'433'!$E$34:$O$34</definedName>
    <definedName name="OSRRefE21_1_2x" localSheetId="85">'444'!$E$39:$O$39</definedName>
    <definedName name="OSRRefE21_1_2x" localSheetId="86">'450'!$E$34:$O$34</definedName>
    <definedName name="OSRRefE21_1_2x" localSheetId="71">'491'!$E$38:$O$38</definedName>
    <definedName name="OSRRefE21_1_2x" localSheetId="82">'492'!$E$39:$O$39</definedName>
    <definedName name="OSRRefE21_1_2x" localSheetId="88">'501'!$E$32:$O$32</definedName>
    <definedName name="OSRRefE21_1_2x" localSheetId="39">'Div 2'!$E$33:$O$33</definedName>
    <definedName name="OSRRefE21_1_2x" localSheetId="41">'Div 3'!$E$59:$O$59</definedName>
    <definedName name="OSRRefE21_1_2x" localSheetId="69">'Div 4'!$E$41:$O$41</definedName>
    <definedName name="OSRRefE21_1_2x" localSheetId="87">'Div 5'!$E$32:$O$32</definedName>
    <definedName name="OSRRefE21_1_2x" localSheetId="61">'Div 6'!$E$46:$O$46</definedName>
    <definedName name="OSRRefE21_1_2x" localSheetId="2">Summary!$E$70:$O$70</definedName>
    <definedName name="OSRRefE21_1_3x" localSheetId="42">'201'!$E$32:$O$32</definedName>
    <definedName name="OSRRefE21_1_3x" localSheetId="43">'202'!$E$32:$O$32</definedName>
    <definedName name="OSRRefE21_1_3x" localSheetId="44">'203'!$E$33:$O$33</definedName>
    <definedName name="OSRRefE21_1_3x" localSheetId="45">'204'!$E$32:$O$32</definedName>
    <definedName name="OSRRefE21_1_3x" localSheetId="46">'205'!$E$32:$O$32</definedName>
    <definedName name="OSRRefE21_1_3x" localSheetId="47">'206'!$E$32:$O$32</definedName>
    <definedName name="OSRRefE21_1_3x" localSheetId="48">'300'!$E$59:$O$59</definedName>
    <definedName name="OSRRefE21_1_3x" localSheetId="49">'300 &amp; 317'!$E$65:$O$65</definedName>
    <definedName name="OSRRefE21_1_3x" localSheetId="50">'301'!$E$33:$O$33</definedName>
    <definedName name="OSRRefE21_1_3x" localSheetId="52">'307'!$E$34:$O$34</definedName>
    <definedName name="OSRRefE21_1_3x" localSheetId="53">'308'!$E$47:$O$47</definedName>
    <definedName name="OSRRefE21_1_3x" localSheetId="63">'310'!$E$35:$O$35</definedName>
    <definedName name="OSRRefE21_1_3x" localSheetId="70">'310 &amp; 491'!$E$39:$O$39</definedName>
    <definedName name="OSRRefE21_1_3x" localSheetId="54">'311'!$E$47:$O$47</definedName>
    <definedName name="OSRRefE21_1_3x" localSheetId="57">'315'!$E$51:$O$51</definedName>
    <definedName name="OSRRefE21_1_3x" localSheetId="60">'316'!$E$36:$O$36</definedName>
    <definedName name="OSRRefE21_1_3x" localSheetId="62">'317'!$E$47:$O$47</definedName>
    <definedName name="OSRRefE21_1_3x" localSheetId="66">'321'!$E$34:$O$34</definedName>
    <definedName name="OSRRefE21_1_3x" localSheetId="67">'325'!$E$35:$O$35</definedName>
    <definedName name="OSRRefE21_1_3x" localSheetId="58">'326'!$E$37:$O$37</definedName>
    <definedName name="OSRRefE21_1_3x" localSheetId="51">'330'!$E$34:$O$34</definedName>
    <definedName name="OSRRefE21_1_3x" localSheetId="56">'331'!$E$51:$O$51</definedName>
    <definedName name="OSRRefE21_1_3x" localSheetId="59">'332'!$E$36:$O$36</definedName>
    <definedName name="OSRRefE21_1_3x" localSheetId="72">'405'!$E$35:$O$35</definedName>
    <definedName name="OSRRefE21_1_3x" localSheetId="73">'411'!$E$32:$O$32</definedName>
    <definedName name="OSRRefE21_1_3x" localSheetId="76">'415'!$E$39:$O$39</definedName>
    <definedName name="OSRRefE21_1_3x" localSheetId="77">'418'!$E$35:$O$35</definedName>
    <definedName name="OSRRefE21_1_3x" localSheetId="78">'423'!$E$31:$O$31</definedName>
    <definedName name="OSRRefE21_1_3x" localSheetId="83">'430'!$E$32:$O$32</definedName>
    <definedName name="OSRRefE21_1_3x" localSheetId="84">'433'!$E$35:$O$35</definedName>
    <definedName name="OSRRefE21_1_3x" localSheetId="85">'444'!$E$40:$O$40</definedName>
    <definedName name="OSRRefE21_1_3x" localSheetId="86">'450'!$E$35:$O$35</definedName>
    <definedName name="OSRRefE21_1_3x" localSheetId="71">'491'!$E$39:$O$39</definedName>
    <definedName name="OSRRefE21_1_3x" localSheetId="82">'492'!$E$40:$O$40</definedName>
    <definedName name="OSRRefE21_1_3x" localSheetId="88">'501'!$E$33:$O$33</definedName>
    <definedName name="OSRRefE21_1_3x" localSheetId="39">'Div 2'!$E$34:$O$34</definedName>
    <definedName name="OSRRefE21_1_3x" localSheetId="41">'Div 3'!$E$60:$O$60</definedName>
    <definedName name="OSRRefE21_1_3x" localSheetId="69">'Div 4'!$E$42:$O$42</definedName>
    <definedName name="OSRRefE21_1_3x" localSheetId="87">'Div 5'!$E$33:$O$33</definedName>
    <definedName name="OSRRefE21_1_3x" localSheetId="61">'Div 6'!$E$47:$O$47</definedName>
    <definedName name="OSRRefE21_1_3x" localSheetId="2">Summary!$E$71:$O$71</definedName>
    <definedName name="OSRRefE21_1_4x" localSheetId="42">'201'!$E$33:$O$33</definedName>
    <definedName name="OSRRefE21_1_4x" localSheetId="43">'202'!$E$33:$O$33</definedName>
    <definedName name="OSRRefE21_1_4x" localSheetId="44">'203'!$E$34:$O$34</definedName>
    <definedName name="OSRRefE21_1_4x" localSheetId="45">'204'!$E$33:$O$33</definedName>
    <definedName name="OSRRefE21_1_4x" localSheetId="46">'205'!$E$33:$O$33</definedName>
    <definedName name="OSRRefE21_1_4x" localSheetId="47">'206'!$E$33:$O$33</definedName>
    <definedName name="OSRRefE21_1_4x" localSheetId="48">'300'!$E$60:$O$60</definedName>
    <definedName name="OSRRefE21_1_4x" localSheetId="49">'300 &amp; 317'!$E$66:$O$66</definedName>
    <definedName name="OSRRefE21_1_4x" localSheetId="50">'301'!$E$34:$O$34</definedName>
    <definedName name="OSRRefE21_1_4x" localSheetId="52">'307'!$E$35:$O$35</definedName>
    <definedName name="OSRRefE21_1_4x" localSheetId="53">'308'!$E$48:$O$48</definedName>
    <definedName name="OSRRefE21_1_4x" localSheetId="63">'310'!$E$36:$O$36</definedName>
    <definedName name="OSRRefE21_1_4x" localSheetId="70">'310 &amp; 491'!$E$40:$O$40</definedName>
    <definedName name="OSRRefE21_1_4x" localSheetId="54">'311'!$E$48:$O$48</definedName>
    <definedName name="OSRRefE21_1_4x" localSheetId="57">'315'!$E$52:$O$52</definedName>
    <definedName name="OSRRefE21_1_4x" localSheetId="60">'316'!$E$37:$O$37</definedName>
    <definedName name="OSRRefE21_1_4x" localSheetId="62">'317'!$E$48:$O$48</definedName>
    <definedName name="OSRRefE21_1_4x" localSheetId="66">'321'!$E$35:$O$35</definedName>
    <definedName name="OSRRefE21_1_4x" localSheetId="67">'325'!$E$36:$O$36</definedName>
    <definedName name="OSRRefE21_1_4x" localSheetId="58">'326'!$E$38:$O$38</definedName>
    <definedName name="OSRRefE21_1_4x" localSheetId="51">'330'!$E$35:$O$35</definedName>
    <definedName name="OSRRefE21_1_4x" localSheetId="56">'331'!$E$52:$O$52</definedName>
    <definedName name="OSRRefE21_1_4x" localSheetId="59">'332'!$E$37:$O$37</definedName>
    <definedName name="OSRRefE21_1_4x" localSheetId="72">'405'!$E$36:$O$36</definedName>
    <definedName name="OSRRefE21_1_4x" localSheetId="73">'411'!$E$33:$O$33</definedName>
    <definedName name="OSRRefE21_1_4x" localSheetId="76">'415'!$E$40:$O$40</definedName>
    <definedName name="OSRRefE21_1_4x" localSheetId="77">'418'!$E$36:$O$36</definedName>
    <definedName name="OSRRefE21_1_4x" localSheetId="78">'423'!$E$32:$O$32</definedName>
    <definedName name="OSRRefE21_1_4x" localSheetId="83">'430'!$E$33:$O$33</definedName>
    <definedName name="OSRRefE21_1_4x" localSheetId="84">'433'!$E$36:$O$36</definedName>
    <definedName name="OSRRefE21_1_4x" localSheetId="85">'444'!$E$41:$O$41</definedName>
    <definedName name="OSRRefE21_1_4x" localSheetId="86">'450'!$E$36:$O$36</definedName>
    <definedName name="OSRRefE21_1_4x" localSheetId="71">'491'!$E$40:$O$40</definedName>
    <definedName name="OSRRefE21_1_4x" localSheetId="82">'492'!$E$41:$O$41</definedName>
    <definedName name="OSRRefE21_1_4x" localSheetId="88">'501'!$E$34:$O$34</definedName>
    <definedName name="OSRRefE21_1_4x" localSheetId="39">'Div 2'!$E$35:$O$35</definedName>
    <definedName name="OSRRefE21_1_4x" localSheetId="41">'Div 3'!$E$61:$O$61</definedName>
    <definedName name="OSRRefE21_1_4x" localSheetId="69">'Div 4'!$E$43:$O$43</definedName>
    <definedName name="OSRRefE21_1_4x" localSheetId="87">'Div 5'!$E$34:$O$34</definedName>
    <definedName name="OSRRefE21_1_4x" localSheetId="61">'Div 6'!$E$48:$O$48</definedName>
    <definedName name="OSRRefE21_1_4x" localSheetId="2">Summary!$E$72:$O$72</definedName>
    <definedName name="OSRRefE21_1_5x" localSheetId="42">'201'!$E$34:$O$34</definedName>
    <definedName name="OSRRefE21_1_5x" localSheetId="43">'202'!$E$34:$O$34</definedName>
    <definedName name="OSRRefE21_1_5x" localSheetId="44">'203'!$E$35:$O$35</definedName>
    <definedName name="OSRRefE21_1_5x" localSheetId="45">'204'!$E$34:$O$34</definedName>
    <definedName name="OSRRefE21_1_5x" localSheetId="46">'205'!$E$34:$O$34</definedName>
    <definedName name="OSRRefE21_1_5x" localSheetId="47">'206'!$E$34:$O$34</definedName>
    <definedName name="OSRRefE21_1_5x" localSheetId="48">'300'!$E$61:$O$61</definedName>
    <definedName name="OSRRefE21_1_5x" localSheetId="49">'300 &amp; 317'!$E$67:$O$67</definedName>
    <definedName name="OSRRefE21_1_5x" localSheetId="50">'301'!$E$35:$O$35</definedName>
    <definedName name="OSRRefE21_1_5x" localSheetId="52">'307'!$E$36:$O$36</definedName>
    <definedName name="OSRRefE21_1_5x" localSheetId="53">'308'!$E$49:$O$49</definedName>
    <definedName name="OSRRefE21_1_5x" localSheetId="63">'310'!$E$37:$O$37</definedName>
    <definedName name="OSRRefE21_1_5x" localSheetId="70">'310 &amp; 491'!$E$41:$O$41</definedName>
    <definedName name="OSRRefE21_1_5x" localSheetId="54">'311'!$E$49:$O$49</definedName>
    <definedName name="OSRRefE21_1_5x" localSheetId="57">'315'!$E$53:$O$53</definedName>
    <definedName name="OSRRefE21_1_5x" localSheetId="60">'316'!$E$38:$O$38</definedName>
    <definedName name="OSRRefE21_1_5x" localSheetId="62">'317'!$E$49:$O$49</definedName>
    <definedName name="OSRRefE21_1_5x" localSheetId="66">'321'!$E$36:$O$36</definedName>
    <definedName name="OSRRefE21_1_5x" localSheetId="67">'325'!$E$37:$O$37</definedName>
    <definedName name="OSRRefE21_1_5x" localSheetId="58">'326'!$E$39:$O$39</definedName>
    <definedName name="OSRRefE21_1_5x" localSheetId="51">'330'!$E$36:$O$36</definedName>
    <definedName name="OSRRefE21_1_5x" localSheetId="56">'331'!$E$53:$O$53</definedName>
    <definedName name="OSRRefE21_1_5x" localSheetId="59">'332'!$E$38:$O$38</definedName>
    <definedName name="OSRRefE21_1_5x" localSheetId="72">'405'!$E$37:$O$37</definedName>
    <definedName name="OSRRefE21_1_5x" localSheetId="73">'411'!$E$34:$O$34</definedName>
    <definedName name="OSRRefE21_1_5x" localSheetId="76">'415'!$E$41:$O$41</definedName>
    <definedName name="OSRRefE21_1_5x" localSheetId="77">'418'!$E$37:$O$37</definedName>
    <definedName name="OSRRefE21_1_5x" localSheetId="78">'423'!$E$33:$O$33</definedName>
    <definedName name="OSRRefE21_1_5x" localSheetId="83">'430'!$E$34:$O$34</definedName>
    <definedName name="OSRRefE21_1_5x" localSheetId="84">'433'!$E$37:$O$37</definedName>
    <definedName name="OSRRefE21_1_5x" localSheetId="85">'444'!$E$42:$O$42</definedName>
    <definedName name="OSRRefE21_1_5x" localSheetId="86">'450'!$E$37:$O$37</definedName>
    <definedName name="OSRRefE21_1_5x" localSheetId="71">'491'!$E$41:$O$41</definedName>
    <definedName name="OSRRefE21_1_5x" localSheetId="82">'492'!$E$42:$O$42</definedName>
    <definedName name="OSRRefE21_1_5x" localSheetId="88">'501'!$E$35:$O$35</definedName>
    <definedName name="OSRRefE21_1_5x" localSheetId="39">'Div 2'!$E$36:$O$36</definedName>
    <definedName name="OSRRefE21_1_5x" localSheetId="41">'Div 3'!$E$62:$O$62</definedName>
    <definedName name="OSRRefE21_1_5x" localSheetId="69">'Div 4'!$E$44:$O$44</definedName>
    <definedName name="OSRRefE21_1_5x" localSheetId="87">'Div 5'!$E$35:$O$35</definedName>
    <definedName name="OSRRefE21_1_5x" localSheetId="61">'Div 6'!$E$49:$O$49</definedName>
    <definedName name="OSRRefE21_1_5x" localSheetId="2">Summary!$E$73:$O$73</definedName>
    <definedName name="OSRRefE21_1_6x" localSheetId="42">'201'!$E$35:$O$35</definedName>
    <definedName name="OSRRefE21_1_6x" localSheetId="43">'202'!$E$35:$O$35</definedName>
    <definedName name="OSRRefE21_1_6x" localSheetId="44">'203'!$E$36:$O$36</definedName>
    <definedName name="OSRRefE21_1_6x" localSheetId="45">'204'!$E$35:$O$35</definedName>
    <definedName name="OSRRefE21_1_6x" localSheetId="46">'205'!$E$35:$O$35</definedName>
    <definedName name="OSRRefE21_1_6x" localSheetId="47">'206'!$E$35:$O$35</definedName>
    <definedName name="OSRRefE21_1_6x" localSheetId="48">'300'!$E$62:$O$62</definedName>
    <definedName name="OSRRefE21_1_6x" localSheetId="49">'300 &amp; 317'!$E$68:$O$68</definedName>
    <definedName name="OSRRefE21_1_6x" localSheetId="50">'301'!$E$36:$O$36</definedName>
    <definedName name="OSRRefE21_1_6x" localSheetId="52">'307'!$E$37:$O$37</definedName>
    <definedName name="OSRRefE21_1_6x" localSheetId="53">'308'!$E$50:$O$50</definedName>
    <definedName name="OSRRefE21_1_6x" localSheetId="63">'310'!$E$38:$O$38</definedName>
    <definedName name="OSRRefE21_1_6x" localSheetId="70">'310 &amp; 491'!$E$42:$O$42</definedName>
    <definedName name="OSRRefE21_1_6x" localSheetId="54">'311'!$E$50:$O$50</definedName>
    <definedName name="OSRRefE21_1_6x" localSheetId="57">'315'!$E$54:$O$54</definedName>
    <definedName name="OSRRefE21_1_6x" localSheetId="60">'316'!$E$39:$O$39</definedName>
    <definedName name="OSRRefE21_1_6x" localSheetId="62">'317'!$E$50:$O$50</definedName>
    <definedName name="OSRRefE21_1_6x" localSheetId="66">'321'!$E$37:$O$37</definedName>
    <definedName name="OSRRefE21_1_6x" localSheetId="67">'325'!$E$38:$O$38</definedName>
    <definedName name="OSRRefE21_1_6x" localSheetId="58">'326'!$E$40:$O$40</definedName>
    <definedName name="OSRRefE21_1_6x" localSheetId="51">'330'!$E$37:$O$37</definedName>
    <definedName name="OSRRefE21_1_6x" localSheetId="56">'331'!$E$54:$O$54</definedName>
    <definedName name="OSRRefE21_1_6x" localSheetId="59">'332'!$E$39:$O$39</definedName>
    <definedName name="OSRRefE21_1_6x" localSheetId="72">'405'!$E$38:$O$38</definedName>
    <definedName name="OSRRefE21_1_6x" localSheetId="73">'411'!$E$35:$O$35</definedName>
    <definedName name="OSRRefE21_1_6x" localSheetId="76">'415'!$E$42:$O$42</definedName>
    <definedName name="OSRRefE21_1_6x" localSheetId="77">'418'!$E$38:$O$38</definedName>
    <definedName name="OSRRefE21_1_6x" localSheetId="78">'423'!$E$34:$O$34</definedName>
    <definedName name="OSRRefE21_1_6x" localSheetId="83">'430'!$E$35:$O$35</definedName>
    <definedName name="OSRRefE21_1_6x" localSheetId="84">'433'!$E$38:$O$38</definedName>
    <definedName name="OSRRefE21_1_6x" localSheetId="85">'444'!$E$43:$O$43</definedName>
    <definedName name="OSRRefE21_1_6x" localSheetId="86">'450'!$E$38:$O$38</definedName>
    <definedName name="OSRRefE21_1_6x" localSheetId="71">'491'!$E$42:$O$42</definedName>
    <definedName name="OSRRefE21_1_6x" localSheetId="82">'492'!$E$43:$O$43</definedName>
    <definedName name="OSRRefE21_1_6x" localSheetId="88">'501'!$E$36:$O$36</definedName>
    <definedName name="OSRRefE21_1_6x" localSheetId="39">'Div 2'!$E$37:$O$37</definedName>
    <definedName name="OSRRefE21_1_6x" localSheetId="41">'Div 3'!$E$63:$O$63</definedName>
    <definedName name="OSRRefE21_1_6x" localSheetId="69">'Div 4'!$E$45:$O$45</definedName>
    <definedName name="OSRRefE21_1_6x" localSheetId="87">'Div 5'!$E$36:$O$36</definedName>
    <definedName name="OSRRefE21_1_6x" localSheetId="61">'Div 6'!$E$50:$O$50</definedName>
    <definedName name="OSRRefE21_1_6x" localSheetId="2">Summary!$E$74:$O$74</definedName>
    <definedName name="OSRRefE21_1_7x" localSheetId="42">'201'!$E$36:$O$36</definedName>
    <definedName name="OSRRefE21_1_7x" localSheetId="43">'202'!$E$36:$O$36</definedName>
    <definedName name="OSRRefE21_1_7x" localSheetId="44">'203'!$E$37:$O$37</definedName>
    <definedName name="OSRRefE21_1_7x" localSheetId="45">'204'!$E$36:$O$36</definedName>
    <definedName name="OSRRefE21_1_7x" localSheetId="46">'205'!$E$36:$O$36</definedName>
    <definedName name="OSRRefE21_1_7x" localSheetId="47">'206'!$E$36:$O$36</definedName>
    <definedName name="OSRRefE21_1_7x" localSheetId="48">'300'!$E$63:$O$63</definedName>
    <definedName name="OSRRefE21_1_7x" localSheetId="49">'300 &amp; 317'!$E$69:$O$69</definedName>
    <definedName name="OSRRefE21_1_7x" localSheetId="50">'301'!$E$37:$O$37</definedName>
    <definedName name="OSRRefE21_1_7x" localSheetId="52">'307'!$E$38:$O$38</definedName>
    <definedName name="OSRRefE21_1_7x" localSheetId="53">'308'!$E$51:$O$51</definedName>
    <definedName name="OSRRefE21_1_7x" localSheetId="63">'310'!$E$39:$O$39</definedName>
    <definedName name="OSRRefE21_1_7x" localSheetId="70">'310 &amp; 491'!$E$43:$O$43</definedName>
    <definedName name="OSRRefE21_1_7x" localSheetId="54">'311'!$E$51:$O$51</definedName>
    <definedName name="OSRRefE21_1_7x" localSheetId="57">'315'!$E$55:$O$55</definedName>
    <definedName name="OSRRefE21_1_7x" localSheetId="60">'316'!$E$40:$O$40</definedName>
    <definedName name="OSRRefE21_1_7x" localSheetId="62">'317'!$E$51:$O$51</definedName>
    <definedName name="OSRRefE21_1_7x" localSheetId="66">'321'!$E$38:$O$38</definedName>
    <definedName name="OSRRefE21_1_7x" localSheetId="67">'325'!$E$39:$O$39</definedName>
    <definedName name="OSRRefE21_1_7x" localSheetId="58">'326'!$E$41:$O$41</definedName>
    <definedName name="OSRRefE21_1_7x" localSheetId="51">'330'!$E$38:$O$38</definedName>
    <definedName name="OSRRefE21_1_7x" localSheetId="56">'331'!$E$55:$O$55</definedName>
    <definedName name="OSRRefE21_1_7x" localSheetId="59">'332'!$E$40:$O$40</definedName>
    <definedName name="OSRRefE21_1_7x" localSheetId="72">'405'!$E$39:$O$39</definedName>
    <definedName name="OSRRefE21_1_7x" localSheetId="73">'411'!$E$36:$O$36</definedName>
    <definedName name="OSRRefE21_1_7x" localSheetId="76">'415'!$E$43:$O$43</definedName>
    <definedName name="OSRRefE21_1_7x" localSheetId="77">'418'!$E$39:$O$39</definedName>
    <definedName name="OSRRefE21_1_7x" localSheetId="78">'423'!$E$35:$O$35</definedName>
    <definedName name="OSRRefE21_1_7x" localSheetId="83">'430'!$E$36:$O$36</definedName>
    <definedName name="OSRRefE21_1_7x" localSheetId="84">'433'!$E$39:$O$39</definedName>
    <definedName name="OSRRefE21_1_7x" localSheetId="85">'444'!$E$44:$O$44</definedName>
    <definedName name="OSRRefE21_1_7x" localSheetId="86">'450'!$E$39:$O$39</definedName>
    <definedName name="OSRRefE21_1_7x" localSheetId="71">'491'!$E$43:$O$43</definedName>
    <definedName name="OSRRefE21_1_7x" localSheetId="82">'492'!$E$44:$O$44</definedName>
    <definedName name="OSRRefE21_1_7x" localSheetId="88">'501'!$E$37:$O$37</definedName>
    <definedName name="OSRRefE21_1_7x" localSheetId="39">'Div 2'!$E$38:$O$38</definedName>
    <definedName name="OSRRefE21_1_7x" localSheetId="41">'Div 3'!$E$64:$O$64</definedName>
    <definedName name="OSRRefE21_1_7x" localSheetId="69">'Div 4'!$E$46:$O$46</definedName>
    <definedName name="OSRRefE21_1_7x" localSheetId="87">'Div 5'!$E$37:$O$37</definedName>
    <definedName name="OSRRefE21_1_7x" localSheetId="61">'Div 6'!$E$51:$O$51</definedName>
    <definedName name="OSRRefE21_1_7x" localSheetId="2">Summary!$E$75:$O$75</definedName>
    <definedName name="OSRRefE21_1_8x" localSheetId="42">'201'!$E$37:$O$37</definedName>
    <definedName name="OSRRefE21_1_8x" localSheetId="43">'202'!$E$37:$O$37</definedName>
    <definedName name="OSRRefE21_1_8x" localSheetId="44">'203'!$E$38:$O$38</definedName>
    <definedName name="OSRRefE21_1_8x" localSheetId="45">'204'!$E$37:$O$37</definedName>
    <definedName name="OSRRefE21_1_8x" localSheetId="46">'205'!$E$37:$O$37</definedName>
    <definedName name="OSRRefE21_1_8x" localSheetId="47">'206'!$E$37:$O$37</definedName>
    <definedName name="OSRRefE21_1_8x" localSheetId="48">'300'!$E$64:$O$64</definedName>
    <definedName name="OSRRefE21_1_8x" localSheetId="49">'300 &amp; 317'!$E$70:$O$70</definedName>
    <definedName name="OSRRefE21_1_8x" localSheetId="50">'301'!$E$38:$O$38</definedName>
    <definedName name="OSRRefE21_1_8x" localSheetId="52">'307'!$E$39:$O$39</definedName>
    <definedName name="OSRRefE21_1_8x" localSheetId="53">'308'!$E$52:$O$52</definedName>
    <definedName name="OSRRefE21_1_8x" localSheetId="63">'310'!$E$40:$O$40</definedName>
    <definedName name="OSRRefE21_1_8x" localSheetId="70">'310 &amp; 491'!$E$44:$O$44</definedName>
    <definedName name="OSRRefE21_1_8x" localSheetId="54">'311'!$E$52:$O$52</definedName>
    <definedName name="OSRRefE21_1_8x" localSheetId="57">'315'!$E$56:$O$56</definedName>
    <definedName name="OSRRefE21_1_8x" localSheetId="60">'316'!$E$41:$O$41</definedName>
    <definedName name="OSRRefE21_1_8x" localSheetId="62">'317'!$E$52:$O$52</definedName>
    <definedName name="OSRRefE21_1_8x" localSheetId="66">'321'!$E$39:$O$39</definedName>
    <definedName name="OSRRefE21_1_8x" localSheetId="67">'325'!$E$40:$O$40</definedName>
    <definedName name="OSRRefE21_1_8x" localSheetId="58">'326'!$E$42:$O$42</definedName>
    <definedName name="OSRRefE21_1_8x" localSheetId="51">'330'!$E$39:$O$39</definedName>
    <definedName name="OSRRefE21_1_8x" localSheetId="56">'331'!$E$56:$O$56</definedName>
    <definedName name="OSRRefE21_1_8x" localSheetId="59">'332'!$E$41:$O$41</definedName>
    <definedName name="OSRRefE21_1_8x" localSheetId="72">'405'!$E$40:$O$40</definedName>
    <definedName name="OSRRefE21_1_8x" localSheetId="73">'411'!$E$37:$O$37</definedName>
    <definedName name="OSRRefE21_1_8x" localSheetId="76">'415'!$E$44:$O$44</definedName>
    <definedName name="OSRRefE21_1_8x" localSheetId="77">'418'!$E$40:$O$40</definedName>
    <definedName name="OSRRefE21_1_8x" localSheetId="78">'423'!$E$36:$O$36</definedName>
    <definedName name="OSRRefE21_1_8x" localSheetId="83">'430'!$E$37:$O$37</definedName>
    <definedName name="OSRRefE21_1_8x" localSheetId="84">'433'!$E$40:$O$40</definedName>
    <definedName name="OSRRefE21_1_8x" localSheetId="85">'444'!$E$45:$O$45</definedName>
    <definedName name="OSRRefE21_1_8x" localSheetId="86">'450'!$E$40:$O$40</definedName>
    <definedName name="OSRRefE21_1_8x" localSheetId="71">'491'!$E$44:$O$44</definedName>
    <definedName name="OSRRefE21_1_8x" localSheetId="82">'492'!$E$45:$O$45</definedName>
    <definedName name="OSRRefE21_1_8x" localSheetId="88">'501'!$E$38:$O$38</definedName>
    <definedName name="OSRRefE21_1_8x" localSheetId="39">'Div 2'!$E$39:$O$39</definedName>
    <definedName name="OSRRefE21_1_8x" localSheetId="41">'Div 3'!$E$65:$O$65</definedName>
    <definedName name="OSRRefE21_1_8x" localSheetId="69">'Div 4'!$E$47:$O$47</definedName>
    <definedName name="OSRRefE21_1_8x" localSheetId="87">'Div 5'!$E$38:$O$38</definedName>
    <definedName name="OSRRefE21_1_8x" localSheetId="61">'Div 6'!$E$52:$O$52</definedName>
    <definedName name="OSRRefE21_1_8x" localSheetId="2">Summary!$E$76:$O$76</definedName>
    <definedName name="OSRRefE21_1_9x" localSheetId="42">'201'!$E$38:$O$38</definedName>
    <definedName name="OSRRefE21_1_9x" localSheetId="43">'202'!$E$38:$O$38</definedName>
    <definedName name="OSRRefE21_1_9x" localSheetId="44">'203'!$E$39:$O$39</definedName>
    <definedName name="OSRRefE21_1_9x" localSheetId="45">'204'!$E$38:$O$38</definedName>
    <definedName name="OSRRefE21_1_9x" localSheetId="46">'205'!$E$38:$O$38</definedName>
    <definedName name="OSRRefE21_1_9x" localSheetId="47">'206'!$E$38:$O$38</definedName>
    <definedName name="OSRRefE21_1_9x" localSheetId="48">'300'!$E$65:$O$65</definedName>
    <definedName name="OSRRefE21_1_9x" localSheetId="49">'300 &amp; 317'!$E$71:$O$71</definedName>
    <definedName name="OSRRefE21_1_9x" localSheetId="50">'301'!$E$39:$O$39</definedName>
    <definedName name="OSRRefE21_1_9x" localSheetId="52">'307'!$E$40:$O$40</definedName>
    <definedName name="OSRRefE21_1_9x" localSheetId="53">'308'!$E$53:$O$53</definedName>
    <definedName name="OSRRefE21_1_9x" localSheetId="63">'310'!$E$41:$O$41</definedName>
    <definedName name="OSRRefE21_1_9x" localSheetId="70">'310 &amp; 491'!$E$45:$O$45</definedName>
    <definedName name="OSRRefE21_1_9x" localSheetId="54">'311'!$E$53:$O$53</definedName>
    <definedName name="OSRRefE21_1_9x" localSheetId="57">'315'!$E$57:$O$57</definedName>
    <definedName name="OSRRefE21_1_9x" localSheetId="60">'316'!$E$42:$O$42</definedName>
    <definedName name="OSRRefE21_1_9x" localSheetId="62">'317'!$E$53:$O$53</definedName>
    <definedName name="OSRRefE21_1_9x" localSheetId="66">'321'!$E$40:$O$40</definedName>
    <definedName name="OSRRefE21_1_9x" localSheetId="67">'325'!$E$41:$O$41</definedName>
    <definedName name="OSRRefE21_1_9x" localSheetId="58">'326'!$E$43:$O$43</definedName>
    <definedName name="OSRRefE21_1_9x" localSheetId="51">'330'!$E$40:$O$40</definedName>
    <definedName name="OSRRefE21_1_9x" localSheetId="56">'331'!$E$57:$O$57</definedName>
    <definedName name="OSRRefE21_1_9x" localSheetId="59">'332'!$E$42:$O$42</definedName>
    <definedName name="OSRRefE21_1_9x" localSheetId="72">'405'!$E$41:$O$41</definedName>
    <definedName name="OSRRefE21_1_9x" localSheetId="73">'411'!$E$38:$O$38</definedName>
    <definedName name="OSRRefE21_1_9x" localSheetId="76">'415'!$E$45:$O$45</definedName>
    <definedName name="OSRRefE21_1_9x" localSheetId="77">'418'!$E$41:$O$41</definedName>
    <definedName name="OSRRefE21_1_9x" localSheetId="78">'423'!$E$37:$O$37</definedName>
    <definedName name="OSRRefE21_1_9x" localSheetId="83">'430'!$E$38:$O$38</definedName>
    <definedName name="OSRRefE21_1_9x" localSheetId="84">'433'!$E$41:$O$41</definedName>
    <definedName name="OSRRefE21_1_9x" localSheetId="85">'444'!$E$46:$O$46</definedName>
    <definedName name="OSRRefE21_1_9x" localSheetId="86">'450'!$E$41:$O$41</definedName>
    <definedName name="OSRRefE21_1_9x" localSheetId="71">'491'!$E$45:$O$45</definedName>
    <definedName name="OSRRefE21_1_9x" localSheetId="82">'492'!$E$46:$O$46</definedName>
    <definedName name="OSRRefE21_1_9x" localSheetId="88">'501'!$E$39:$O$39</definedName>
    <definedName name="OSRRefE21_1_9x" localSheetId="39">'Div 2'!$E$40:$O$40</definedName>
    <definedName name="OSRRefE21_1_9x" localSheetId="41">'Div 3'!$E$66:$O$66</definedName>
    <definedName name="OSRRefE21_1_9x" localSheetId="69">'Div 4'!$E$48:$O$48</definedName>
    <definedName name="OSRRefE21_1_9x" localSheetId="87">'Div 5'!$E$39:$O$39</definedName>
    <definedName name="OSRRefE21_1_9x" localSheetId="61">'Div 6'!$E$53:$O$53</definedName>
    <definedName name="OSRRefE21_1_9x" localSheetId="2">Summary!$E$77:$O$77</definedName>
    <definedName name="OSRRefE21_10_0x" localSheetId="42">'201'!$E$58:$O$58</definedName>
    <definedName name="OSRRefE21_10_0x" localSheetId="43">'202'!$E$58:$O$58</definedName>
    <definedName name="OSRRefE21_10_0x" localSheetId="44">'203'!$E$59:$O$59</definedName>
    <definedName name="OSRRefE21_10_0x" localSheetId="48">'300'!$E$85:$O$85</definedName>
    <definedName name="OSRRefE21_10_0x" localSheetId="49">'300 &amp; 317'!$E$91:$O$91</definedName>
    <definedName name="OSRRefE21_10_0x" localSheetId="50">'301'!$E$58:$O$58</definedName>
    <definedName name="OSRRefE21_10_0x" localSheetId="53">'308'!$E$74:$O$74</definedName>
    <definedName name="OSRRefE21_10_0x" localSheetId="63">'310'!$E$60:$O$60</definedName>
    <definedName name="OSRRefE21_10_0x" localSheetId="70">'310 &amp; 491'!$E$65:$O$65</definedName>
    <definedName name="OSRRefE21_10_0x" localSheetId="54">'311'!$E$74:$O$74</definedName>
    <definedName name="OSRRefE21_10_0x" localSheetId="57">'315'!$E$76:$O$76</definedName>
    <definedName name="OSRRefE21_10_0x" localSheetId="66">'321'!$E$60:$O$60</definedName>
    <definedName name="OSRRefE21_10_0x" localSheetId="67">'325'!$E$60:$O$60</definedName>
    <definedName name="OSRRefE21_10_0x" localSheetId="58">'326'!$E$61:$O$61</definedName>
    <definedName name="OSRRefE21_10_0x" localSheetId="56">'331'!$E$77:$O$77</definedName>
    <definedName name="OSRRefE21_10_0x" localSheetId="72">'405'!$E$63:$O$63</definedName>
    <definedName name="OSRRefE21_10_0x" localSheetId="73">'411'!$E$60:$O$60</definedName>
    <definedName name="OSRRefE21_10_0x" localSheetId="76">'415'!$E$64:$O$64</definedName>
    <definedName name="OSRRefE21_10_0x" localSheetId="77">'418'!$E$64:$O$64</definedName>
    <definedName name="OSRRefE21_10_0x" localSheetId="84">'433'!$E$59:$O$59</definedName>
    <definedName name="OSRRefE21_10_0x" localSheetId="85">'444'!$E$64:$O$64</definedName>
    <definedName name="OSRRefE21_10_0x" localSheetId="86">'450'!$E$59:$O$59</definedName>
    <definedName name="OSRRefE21_10_0x" localSheetId="71">'491'!$E$65:$O$65</definedName>
    <definedName name="OSRRefE21_10_0x" localSheetId="82">'492'!$E$64:$O$64</definedName>
    <definedName name="OSRRefE21_10_0x" localSheetId="88">'501'!$E$59:$O$59</definedName>
    <definedName name="OSRRefE21_10_0x" localSheetId="39">'Div 2'!$E$59:$O$59</definedName>
    <definedName name="OSRRefE21_10_0x" localSheetId="41">'Div 3'!$E$86:$O$86</definedName>
    <definedName name="OSRRefE21_10_0x" localSheetId="69">'Div 4'!$E$68:$O$68</definedName>
    <definedName name="OSRRefE21_10_0x" localSheetId="87">'Div 5'!$E$59:$O$59</definedName>
    <definedName name="OSRRefE21_10_0x" localSheetId="2">Summary!$E$97:$O$97</definedName>
    <definedName name="OSRRefE21_10_1x" localSheetId="48">'300'!$E$86:$O$86</definedName>
    <definedName name="OSRRefE21_10_1x" localSheetId="49">'300 &amp; 317'!$E$92:$O$92</definedName>
    <definedName name="OSRRefE21_10_1x" localSheetId="53">'308'!$E$75:$O$75</definedName>
    <definedName name="OSRRefE21_10_1x" localSheetId="54">'311'!$E$75:$O$75</definedName>
    <definedName name="OSRRefE21_10_1x" localSheetId="67">'325'!$E$61:$O$61</definedName>
    <definedName name="OSRRefE21_10_1x" localSheetId="58">'326'!$E$62:$O$62</definedName>
    <definedName name="OSRRefE21_10_1x" localSheetId="41">'Div 3'!$E$87:$O$87</definedName>
    <definedName name="OSRRefE21_10_1x" localSheetId="2">Summary!$E$98:$O$98</definedName>
    <definedName name="OSRRefE21_10x_0" localSheetId="42">'201'!$E$58</definedName>
    <definedName name="OSRRefE21_10x_0" localSheetId="43">'202'!$E$58</definedName>
    <definedName name="OSRRefE21_10x_0" localSheetId="44">'203'!$E$59</definedName>
    <definedName name="OSRRefE21_10x_0" localSheetId="48">'300'!$E$85:$E$86</definedName>
    <definedName name="OSRRefE21_10x_0" localSheetId="49">'300 &amp; 317'!$E$91:$E$92</definedName>
    <definedName name="OSRRefE21_10x_0" localSheetId="50">'301'!$E$58</definedName>
    <definedName name="OSRRefE21_10x_0" localSheetId="53">'308'!$E$74:$E$75</definedName>
    <definedName name="OSRRefE21_10x_0" localSheetId="63">'310'!$E$60</definedName>
    <definedName name="OSRRefE21_10x_0" localSheetId="70">'310 &amp; 491'!$E$65</definedName>
    <definedName name="OSRRefE21_10x_0" localSheetId="54">'311'!$E$74:$E$75</definedName>
    <definedName name="OSRRefE21_10x_0" localSheetId="57">'315'!$E$76</definedName>
    <definedName name="OSRRefE21_10x_0" localSheetId="66">'321'!$E$60</definedName>
    <definedName name="OSRRefE21_10x_0" localSheetId="67">'325'!$E$60:$E$61</definedName>
    <definedName name="OSRRefE21_10x_0" localSheetId="58">'326'!$E$61:$E$62</definedName>
    <definedName name="OSRRefE21_10x_0" localSheetId="56">'331'!$E$77</definedName>
    <definedName name="OSRRefE21_10x_0" localSheetId="72">'405'!$E$63</definedName>
    <definedName name="OSRRefE21_10x_0" localSheetId="73">'411'!$E$60</definedName>
    <definedName name="OSRRefE21_10x_0" localSheetId="76">'415'!$E$64</definedName>
    <definedName name="OSRRefE21_10x_0" localSheetId="77">'418'!$E$64</definedName>
    <definedName name="OSRRefE21_10x_0" localSheetId="84">'433'!$E$59</definedName>
    <definedName name="OSRRefE21_10x_0" localSheetId="85">'444'!$E$64</definedName>
    <definedName name="OSRRefE21_10x_0" localSheetId="86">'450'!$E$59</definedName>
    <definedName name="OSRRefE21_10x_0" localSheetId="71">'491'!$E$65</definedName>
    <definedName name="OSRRefE21_10x_0" localSheetId="82">'492'!$E$64</definedName>
    <definedName name="OSRRefE21_10x_0" localSheetId="88">'501'!$E$59</definedName>
    <definedName name="OSRRefE21_10x_0" localSheetId="39">'Div 2'!$E$59</definedName>
    <definedName name="OSRRefE21_10x_0" localSheetId="41">'Div 3'!$E$86:$E$87</definedName>
    <definedName name="OSRRefE21_10x_0" localSheetId="69">'Div 4'!$E$68</definedName>
    <definedName name="OSRRefE21_10x_0" localSheetId="87">'Div 5'!$E$59</definedName>
    <definedName name="OSRRefE21_10x_0" localSheetId="2">Summary!$E$97:$E$98</definedName>
    <definedName name="OSRRefE21_10x_1" localSheetId="42">'201'!$F$58</definedName>
    <definedName name="OSRRefE21_10x_1" localSheetId="43">'202'!$F$58</definedName>
    <definedName name="OSRRefE21_10x_1" localSheetId="44">'203'!$F$59</definedName>
    <definedName name="OSRRefE21_10x_1" localSheetId="48">'300'!$F$85:$F$86</definedName>
    <definedName name="OSRRefE21_10x_1" localSheetId="49">'300 &amp; 317'!$F$91:$F$92</definedName>
    <definedName name="OSRRefE21_10x_1" localSheetId="50">'301'!$F$58</definedName>
    <definedName name="OSRRefE21_10x_1" localSheetId="53">'308'!$F$74:$F$75</definedName>
    <definedName name="OSRRefE21_10x_1" localSheetId="63">'310'!$F$60</definedName>
    <definedName name="OSRRefE21_10x_1" localSheetId="70">'310 &amp; 491'!$F$65</definedName>
    <definedName name="OSRRefE21_10x_1" localSheetId="54">'311'!$F$74:$F$75</definedName>
    <definedName name="OSRRefE21_10x_1" localSheetId="57">'315'!$F$76</definedName>
    <definedName name="OSRRefE21_10x_1" localSheetId="66">'321'!$F$60</definedName>
    <definedName name="OSRRefE21_10x_1" localSheetId="67">'325'!$F$60:$F$61</definedName>
    <definedName name="OSRRefE21_10x_1" localSheetId="58">'326'!$F$61:$F$62</definedName>
    <definedName name="OSRRefE21_10x_1" localSheetId="56">'331'!$F$77</definedName>
    <definedName name="OSRRefE21_10x_1" localSheetId="72">'405'!$F$63</definedName>
    <definedName name="OSRRefE21_10x_1" localSheetId="73">'411'!$F$60</definedName>
    <definedName name="OSRRefE21_10x_1" localSheetId="76">'415'!$F$64</definedName>
    <definedName name="OSRRefE21_10x_1" localSheetId="77">'418'!$F$64</definedName>
    <definedName name="OSRRefE21_10x_1" localSheetId="84">'433'!$F$59</definedName>
    <definedName name="OSRRefE21_10x_1" localSheetId="85">'444'!$F$64</definedName>
    <definedName name="OSRRefE21_10x_1" localSheetId="86">'450'!$F$59</definedName>
    <definedName name="OSRRefE21_10x_1" localSheetId="71">'491'!$F$65</definedName>
    <definedName name="OSRRefE21_10x_1" localSheetId="82">'492'!$F$64</definedName>
    <definedName name="OSRRefE21_10x_1" localSheetId="88">'501'!$F$59</definedName>
    <definedName name="OSRRefE21_10x_1" localSheetId="39">'Div 2'!$F$59</definedName>
    <definedName name="OSRRefE21_10x_1" localSheetId="41">'Div 3'!$F$86:$F$87</definedName>
    <definedName name="OSRRefE21_10x_1" localSheetId="69">'Div 4'!$F$68</definedName>
    <definedName name="OSRRefE21_10x_1" localSheetId="87">'Div 5'!$F$59</definedName>
    <definedName name="OSRRefE21_10x_1" localSheetId="2">Summary!$F$97:$F$98</definedName>
    <definedName name="OSRRefE21_10x_10" localSheetId="42">'201'!$O$58</definedName>
    <definedName name="OSRRefE21_10x_10" localSheetId="43">'202'!$O$58</definedName>
    <definedName name="OSRRefE21_10x_10" localSheetId="44">'203'!$O$59</definedName>
    <definedName name="OSRRefE21_10x_10" localSheetId="48">'300'!$O$85:$O$86</definedName>
    <definedName name="OSRRefE21_10x_10" localSheetId="49">'300 &amp; 317'!$O$91:$O$92</definedName>
    <definedName name="OSRRefE21_10x_10" localSheetId="50">'301'!$O$58</definedName>
    <definedName name="OSRRefE21_10x_10" localSheetId="53">'308'!$O$74:$O$75</definedName>
    <definedName name="OSRRefE21_10x_10" localSheetId="63">'310'!$O$60</definedName>
    <definedName name="OSRRefE21_10x_10" localSheetId="70">'310 &amp; 491'!$O$65</definedName>
    <definedName name="OSRRefE21_10x_10" localSheetId="54">'311'!$O$74:$O$75</definedName>
    <definedName name="OSRRefE21_10x_10" localSheetId="57">'315'!$O$76</definedName>
    <definedName name="OSRRefE21_10x_10" localSheetId="66">'321'!$O$60</definedName>
    <definedName name="OSRRefE21_10x_10" localSheetId="67">'325'!$O$60:$O$61</definedName>
    <definedName name="OSRRefE21_10x_10" localSheetId="58">'326'!$O$61:$O$62</definedName>
    <definedName name="OSRRefE21_10x_10" localSheetId="56">'331'!$O$77</definedName>
    <definedName name="OSRRefE21_10x_10" localSheetId="72">'405'!$O$63</definedName>
    <definedName name="OSRRefE21_10x_10" localSheetId="73">'411'!$O$60</definedName>
    <definedName name="OSRRefE21_10x_10" localSheetId="76">'415'!$O$64</definedName>
    <definedName name="OSRRefE21_10x_10" localSheetId="77">'418'!$O$64</definedName>
    <definedName name="OSRRefE21_10x_10" localSheetId="84">'433'!$O$59</definedName>
    <definedName name="OSRRefE21_10x_10" localSheetId="85">'444'!$O$64</definedName>
    <definedName name="OSRRefE21_10x_10" localSheetId="86">'450'!$O$59</definedName>
    <definedName name="OSRRefE21_10x_10" localSheetId="71">'491'!$O$65</definedName>
    <definedName name="OSRRefE21_10x_10" localSheetId="82">'492'!$O$64</definedName>
    <definedName name="OSRRefE21_10x_10" localSheetId="88">'501'!$O$59</definedName>
    <definedName name="OSRRefE21_10x_10" localSheetId="39">'Div 2'!$O$59</definedName>
    <definedName name="OSRRefE21_10x_10" localSheetId="41">'Div 3'!$O$86:$O$87</definedName>
    <definedName name="OSRRefE21_10x_10" localSheetId="69">'Div 4'!$O$68</definedName>
    <definedName name="OSRRefE21_10x_10" localSheetId="87">'Div 5'!$O$59</definedName>
    <definedName name="OSRRefE21_10x_10" localSheetId="2">Summary!$O$97:$O$98</definedName>
    <definedName name="OSRRefE21_10x_2" localSheetId="42">'201'!$G$58</definedName>
    <definedName name="OSRRefE21_10x_2" localSheetId="43">'202'!$G$58</definedName>
    <definedName name="OSRRefE21_10x_2" localSheetId="44">'203'!$G$59</definedName>
    <definedName name="OSRRefE21_10x_2" localSheetId="48">'300'!$G$85:$G$86</definedName>
    <definedName name="OSRRefE21_10x_2" localSheetId="49">'300 &amp; 317'!$G$91:$G$92</definedName>
    <definedName name="OSRRefE21_10x_2" localSheetId="50">'301'!$G$58</definedName>
    <definedName name="OSRRefE21_10x_2" localSheetId="53">'308'!$G$74:$G$75</definedName>
    <definedName name="OSRRefE21_10x_2" localSheetId="63">'310'!$G$60</definedName>
    <definedName name="OSRRefE21_10x_2" localSheetId="70">'310 &amp; 491'!$G$65</definedName>
    <definedName name="OSRRefE21_10x_2" localSheetId="54">'311'!$G$74:$G$75</definedName>
    <definedName name="OSRRefE21_10x_2" localSheetId="57">'315'!$G$76</definedName>
    <definedName name="OSRRefE21_10x_2" localSheetId="66">'321'!$G$60</definedName>
    <definedName name="OSRRefE21_10x_2" localSheetId="67">'325'!$G$60:$G$61</definedName>
    <definedName name="OSRRefE21_10x_2" localSheetId="58">'326'!$G$61:$G$62</definedName>
    <definedName name="OSRRefE21_10x_2" localSheetId="56">'331'!$G$77</definedName>
    <definedName name="OSRRefE21_10x_2" localSheetId="72">'405'!$G$63</definedName>
    <definedName name="OSRRefE21_10x_2" localSheetId="73">'411'!$G$60</definedName>
    <definedName name="OSRRefE21_10x_2" localSheetId="76">'415'!$G$64</definedName>
    <definedName name="OSRRefE21_10x_2" localSheetId="77">'418'!$G$64</definedName>
    <definedName name="OSRRefE21_10x_2" localSheetId="84">'433'!$G$59</definedName>
    <definedName name="OSRRefE21_10x_2" localSheetId="85">'444'!$G$64</definedName>
    <definedName name="OSRRefE21_10x_2" localSheetId="86">'450'!$G$59</definedName>
    <definedName name="OSRRefE21_10x_2" localSheetId="71">'491'!$G$65</definedName>
    <definedName name="OSRRefE21_10x_2" localSheetId="82">'492'!$G$64</definedName>
    <definedName name="OSRRefE21_10x_2" localSheetId="88">'501'!$G$59</definedName>
    <definedName name="OSRRefE21_10x_2" localSheetId="39">'Div 2'!$G$59</definedName>
    <definedName name="OSRRefE21_10x_2" localSheetId="41">'Div 3'!$G$86:$G$87</definedName>
    <definedName name="OSRRefE21_10x_2" localSheetId="69">'Div 4'!$G$68</definedName>
    <definedName name="OSRRefE21_10x_2" localSheetId="87">'Div 5'!$G$59</definedName>
    <definedName name="OSRRefE21_10x_2" localSheetId="2">Summary!$G$97:$G$98</definedName>
    <definedName name="OSRRefE21_10x_3" localSheetId="42">'201'!$H$58</definedName>
    <definedName name="OSRRefE21_10x_3" localSheetId="43">'202'!$H$58</definedName>
    <definedName name="OSRRefE21_10x_3" localSheetId="44">'203'!$H$59</definedName>
    <definedName name="OSRRefE21_10x_3" localSheetId="48">'300'!$H$85:$H$86</definedName>
    <definedName name="OSRRefE21_10x_3" localSheetId="49">'300 &amp; 317'!$H$91:$H$92</definedName>
    <definedName name="OSRRefE21_10x_3" localSheetId="50">'301'!$H$58</definedName>
    <definedName name="OSRRefE21_10x_3" localSheetId="53">'308'!$H$74:$H$75</definedName>
    <definedName name="OSRRefE21_10x_3" localSheetId="63">'310'!$H$60</definedName>
    <definedName name="OSRRefE21_10x_3" localSheetId="70">'310 &amp; 491'!$H$65</definedName>
    <definedName name="OSRRefE21_10x_3" localSheetId="54">'311'!$H$74:$H$75</definedName>
    <definedName name="OSRRefE21_10x_3" localSheetId="57">'315'!$H$76</definedName>
    <definedName name="OSRRefE21_10x_3" localSheetId="66">'321'!$H$60</definedName>
    <definedName name="OSRRefE21_10x_3" localSheetId="67">'325'!$H$60:$H$61</definedName>
    <definedName name="OSRRefE21_10x_3" localSheetId="58">'326'!$H$61:$H$62</definedName>
    <definedName name="OSRRefE21_10x_3" localSheetId="56">'331'!$H$77</definedName>
    <definedName name="OSRRefE21_10x_3" localSheetId="72">'405'!$H$63</definedName>
    <definedName name="OSRRefE21_10x_3" localSheetId="73">'411'!$H$60</definedName>
    <definedName name="OSRRefE21_10x_3" localSheetId="76">'415'!$H$64</definedName>
    <definedName name="OSRRefE21_10x_3" localSheetId="77">'418'!$H$64</definedName>
    <definedName name="OSRRefE21_10x_3" localSheetId="84">'433'!$H$59</definedName>
    <definedName name="OSRRefE21_10x_3" localSheetId="85">'444'!$H$64</definedName>
    <definedName name="OSRRefE21_10x_3" localSheetId="86">'450'!$H$59</definedName>
    <definedName name="OSRRefE21_10x_3" localSheetId="71">'491'!$H$65</definedName>
    <definedName name="OSRRefE21_10x_3" localSheetId="82">'492'!$H$64</definedName>
    <definedName name="OSRRefE21_10x_3" localSheetId="88">'501'!$H$59</definedName>
    <definedName name="OSRRefE21_10x_3" localSheetId="39">'Div 2'!$H$59</definedName>
    <definedName name="OSRRefE21_10x_3" localSheetId="41">'Div 3'!$H$86:$H$87</definedName>
    <definedName name="OSRRefE21_10x_3" localSheetId="69">'Div 4'!$H$68</definedName>
    <definedName name="OSRRefE21_10x_3" localSheetId="87">'Div 5'!$H$59</definedName>
    <definedName name="OSRRefE21_10x_3" localSheetId="2">Summary!$H$97:$H$98</definedName>
    <definedName name="OSRRefE21_10x_4" localSheetId="42">'201'!$I$58</definedName>
    <definedName name="OSRRefE21_10x_4" localSheetId="43">'202'!$I$58</definedName>
    <definedName name="OSRRefE21_10x_4" localSheetId="44">'203'!$I$59</definedName>
    <definedName name="OSRRefE21_10x_4" localSheetId="48">'300'!$I$85:$I$86</definedName>
    <definedName name="OSRRefE21_10x_4" localSheetId="49">'300 &amp; 317'!$I$91:$I$92</definedName>
    <definedName name="OSRRefE21_10x_4" localSheetId="50">'301'!$I$58</definedName>
    <definedName name="OSRRefE21_10x_4" localSheetId="53">'308'!$I$74:$I$75</definedName>
    <definedName name="OSRRefE21_10x_4" localSheetId="63">'310'!$I$60</definedName>
    <definedName name="OSRRefE21_10x_4" localSheetId="70">'310 &amp; 491'!$I$65</definedName>
    <definedName name="OSRRefE21_10x_4" localSheetId="54">'311'!$I$74:$I$75</definedName>
    <definedName name="OSRRefE21_10x_4" localSheetId="57">'315'!$I$76</definedName>
    <definedName name="OSRRefE21_10x_4" localSheetId="66">'321'!$I$60</definedName>
    <definedName name="OSRRefE21_10x_4" localSheetId="67">'325'!$I$60:$I$61</definedName>
    <definedName name="OSRRefE21_10x_4" localSheetId="58">'326'!$I$61:$I$62</definedName>
    <definedName name="OSRRefE21_10x_4" localSheetId="56">'331'!$I$77</definedName>
    <definedName name="OSRRefE21_10x_4" localSheetId="72">'405'!$I$63</definedName>
    <definedName name="OSRRefE21_10x_4" localSheetId="73">'411'!$I$60</definedName>
    <definedName name="OSRRefE21_10x_4" localSheetId="76">'415'!$I$64</definedName>
    <definedName name="OSRRefE21_10x_4" localSheetId="77">'418'!$I$64</definedName>
    <definedName name="OSRRefE21_10x_4" localSheetId="84">'433'!$I$59</definedName>
    <definedName name="OSRRefE21_10x_4" localSheetId="85">'444'!$I$64</definedName>
    <definedName name="OSRRefE21_10x_4" localSheetId="86">'450'!$I$59</definedName>
    <definedName name="OSRRefE21_10x_4" localSheetId="71">'491'!$I$65</definedName>
    <definedName name="OSRRefE21_10x_4" localSheetId="82">'492'!$I$64</definedName>
    <definedName name="OSRRefE21_10x_4" localSheetId="88">'501'!$I$59</definedName>
    <definedName name="OSRRefE21_10x_4" localSheetId="39">'Div 2'!$I$59</definedName>
    <definedName name="OSRRefE21_10x_4" localSheetId="41">'Div 3'!$I$86:$I$87</definedName>
    <definedName name="OSRRefE21_10x_4" localSheetId="69">'Div 4'!$I$68</definedName>
    <definedName name="OSRRefE21_10x_4" localSheetId="87">'Div 5'!$I$59</definedName>
    <definedName name="OSRRefE21_10x_4" localSheetId="2">Summary!$I$97:$I$98</definedName>
    <definedName name="OSRRefE21_10x_5" localSheetId="42">'201'!$J$58</definedName>
    <definedName name="OSRRefE21_10x_5" localSheetId="43">'202'!$J$58</definedName>
    <definedName name="OSRRefE21_10x_5" localSheetId="44">'203'!$J$59</definedName>
    <definedName name="OSRRefE21_10x_5" localSheetId="48">'300'!$J$85:$J$86</definedName>
    <definedName name="OSRRefE21_10x_5" localSheetId="49">'300 &amp; 317'!$J$91:$J$92</definedName>
    <definedName name="OSRRefE21_10x_5" localSheetId="50">'301'!$J$58</definedName>
    <definedName name="OSRRefE21_10x_5" localSheetId="53">'308'!$J$74:$J$75</definedName>
    <definedName name="OSRRefE21_10x_5" localSheetId="63">'310'!$J$60</definedName>
    <definedName name="OSRRefE21_10x_5" localSheetId="70">'310 &amp; 491'!$J$65</definedName>
    <definedName name="OSRRefE21_10x_5" localSheetId="54">'311'!$J$74:$J$75</definedName>
    <definedName name="OSRRefE21_10x_5" localSheetId="57">'315'!$J$76</definedName>
    <definedName name="OSRRefE21_10x_5" localSheetId="66">'321'!$J$60</definedName>
    <definedName name="OSRRefE21_10x_5" localSheetId="67">'325'!$J$60:$J$61</definedName>
    <definedName name="OSRRefE21_10x_5" localSheetId="58">'326'!$J$61:$J$62</definedName>
    <definedName name="OSRRefE21_10x_5" localSheetId="56">'331'!$J$77</definedName>
    <definedName name="OSRRefE21_10x_5" localSheetId="72">'405'!$J$63</definedName>
    <definedName name="OSRRefE21_10x_5" localSheetId="73">'411'!$J$60</definedName>
    <definedName name="OSRRefE21_10x_5" localSheetId="76">'415'!$J$64</definedName>
    <definedName name="OSRRefE21_10x_5" localSheetId="77">'418'!$J$64</definedName>
    <definedName name="OSRRefE21_10x_5" localSheetId="84">'433'!$J$59</definedName>
    <definedName name="OSRRefE21_10x_5" localSheetId="85">'444'!$J$64</definedName>
    <definedName name="OSRRefE21_10x_5" localSheetId="86">'450'!$J$59</definedName>
    <definedName name="OSRRefE21_10x_5" localSheetId="71">'491'!$J$65</definedName>
    <definedName name="OSRRefE21_10x_5" localSheetId="82">'492'!$J$64</definedName>
    <definedName name="OSRRefE21_10x_5" localSheetId="88">'501'!$J$59</definedName>
    <definedName name="OSRRefE21_10x_5" localSheetId="39">'Div 2'!$J$59</definedName>
    <definedName name="OSRRefE21_10x_5" localSheetId="41">'Div 3'!$J$86:$J$87</definedName>
    <definedName name="OSRRefE21_10x_5" localSheetId="69">'Div 4'!$J$68</definedName>
    <definedName name="OSRRefE21_10x_5" localSheetId="87">'Div 5'!$J$59</definedName>
    <definedName name="OSRRefE21_10x_5" localSheetId="2">Summary!$J$97:$J$98</definedName>
    <definedName name="OSRRefE21_10x_6" localSheetId="42">'201'!$K$58</definedName>
    <definedName name="OSRRefE21_10x_6" localSheetId="43">'202'!$K$58</definedName>
    <definedName name="OSRRefE21_10x_6" localSheetId="44">'203'!$K$59</definedName>
    <definedName name="OSRRefE21_10x_6" localSheetId="48">'300'!$K$85:$K$86</definedName>
    <definedName name="OSRRefE21_10x_6" localSheetId="49">'300 &amp; 317'!$K$91:$K$92</definedName>
    <definedName name="OSRRefE21_10x_6" localSheetId="50">'301'!$K$58</definedName>
    <definedName name="OSRRefE21_10x_6" localSheetId="53">'308'!$K$74:$K$75</definedName>
    <definedName name="OSRRefE21_10x_6" localSheetId="63">'310'!$K$60</definedName>
    <definedName name="OSRRefE21_10x_6" localSheetId="70">'310 &amp; 491'!$K$65</definedName>
    <definedName name="OSRRefE21_10x_6" localSheetId="54">'311'!$K$74:$K$75</definedName>
    <definedName name="OSRRefE21_10x_6" localSheetId="57">'315'!$K$76</definedName>
    <definedName name="OSRRefE21_10x_6" localSheetId="66">'321'!$K$60</definedName>
    <definedName name="OSRRefE21_10x_6" localSheetId="67">'325'!$K$60:$K$61</definedName>
    <definedName name="OSRRefE21_10x_6" localSheetId="58">'326'!$K$61:$K$62</definedName>
    <definedName name="OSRRefE21_10x_6" localSheetId="56">'331'!$K$77</definedName>
    <definedName name="OSRRefE21_10x_6" localSheetId="72">'405'!$K$63</definedName>
    <definedName name="OSRRefE21_10x_6" localSheetId="73">'411'!$K$60</definedName>
    <definedName name="OSRRefE21_10x_6" localSheetId="76">'415'!$K$64</definedName>
    <definedName name="OSRRefE21_10x_6" localSheetId="77">'418'!$K$64</definedName>
    <definedName name="OSRRefE21_10x_6" localSheetId="84">'433'!$K$59</definedName>
    <definedName name="OSRRefE21_10x_6" localSheetId="85">'444'!$K$64</definedName>
    <definedName name="OSRRefE21_10x_6" localSheetId="86">'450'!$K$59</definedName>
    <definedName name="OSRRefE21_10x_6" localSheetId="71">'491'!$K$65</definedName>
    <definedName name="OSRRefE21_10x_6" localSheetId="82">'492'!$K$64</definedName>
    <definedName name="OSRRefE21_10x_6" localSheetId="88">'501'!$K$59</definedName>
    <definedName name="OSRRefE21_10x_6" localSheetId="39">'Div 2'!$K$59</definedName>
    <definedName name="OSRRefE21_10x_6" localSheetId="41">'Div 3'!$K$86:$K$87</definedName>
    <definedName name="OSRRefE21_10x_6" localSheetId="69">'Div 4'!$K$68</definedName>
    <definedName name="OSRRefE21_10x_6" localSheetId="87">'Div 5'!$K$59</definedName>
    <definedName name="OSRRefE21_10x_6" localSheetId="2">Summary!$K$97:$K$98</definedName>
    <definedName name="OSRRefE21_10x_7" localSheetId="42">'201'!$L$58</definedName>
    <definedName name="OSRRefE21_10x_7" localSheetId="43">'202'!$L$58</definedName>
    <definedName name="OSRRefE21_10x_7" localSheetId="44">'203'!$L$59</definedName>
    <definedName name="OSRRefE21_10x_7" localSheetId="48">'300'!$L$85:$L$86</definedName>
    <definedName name="OSRRefE21_10x_7" localSheetId="49">'300 &amp; 317'!$L$91:$L$92</definedName>
    <definedName name="OSRRefE21_10x_7" localSheetId="50">'301'!$L$58</definedName>
    <definedName name="OSRRefE21_10x_7" localSheetId="53">'308'!$L$74:$L$75</definedName>
    <definedName name="OSRRefE21_10x_7" localSheetId="63">'310'!$L$60</definedName>
    <definedName name="OSRRefE21_10x_7" localSheetId="70">'310 &amp; 491'!$L$65</definedName>
    <definedName name="OSRRefE21_10x_7" localSheetId="54">'311'!$L$74:$L$75</definedName>
    <definedName name="OSRRefE21_10x_7" localSheetId="57">'315'!$L$76</definedName>
    <definedName name="OSRRefE21_10x_7" localSheetId="66">'321'!$L$60</definedName>
    <definedName name="OSRRefE21_10x_7" localSheetId="67">'325'!$L$60:$L$61</definedName>
    <definedName name="OSRRefE21_10x_7" localSheetId="58">'326'!$L$61:$L$62</definedName>
    <definedName name="OSRRefE21_10x_7" localSheetId="56">'331'!$L$77</definedName>
    <definedName name="OSRRefE21_10x_7" localSheetId="72">'405'!$L$63</definedName>
    <definedName name="OSRRefE21_10x_7" localSheetId="73">'411'!$L$60</definedName>
    <definedName name="OSRRefE21_10x_7" localSheetId="76">'415'!$L$64</definedName>
    <definedName name="OSRRefE21_10x_7" localSheetId="77">'418'!$L$64</definedName>
    <definedName name="OSRRefE21_10x_7" localSheetId="84">'433'!$L$59</definedName>
    <definedName name="OSRRefE21_10x_7" localSheetId="85">'444'!$L$64</definedName>
    <definedName name="OSRRefE21_10x_7" localSheetId="86">'450'!$L$59</definedName>
    <definedName name="OSRRefE21_10x_7" localSheetId="71">'491'!$L$65</definedName>
    <definedName name="OSRRefE21_10x_7" localSheetId="82">'492'!$L$64</definedName>
    <definedName name="OSRRefE21_10x_7" localSheetId="88">'501'!$L$59</definedName>
    <definedName name="OSRRefE21_10x_7" localSheetId="39">'Div 2'!$L$59</definedName>
    <definedName name="OSRRefE21_10x_7" localSheetId="41">'Div 3'!$L$86:$L$87</definedName>
    <definedName name="OSRRefE21_10x_7" localSheetId="69">'Div 4'!$L$68</definedName>
    <definedName name="OSRRefE21_10x_7" localSheetId="87">'Div 5'!$L$59</definedName>
    <definedName name="OSRRefE21_10x_7" localSheetId="2">Summary!$L$97:$L$98</definedName>
    <definedName name="OSRRefE21_10x_8" localSheetId="42">'201'!$M$58</definedName>
    <definedName name="OSRRefE21_10x_8" localSheetId="43">'202'!$M$58</definedName>
    <definedName name="OSRRefE21_10x_8" localSheetId="44">'203'!$M$59</definedName>
    <definedName name="OSRRefE21_10x_8" localSheetId="48">'300'!$M$85:$M$86</definedName>
    <definedName name="OSRRefE21_10x_8" localSheetId="49">'300 &amp; 317'!$M$91:$M$92</definedName>
    <definedName name="OSRRefE21_10x_8" localSheetId="50">'301'!$M$58</definedName>
    <definedName name="OSRRefE21_10x_8" localSheetId="53">'308'!$M$74:$M$75</definedName>
    <definedName name="OSRRefE21_10x_8" localSheetId="63">'310'!$M$60</definedName>
    <definedName name="OSRRefE21_10x_8" localSheetId="70">'310 &amp; 491'!$M$65</definedName>
    <definedName name="OSRRefE21_10x_8" localSheetId="54">'311'!$M$74:$M$75</definedName>
    <definedName name="OSRRefE21_10x_8" localSheetId="57">'315'!$M$76</definedName>
    <definedName name="OSRRefE21_10x_8" localSheetId="66">'321'!$M$60</definedName>
    <definedName name="OSRRefE21_10x_8" localSheetId="67">'325'!$M$60:$M$61</definedName>
    <definedName name="OSRRefE21_10x_8" localSheetId="58">'326'!$M$61:$M$62</definedName>
    <definedName name="OSRRefE21_10x_8" localSheetId="56">'331'!$M$77</definedName>
    <definedName name="OSRRefE21_10x_8" localSheetId="72">'405'!$M$63</definedName>
    <definedName name="OSRRefE21_10x_8" localSheetId="73">'411'!$M$60</definedName>
    <definedName name="OSRRefE21_10x_8" localSheetId="76">'415'!$M$64</definedName>
    <definedName name="OSRRefE21_10x_8" localSheetId="77">'418'!$M$64</definedName>
    <definedName name="OSRRefE21_10x_8" localSheetId="84">'433'!$M$59</definedName>
    <definedName name="OSRRefE21_10x_8" localSheetId="85">'444'!$M$64</definedName>
    <definedName name="OSRRefE21_10x_8" localSheetId="86">'450'!$M$59</definedName>
    <definedName name="OSRRefE21_10x_8" localSheetId="71">'491'!$M$65</definedName>
    <definedName name="OSRRefE21_10x_8" localSheetId="82">'492'!$M$64</definedName>
    <definedName name="OSRRefE21_10x_8" localSheetId="88">'501'!$M$59</definedName>
    <definedName name="OSRRefE21_10x_8" localSheetId="39">'Div 2'!$M$59</definedName>
    <definedName name="OSRRefE21_10x_8" localSheetId="41">'Div 3'!$M$86:$M$87</definedName>
    <definedName name="OSRRefE21_10x_8" localSheetId="69">'Div 4'!$M$68</definedName>
    <definedName name="OSRRefE21_10x_8" localSheetId="87">'Div 5'!$M$59</definedName>
    <definedName name="OSRRefE21_10x_8" localSheetId="2">Summary!$M$97:$M$98</definedName>
    <definedName name="OSRRefE21_10x_9" localSheetId="42">'201'!$N$58</definedName>
    <definedName name="OSRRefE21_10x_9" localSheetId="43">'202'!$N$58</definedName>
    <definedName name="OSRRefE21_10x_9" localSheetId="44">'203'!$N$59</definedName>
    <definedName name="OSRRefE21_10x_9" localSheetId="48">'300'!$N$85:$N$86</definedName>
    <definedName name="OSRRefE21_10x_9" localSheetId="49">'300 &amp; 317'!$N$91:$N$92</definedName>
    <definedName name="OSRRefE21_10x_9" localSheetId="50">'301'!$N$58</definedName>
    <definedName name="OSRRefE21_10x_9" localSheetId="53">'308'!$N$74:$N$75</definedName>
    <definedName name="OSRRefE21_10x_9" localSheetId="63">'310'!$N$60</definedName>
    <definedName name="OSRRefE21_10x_9" localSheetId="70">'310 &amp; 491'!$N$65</definedName>
    <definedName name="OSRRefE21_10x_9" localSheetId="54">'311'!$N$74:$N$75</definedName>
    <definedName name="OSRRefE21_10x_9" localSheetId="57">'315'!$N$76</definedName>
    <definedName name="OSRRefE21_10x_9" localSheetId="66">'321'!$N$60</definedName>
    <definedName name="OSRRefE21_10x_9" localSheetId="67">'325'!$N$60:$N$61</definedName>
    <definedName name="OSRRefE21_10x_9" localSheetId="58">'326'!$N$61:$N$62</definedName>
    <definedName name="OSRRefE21_10x_9" localSheetId="56">'331'!$N$77</definedName>
    <definedName name="OSRRefE21_10x_9" localSheetId="72">'405'!$N$63</definedName>
    <definedName name="OSRRefE21_10x_9" localSheetId="73">'411'!$N$60</definedName>
    <definedName name="OSRRefE21_10x_9" localSheetId="76">'415'!$N$64</definedName>
    <definedName name="OSRRefE21_10x_9" localSheetId="77">'418'!$N$64</definedName>
    <definedName name="OSRRefE21_10x_9" localSheetId="84">'433'!$N$59</definedName>
    <definedName name="OSRRefE21_10x_9" localSheetId="85">'444'!$N$64</definedName>
    <definedName name="OSRRefE21_10x_9" localSheetId="86">'450'!$N$59</definedName>
    <definedName name="OSRRefE21_10x_9" localSheetId="71">'491'!$N$65</definedName>
    <definedName name="OSRRefE21_10x_9" localSheetId="82">'492'!$N$64</definedName>
    <definedName name="OSRRefE21_10x_9" localSheetId="88">'501'!$N$59</definedName>
    <definedName name="OSRRefE21_10x_9" localSheetId="39">'Div 2'!$N$59</definedName>
    <definedName name="OSRRefE21_10x_9" localSheetId="41">'Div 3'!$N$86:$N$87</definedName>
    <definedName name="OSRRefE21_10x_9" localSheetId="69">'Div 4'!$N$68</definedName>
    <definedName name="OSRRefE21_10x_9" localSheetId="87">'Div 5'!$N$59</definedName>
    <definedName name="OSRRefE21_10x_9" localSheetId="2">Summary!$N$97:$N$98</definedName>
    <definedName name="OSRRefE21_11_0x" localSheetId="42">'201'!$E$60:$O$60</definedName>
    <definedName name="OSRRefE21_11_0x" localSheetId="43">'202'!$E$60:$O$60</definedName>
    <definedName name="OSRRefE21_11_0x" localSheetId="44">'203'!$E$61:$O$61</definedName>
    <definedName name="OSRRefE21_11_0x" localSheetId="48">'300'!$E$88:$O$88</definedName>
    <definedName name="OSRRefE21_11_0x" localSheetId="49">'300 &amp; 317'!$E$94:$O$94</definedName>
    <definedName name="OSRRefE21_11_0x" localSheetId="50">'301'!$E$60:$O$60</definedName>
    <definedName name="OSRRefE21_11_0x" localSheetId="53">'308'!$E$77:$O$77</definedName>
    <definedName name="OSRRefE21_11_0x" localSheetId="63">'310'!$E$62:$O$62</definedName>
    <definedName name="OSRRefE21_11_0x" localSheetId="70">'310 &amp; 491'!$E$67:$O$67</definedName>
    <definedName name="OSRRefE21_11_0x" localSheetId="54">'311'!$E$77:$O$77</definedName>
    <definedName name="OSRRefE21_11_0x" localSheetId="57">'315'!$E$78:$O$78</definedName>
    <definedName name="OSRRefE21_11_0x" localSheetId="66">'321'!$E$62:$O$62</definedName>
    <definedName name="OSRRefE21_11_0x" localSheetId="67">'325'!$E$63:$O$63</definedName>
    <definedName name="OSRRefE21_11_0x" localSheetId="58">'326'!$E$64:$O$64</definedName>
    <definedName name="OSRRefE21_11_0x" localSheetId="56">'331'!$E$79:$O$79</definedName>
    <definedName name="OSRRefE21_11_0x" localSheetId="72">'405'!$E$65:$O$65</definedName>
    <definedName name="OSRRefE21_11_0x" localSheetId="73">'411'!$E$62:$O$62</definedName>
    <definedName name="OSRRefE21_11_0x" localSheetId="76">'415'!$E$66:$O$66</definedName>
    <definedName name="OSRRefE21_11_0x" localSheetId="77">'418'!$E$66:$O$66</definedName>
    <definedName name="OSRRefE21_11_0x" localSheetId="84">'433'!$E$61:$O$61</definedName>
    <definedName name="OSRRefE21_11_0x" localSheetId="85">'444'!$E$66:$O$66</definedName>
    <definedName name="OSRRefE21_11_0x" localSheetId="86">'450'!$E$61:$O$61</definedName>
    <definedName name="OSRRefE21_11_0x" localSheetId="71">'491'!$E$67:$O$67</definedName>
    <definedName name="OSRRefE21_11_0x" localSheetId="82">'492'!$E$66:$O$66</definedName>
    <definedName name="OSRRefE21_11_0x" localSheetId="88">'501'!$E$61:$O$61</definedName>
    <definedName name="OSRRefE21_11_0x" localSheetId="39">'Div 2'!$E$61:$O$61</definedName>
    <definedName name="OSRRefE21_11_0x" localSheetId="41">'Div 3'!$E$89:$O$89</definedName>
    <definedName name="OSRRefE21_11_0x" localSheetId="69">'Div 4'!$E$70:$O$70</definedName>
    <definedName name="OSRRefE21_11_0x" localSheetId="87">'Div 5'!$E$61:$O$61</definedName>
    <definedName name="OSRRefE21_11_0x" localSheetId="2">Summary!$E$100:$O$100</definedName>
    <definedName name="OSRRefE21_11_1x" localSheetId="44">'203'!$E$62:$O$62</definedName>
    <definedName name="OSRRefE21_11_1x" localSheetId="48">'300'!$E$89:$O$89</definedName>
    <definedName name="OSRRefE21_11_1x" localSheetId="49">'300 &amp; 317'!$E$95:$O$95</definedName>
    <definedName name="OSRRefE21_11_1x" localSheetId="53">'308'!$E$78:$O$78</definedName>
    <definedName name="OSRRefE21_11_1x" localSheetId="63">'310'!$E$63:$O$63</definedName>
    <definedName name="OSRRefE21_11_1x" localSheetId="54">'311'!$E$78:$O$78</definedName>
    <definedName name="OSRRefE21_11_1x" localSheetId="57">'315'!$E$79:$O$79</definedName>
    <definedName name="OSRRefE21_11_1x" localSheetId="67">'325'!$E$64:$O$64</definedName>
    <definedName name="OSRRefE21_11_1x" localSheetId="58">'326'!$E$65:$O$65</definedName>
    <definedName name="OSRRefE21_11_1x" localSheetId="72">'405'!$E$66:$O$66</definedName>
    <definedName name="OSRRefE21_11_1x" localSheetId="76">'415'!$E$67:$O$67</definedName>
    <definedName name="OSRRefE21_11_1x" localSheetId="77">'418'!$E$67:$O$67</definedName>
    <definedName name="OSRRefE21_11_1x" localSheetId="84">'433'!$E$62:$O$62</definedName>
    <definedName name="OSRRefE21_11_1x" localSheetId="85">'444'!$E$67:$O$67</definedName>
    <definedName name="OSRRefE21_11_1x" localSheetId="86">'450'!$E$62:$O$62</definedName>
    <definedName name="OSRRefE21_11_1x" localSheetId="88">'501'!$E$62:$O$62</definedName>
    <definedName name="OSRRefE21_11_1x" localSheetId="41">'Div 3'!$E$90:$O$90</definedName>
    <definedName name="OSRRefE21_11_1x" localSheetId="87">'Div 5'!$E$62:$O$62</definedName>
    <definedName name="OSRRefE21_11_1x" localSheetId="2">Summary!$E$101:$O$101</definedName>
    <definedName name="OSRRefE21_11_2x" localSheetId="44">'203'!$E$63:$O$63</definedName>
    <definedName name="OSRRefE21_11_2x" localSheetId="63">'310'!$E$64:$O$64</definedName>
    <definedName name="OSRRefE21_11_2x" localSheetId="57">'315'!$E$80:$O$80</definedName>
    <definedName name="OSRRefE21_11_2x" localSheetId="72">'405'!$E$67:$O$67</definedName>
    <definedName name="OSRRefE21_11_2x" localSheetId="77">'418'!$E$68:$O$68</definedName>
    <definedName name="OSRRefE21_11_2x" localSheetId="84">'433'!$E$63:$O$63</definedName>
    <definedName name="OSRRefE21_11_2x" localSheetId="2">Summary!$E$102:$O$102</definedName>
    <definedName name="OSRRefE21_11_3x" localSheetId="44">'203'!$E$64:$O$64</definedName>
    <definedName name="OSRRefE21_11_3x" localSheetId="72">'405'!$E$68:$O$68</definedName>
    <definedName name="OSRRefE21_11_3x" localSheetId="77">'418'!$E$69:$O$69</definedName>
    <definedName name="OSRRefE21_11_4x" localSheetId="72">'405'!$E$69:$O$69</definedName>
    <definedName name="OSRRefE21_11_4x" localSheetId="77">'418'!$E$70:$O$70</definedName>
    <definedName name="OSRRefE21_11_5x" localSheetId="72">'405'!$E$70:$O$70</definedName>
    <definedName name="OSRRefE21_11_5x" localSheetId="77">'418'!$E$71:$O$71</definedName>
    <definedName name="OSRRefE21_11_6x" localSheetId="72">'405'!$E$71:$O$71</definedName>
    <definedName name="OSRRefE21_11_6x" localSheetId="77">'418'!$E$72:$O$72</definedName>
    <definedName name="OSRRefE21_11x_0" localSheetId="42">'201'!$E$60</definedName>
    <definedName name="OSRRefE21_11x_0" localSheetId="43">'202'!$E$60</definedName>
    <definedName name="OSRRefE21_11x_0" localSheetId="44">'203'!$E$61:$E$64</definedName>
    <definedName name="OSRRefE21_11x_0" localSheetId="48">'300'!$E$88:$E$89</definedName>
    <definedName name="OSRRefE21_11x_0" localSheetId="49">'300 &amp; 317'!$E$94:$E$95</definedName>
    <definedName name="OSRRefE21_11x_0" localSheetId="50">'301'!$E$60</definedName>
    <definedName name="OSRRefE21_11x_0" localSheetId="53">'308'!$E$77:$E$78</definedName>
    <definedName name="OSRRefE21_11x_0" localSheetId="63">'310'!$E$62:$E$64</definedName>
    <definedName name="OSRRefE21_11x_0" localSheetId="70">'310 &amp; 491'!$E$67</definedName>
    <definedName name="OSRRefE21_11x_0" localSheetId="54">'311'!$E$77:$E$78</definedName>
    <definedName name="OSRRefE21_11x_0" localSheetId="57">'315'!$E$78:$E$80</definedName>
    <definedName name="OSRRefE21_11x_0" localSheetId="66">'321'!$E$62</definedName>
    <definedName name="OSRRefE21_11x_0" localSheetId="67">'325'!$E$63:$E$64</definedName>
    <definedName name="OSRRefE21_11x_0" localSheetId="58">'326'!$E$64:$E$65</definedName>
    <definedName name="OSRRefE21_11x_0" localSheetId="56">'331'!$E$79</definedName>
    <definedName name="OSRRefE21_11x_0" localSheetId="72">'405'!$E$65:$E$71</definedName>
    <definedName name="OSRRefE21_11x_0" localSheetId="73">'411'!$E$62</definedName>
    <definedName name="OSRRefE21_11x_0" localSheetId="76">'415'!$E$66:$E$67</definedName>
    <definedName name="OSRRefE21_11x_0" localSheetId="77">'418'!$E$66:$E$72</definedName>
    <definedName name="OSRRefE21_11x_0" localSheetId="84">'433'!$E$61:$E$63</definedName>
    <definedName name="OSRRefE21_11x_0" localSheetId="85">'444'!$E$66:$E$67</definedName>
    <definedName name="OSRRefE21_11x_0" localSheetId="86">'450'!$E$61:$E$62</definedName>
    <definedName name="OSRRefE21_11x_0" localSheetId="71">'491'!$E$67</definedName>
    <definedName name="OSRRefE21_11x_0" localSheetId="82">'492'!$E$66</definedName>
    <definedName name="OSRRefE21_11x_0" localSheetId="88">'501'!$E$61:$E$62</definedName>
    <definedName name="OSRRefE21_11x_0" localSheetId="39">'Div 2'!$E$61</definedName>
    <definedName name="OSRRefE21_11x_0" localSheetId="41">'Div 3'!$E$89:$E$90</definedName>
    <definedName name="OSRRefE21_11x_0" localSheetId="69">'Div 4'!$E$70</definedName>
    <definedName name="OSRRefE21_11x_0" localSheetId="87">'Div 5'!$E$61:$E$62</definedName>
    <definedName name="OSRRefE21_11x_0" localSheetId="2">Summary!$E$100:$E$102</definedName>
    <definedName name="OSRRefE21_11x_1" localSheetId="42">'201'!$F$60</definedName>
    <definedName name="OSRRefE21_11x_1" localSheetId="43">'202'!$F$60</definedName>
    <definedName name="OSRRefE21_11x_1" localSheetId="44">'203'!$F$61:$F$64</definedName>
    <definedName name="OSRRefE21_11x_1" localSheetId="48">'300'!$F$88:$F$89</definedName>
    <definedName name="OSRRefE21_11x_1" localSheetId="49">'300 &amp; 317'!$F$94:$F$95</definedName>
    <definedName name="OSRRefE21_11x_1" localSheetId="50">'301'!$F$60</definedName>
    <definedName name="OSRRefE21_11x_1" localSheetId="53">'308'!$F$77:$F$78</definedName>
    <definedName name="OSRRefE21_11x_1" localSheetId="63">'310'!$F$62:$F$64</definedName>
    <definedName name="OSRRefE21_11x_1" localSheetId="70">'310 &amp; 491'!$F$67</definedName>
    <definedName name="OSRRefE21_11x_1" localSheetId="54">'311'!$F$77:$F$78</definedName>
    <definedName name="OSRRefE21_11x_1" localSheetId="57">'315'!$F$78:$F$80</definedName>
    <definedName name="OSRRefE21_11x_1" localSheetId="66">'321'!$F$62</definedName>
    <definedName name="OSRRefE21_11x_1" localSheetId="67">'325'!$F$63:$F$64</definedName>
    <definedName name="OSRRefE21_11x_1" localSheetId="58">'326'!$F$64:$F$65</definedName>
    <definedName name="OSRRefE21_11x_1" localSheetId="56">'331'!$F$79</definedName>
    <definedName name="OSRRefE21_11x_1" localSheetId="72">'405'!$F$65:$F$71</definedName>
    <definedName name="OSRRefE21_11x_1" localSheetId="73">'411'!$F$62</definedName>
    <definedName name="OSRRefE21_11x_1" localSheetId="76">'415'!$F$66:$F$67</definedName>
    <definedName name="OSRRefE21_11x_1" localSheetId="77">'418'!$F$66:$F$72</definedName>
    <definedName name="OSRRefE21_11x_1" localSheetId="84">'433'!$F$61:$F$63</definedName>
    <definedName name="OSRRefE21_11x_1" localSheetId="85">'444'!$F$66:$F$67</definedName>
    <definedName name="OSRRefE21_11x_1" localSheetId="86">'450'!$F$61:$F$62</definedName>
    <definedName name="OSRRefE21_11x_1" localSheetId="71">'491'!$F$67</definedName>
    <definedName name="OSRRefE21_11x_1" localSheetId="82">'492'!$F$66</definedName>
    <definedName name="OSRRefE21_11x_1" localSheetId="88">'501'!$F$61:$F$62</definedName>
    <definedName name="OSRRefE21_11x_1" localSheetId="39">'Div 2'!$F$61</definedName>
    <definedName name="OSRRefE21_11x_1" localSheetId="41">'Div 3'!$F$89:$F$90</definedName>
    <definedName name="OSRRefE21_11x_1" localSheetId="69">'Div 4'!$F$70</definedName>
    <definedName name="OSRRefE21_11x_1" localSheetId="87">'Div 5'!$F$61:$F$62</definedName>
    <definedName name="OSRRefE21_11x_1" localSheetId="2">Summary!$F$100:$F$102</definedName>
    <definedName name="OSRRefE21_11x_10" localSheetId="42">'201'!$O$60</definedName>
    <definedName name="OSRRefE21_11x_10" localSheetId="43">'202'!$O$60</definedName>
    <definedName name="OSRRefE21_11x_10" localSheetId="44">'203'!$O$61:$O$64</definedName>
    <definedName name="OSRRefE21_11x_10" localSheetId="48">'300'!$O$88:$O$89</definedName>
    <definedName name="OSRRefE21_11x_10" localSheetId="49">'300 &amp; 317'!$O$94:$O$95</definedName>
    <definedName name="OSRRefE21_11x_10" localSheetId="50">'301'!$O$60</definedName>
    <definedName name="OSRRefE21_11x_10" localSheetId="53">'308'!$O$77:$O$78</definedName>
    <definedName name="OSRRefE21_11x_10" localSheetId="63">'310'!$O$62:$O$64</definedName>
    <definedName name="OSRRefE21_11x_10" localSheetId="70">'310 &amp; 491'!$O$67</definedName>
    <definedName name="OSRRefE21_11x_10" localSheetId="54">'311'!$O$77:$O$78</definedName>
    <definedName name="OSRRefE21_11x_10" localSheetId="57">'315'!$O$78:$O$80</definedName>
    <definedName name="OSRRefE21_11x_10" localSheetId="66">'321'!$O$62</definedName>
    <definedName name="OSRRefE21_11x_10" localSheetId="67">'325'!$O$63:$O$64</definedName>
    <definedName name="OSRRefE21_11x_10" localSheetId="58">'326'!$O$64:$O$65</definedName>
    <definedName name="OSRRefE21_11x_10" localSheetId="56">'331'!$O$79</definedName>
    <definedName name="OSRRefE21_11x_10" localSheetId="72">'405'!$O$65:$O$71</definedName>
    <definedName name="OSRRefE21_11x_10" localSheetId="73">'411'!$O$62</definedName>
    <definedName name="OSRRefE21_11x_10" localSheetId="76">'415'!$O$66:$O$67</definedName>
    <definedName name="OSRRefE21_11x_10" localSheetId="77">'418'!$O$66:$O$72</definedName>
    <definedName name="OSRRefE21_11x_10" localSheetId="84">'433'!$O$61:$O$63</definedName>
    <definedName name="OSRRefE21_11x_10" localSheetId="85">'444'!$O$66:$O$67</definedName>
    <definedName name="OSRRefE21_11x_10" localSheetId="86">'450'!$O$61:$O$62</definedName>
    <definedName name="OSRRefE21_11x_10" localSheetId="71">'491'!$O$67</definedName>
    <definedName name="OSRRefE21_11x_10" localSheetId="82">'492'!$O$66</definedName>
    <definedName name="OSRRefE21_11x_10" localSheetId="88">'501'!$O$61:$O$62</definedName>
    <definedName name="OSRRefE21_11x_10" localSheetId="39">'Div 2'!$O$61</definedName>
    <definedName name="OSRRefE21_11x_10" localSheetId="41">'Div 3'!$O$89:$O$90</definedName>
    <definedName name="OSRRefE21_11x_10" localSheetId="69">'Div 4'!$O$70</definedName>
    <definedName name="OSRRefE21_11x_10" localSheetId="87">'Div 5'!$O$61:$O$62</definedName>
    <definedName name="OSRRefE21_11x_10" localSheetId="2">Summary!$O$100:$O$102</definedName>
    <definedName name="OSRRefE21_11x_2" localSheetId="42">'201'!$G$60</definedName>
    <definedName name="OSRRefE21_11x_2" localSheetId="43">'202'!$G$60</definedName>
    <definedName name="OSRRefE21_11x_2" localSheetId="44">'203'!$G$61:$G$64</definedName>
    <definedName name="OSRRefE21_11x_2" localSheetId="48">'300'!$G$88:$G$89</definedName>
    <definedName name="OSRRefE21_11x_2" localSheetId="49">'300 &amp; 317'!$G$94:$G$95</definedName>
    <definedName name="OSRRefE21_11x_2" localSheetId="50">'301'!$G$60</definedName>
    <definedName name="OSRRefE21_11x_2" localSheetId="53">'308'!$G$77:$G$78</definedName>
    <definedName name="OSRRefE21_11x_2" localSheetId="63">'310'!$G$62:$G$64</definedName>
    <definedName name="OSRRefE21_11x_2" localSheetId="70">'310 &amp; 491'!$G$67</definedName>
    <definedName name="OSRRefE21_11x_2" localSheetId="54">'311'!$G$77:$G$78</definedName>
    <definedName name="OSRRefE21_11x_2" localSheetId="57">'315'!$G$78:$G$80</definedName>
    <definedName name="OSRRefE21_11x_2" localSheetId="66">'321'!$G$62</definedName>
    <definedName name="OSRRefE21_11x_2" localSheetId="67">'325'!$G$63:$G$64</definedName>
    <definedName name="OSRRefE21_11x_2" localSheetId="58">'326'!$G$64:$G$65</definedName>
    <definedName name="OSRRefE21_11x_2" localSheetId="56">'331'!$G$79</definedName>
    <definedName name="OSRRefE21_11x_2" localSheetId="72">'405'!$G$65:$G$71</definedName>
    <definedName name="OSRRefE21_11x_2" localSheetId="73">'411'!$G$62</definedName>
    <definedName name="OSRRefE21_11x_2" localSheetId="76">'415'!$G$66:$G$67</definedName>
    <definedName name="OSRRefE21_11x_2" localSheetId="77">'418'!$G$66:$G$72</definedName>
    <definedName name="OSRRefE21_11x_2" localSheetId="84">'433'!$G$61:$G$63</definedName>
    <definedName name="OSRRefE21_11x_2" localSheetId="85">'444'!$G$66:$G$67</definedName>
    <definedName name="OSRRefE21_11x_2" localSheetId="86">'450'!$G$61:$G$62</definedName>
    <definedName name="OSRRefE21_11x_2" localSheetId="71">'491'!$G$67</definedName>
    <definedName name="OSRRefE21_11x_2" localSheetId="82">'492'!$G$66</definedName>
    <definedName name="OSRRefE21_11x_2" localSheetId="88">'501'!$G$61:$G$62</definedName>
    <definedName name="OSRRefE21_11x_2" localSheetId="39">'Div 2'!$G$61</definedName>
    <definedName name="OSRRefE21_11x_2" localSheetId="41">'Div 3'!$G$89:$G$90</definedName>
    <definedName name="OSRRefE21_11x_2" localSheetId="69">'Div 4'!$G$70</definedName>
    <definedName name="OSRRefE21_11x_2" localSheetId="87">'Div 5'!$G$61:$G$62</definedName>
    <definedName name="OSRRefE21_11x_2" localSheetId="2">Summary!$G$100:$G$102</definedName>
    <definedName name="OSRRefE21_11x_3" localSheetId="42">'201'!$H$60</definedName>
    <definedName name="OSRRefE21_11x_3" localSheetId="43">'202'!$H$60</definedName>
    <definedName name="OSRRefE21_11x_3" localSheetId="44">'203'!$H$61:$H$64</definedName>
    <definedName name="OSRRefE21_11x_3" localSheetId="48">'300'!$H$88:$H$89</definedName>
    <definedName name="OSRRefE21_11x_3" localSheetId="49">'300 &amp; 317'!$H$94:$H$95</definedName>
    <definedName name="OSRRefE21_11x_3" localSheetId="50">'301'!$H$60</definedName>
    <definedName name="OSRRefE21_11x_3" localSheetId="53">'308'!$H$77:$H$78</definedName>
    <definedName name="OSRRefE21_11x_3" localSheetId="63">'310'!$H$62:$H$64</definedName>
    <definedName name="OSRRefE21_11x_3" localSheetId="70">'310 &amp; 491'!$H$67</definedName>
    <definedName name="OSRRefE21_11x_3" localSheetId="54">'311'!$H$77:$H$78</definedName>
    <definedName name="OSRRefE21_11x_3" localSheetId="57">'315'!$H$78:$H$80</definedName>
    <definedName name="OSRRefE21_11x_3" localSheetId="66">'321'!$H$62</definedName>
    <definedName name="OSRRefE21_11x_3" localSheetId="67">'325'!$H$63:$H$64</definedName>
    <definedName name="OSRRefE21_11x_3" localSheetId="58">'326'!$H$64:$H$65</definedName>
    <definedName name="OSRRefE21_11x_3" localSheetId="56">'331'!$H$79</definedName>
    <definedName name="OSRRefE21_11x_3" localSheetId="72">'405'!$H$65:$H$71</definedName>
    <definedName name="OSRRefE21_11x_3" localSheetId="73">'411'!$H$62</definedName>
    <definedName name="OSRRefE21_11x_3" localSheetId="76">'415'!$H$66:$H$67</definedName>
    <definedName name="OSRRefE21_11x_3" localSheetId="77">'418'!$H$66:$H$72</definedName>
    <definedName name="OSRRefE21_11x_3" localSheetId="84">'433'!$H$61:$H$63</definedName>
    <definedName name="OSRRefE21_11x_3" localSheetId="85">'444'!$H$66:$H$67</definedName>
    <definedName name="OSRRefE21_11x_3" localSheetId="86">'450'!$H$61:$H$62</definedName>
    <definedName name="OSRRefE21_11x_3" localSheetId="71">'491'!$H$67</definedName>
    <definedName name="OSRRefE21_11x_3" localSheetId="82">'492'!$H$66</definedName>
    <definedName name="OSRRefE21_11x_3" localSheetId="88">'501'!$H$61:$H$62</definedName>
    <definedName name="OSRRefE21_11x_3" localSheetId="39">'Div 2'!$H$61</definedName>
    <definedName name="OSRRefE21_11x_3" localSheetId="41">'Div 3'!$H$89:$H$90</definedName>
    <definedName name="OSRRefE21_11x_3" localSheetId="69">'Div 4'!$H$70</definedName>
    <definedName name="OSRRefE21_11x_3" localSheetId="87">'Div 5'!$H$61:$H$62</definedName>
    <definedName name="OSRRefE21_11x_3" localSheetId="2">Summary!$H$100:$H$102</definedName>
    <definedName name="OSRRefE21_11x_4" localSheetId="42">'201'!$I$60</definedName>
    <definedName name="OSRRefE21_11x_4" localSheetId="43">'202'!$I$60</definedName>
    <definedName name="OSRRefE21_11x_4" localSheetId="44">'203'!$I$61:$I$64</definedName>
    <definedName name="OSRRefE21_11x_4" localSheetId="48">'300'!$I$88:$I$89</definedName>
    <definedName name="OSRRefE21_11x_4" localSheetId="49">'300 &amp; 317'!$I$94:$I$95</definedName>
    <definedName name="OSRRefE21_11x_4" localSheetId="50">'301'!$I$60</definedName>
    <definedName name="OSRRefE21_11x_4" localSheetId="53">'308'!$I$77:$I$78</definedName>
    <definedName name="OSRRefE21_11x_4" localSheetId="63">'310'!$I$62:$I$64</definedName>
    <definedName name="OSRRefE21_11x_4" localSheetId="70">'310 &amp; 491'!$I$67</definedName>
    <definedName name="OSRRefE21_11x_4" localSheetId="54">'311'!$I$77:$I$78</definedName>
    <definedName name="OSRRefE21_11x_4" localSheetId="57">'315'!$I$78:$I$80</definedName>
    <definedName name="OSRRefE21_11x_4" localSheetId="66">'321'!$I$62</definedName>
    <definedName name="OSRRefE21_11x_4" localSheetId="67">'325'!$I$63:$I$64</definedName>
    <definedName name="OSRRefE21_11x_4" localSheetId="58">'326'!$I$64:$I$65</definedName>
    <definedName name="OSRRefE21_11x_4" localSheetId="56">'331'!$I$79</definedName>
    <definedName name="OSRRefE21_11x_4" localSheetId="72">'405'!$I$65:$I$71</definedName>
    <definedName name="OSRRefE21_11x_4" localSheetId="73">'411'!$I$62</definedName>
    <definedName name="OSRRefE21_11x_4" localSheetId="76">'415'!$I$66:$I$67</definedName>
    <definedName name="OSRRefE21_11x_4" localSheetId="77">'418'!$I$66:$I$72</definedName>
    <definedName name="OSRRefE21_11x_4" localSheetId="84">'433'!$I$61:$I$63</definedName>
    <definedName name="OSRRefE21_11x_4" localSheetId="85">'444'!$I$66:$I$67</definedName>
    <definedName name="OSRRefE21_11x_4" localSheetId="86">'450'!$I$61:$I$62</definedName>
    <definedName name="OSRRefE21_11x_4" localSheetId="71">'491'!$I$67</definedName>
    <definedName name="OSRRefE21_11x_4" localSheetId="82">'492'!$I$66</definedName>
    <definedName name="OSRRefE21_11x_4" localSheetId="88">'501'!$I$61:$I$62</definedName>
    <definedName name="OSRRefE21_11x_4" localSheetId="39">'Div 2'!$I$61</definedName>
    <definedName name="OSRRefE21_11x_4" localSheetId="41">'Div 3'!$I$89:$I$90</definedName>
    <definedName name="OSRRefE21_11x_4" localSheetId="69">'Div 4'!$I$70</definedName>
    <definedName name="OSRRefE21_11x_4" localSheetId="87">'Div 5'!$I$61:$I$62</definedName>
    <definedName name="OSRRefE21_11x_4" localSheetId="2">Summary!$I$100:$I$102</definedName>
    <definedName name="OSRRefE21_11x_5" localSheetId="42">'201'!$J$60</definedName>
    <definedName name="OSRRefE21_11x_5" localSheetId="43">'202'!$J$60</definedName>
    <definedName name="OSRRefE21_11x_5" localSheetId="44">'203'!$J$61:$J$64</definedName>
    <definedName name="OSRRefE21_11x_5" localSheetId="48">'300'!$J$88:$J$89</definedName>
    <definedName name="OSRRefE21_11x_5" localSheetId="49">'300 &amp; 317'!$J$94:$J$95</definedName>
    <definedName name="OSRRefE21_11x_5" localSheetId="50">'301'!$J$60</definedName>
    <definedName name="OSRRefE21_11x_5" localSheetId="53">'308'!$J$77:$J$78</definedName>
    <definedName name="OSRRefE21_11x_5" localSheetId="63">'310'!$J$62:$J$64</definedName>
    <definedName name="OSRRefE21_11x_5" localSheetId="70">'310 &amp; 491'!$J$67</definedName>
    <definedName name="OSRRefE21_11x_5" localSheetId="54">'311'!$J$77:$J$78</definedName>
    <definedName name="OSRRefE21_11x_5" localSheetId="57">'315'!$J$78:$J$80</definedName>
    <definedName name="OSRRefE21_11x_5" localSheetId="66">'321'!$J$62</definedName>
    <definedName name="OSRRefE21_11x_5" localSheetId="67">'325'!$J$63:$J$64</definedName>
    <definedName name="OSRRefE21_11x_5" localSheetId="58">'326'!$J$64:$J$65</definedName>
    <definedName name="OSRRefE21_11x_5" localSheetId="56">'331'!$J$79</definedName>
    <definedName name="OSRRefE21_11x_5" localSheetId="72">'405'!$J$65:$J$71</definedName>
    <definedName name="OSRRefE21_11x_5" localSheetId="73">'411'!$J$62</definedName>
    <definedName name="OSRRefE21_11x_5" localSheetId="76">'415'!$J$66:$J$67</definedName>
    <definedName name="OSRRefE21_11x_5" localSheetId="77">'418'!$J$66:$J$72</definedName>
    <definedName name="OSRRefE21_11x_5" localSheetId="84">'433'!$J$61:$J$63</definedName>
    <definedName name="OSRRefE21_11x_5" localSheetId="85">'444'!$J$66:$J$67</definedName>
    <definedName name="OSRRefE21_11x_5" localSheetId="86">'450'!$J$61:$J$62</definedName>
    <definedName name="OSRRefE21_11x_5" localSheetId="71">'491'!$J$67</definedName>
    <definedName name="OSRRefE21_11x_5" localSheetId="82">'492'!$J$66</definedName>
    <definedName name="OSRRefE21_11x_5" localSheetId="88">'501'!$J$61:$J$62</definedName>
    <definedName name="OSRRefE21_11x_5" localSheetId="39">'Div 2'!$J$61</definedName>
    <definedName name="OSRRefE21_11x_5" localSheetId="41">'Div 3'!$J$89:$J$90</definedName>
    <definedName name="OSRRefE21_11x_5" localSheetId="69">'Div 4'!$J$70</definedName>
    <definedName name="OSRRefE21_11x_5" localSheetId="87">'Div 5'!$J$61:$J$62</definedName>
    <definedName name="OSRRefE21_11x_5" localSheetId="2">Summary!$J$100:$J$102</definedName>
    <definedName name="OSRRefE21_11x_6" localSheetId="42">'201'!$K$60</definedName>
    <definedName name="OSRRefE21_11x_6" localSheetId="43">'202'!$K$60</definedName>
    <definedName name="OSRRefE21_11x_6" localSheetId="44">'203'!$K$61:$K$64</definedName>
    <definedName name="OSRRefE21_11x_6" localSheetId="48">'300'!$K$88:$K$89</definedName>
    <definedName name="OSRRefE21_11x_6" localSheetId="49">'300 &amp; 317'!$K$94:$K$95</definedName>
    <definedName name="OSRRefE21_11x_6" localSheetId="50">'301'!$K$60</definedName>
    <definedName name="OSRRefE21_11x_6" localSheetId="53">'308'!$K$77:$K$78</definedName>
    <definedName name="OSRRefE21_11x_6" localSheetId="63">'310'!$K$62:$K$64</definedName>
    <definedName name="OSRRefE21_11x_6" localSheetId="70">'310 &amp; 491'!$K$67</definedName>
    <definedName name="OSRRefE21_11x_6" localSheetId="54">'311'!$K$77:$K$78</definedName>
    <definedName name="OSRRefE21_11x_6" localSheetId="57">'315'!$K$78:$K$80</definedName>
    <definedName name="OSRRefE21_11x_6" localSheetId="66">'321'!$K$62</definedName>
    <definedName name="OSRRefE21_11x_6" localSheetId="67">'325'!$K$63:$K$64</definedName>
    <definedName name="OSRRefE21_11x_6" localSheetId="58">'326'!$K$64:$K$65</definedName>
    <definedName name="OSRRefE21_11x_6" localSheetId="56">'331'!$K$79</definedName>
    <definedName name="OSRRefE21_11x_6" localSheetId="72">'405'!$K$65:$K$71</definedName>
    <definedName name="OSRRefE21_11x_6" localSheetId="73">'411'!$K$62</definedName>
    <definedName name="OSRRefE21_11x_6" localSheetId="76">'415'!$K$66:$K$67</definedName>
    <definedName name="OSRRefE21_11x_6" localSheetId="77">'418'!$K$66:$K$72</definedName>
    <definedName name="OSRRefE21_11x_6" localSheetId="84">'433'!$K$61:$K$63</definedName>
    <definedName name="OSRRefE21_11x_6" localSheetId="85">'444'!$K$66:$K$67</definedName>
    <definedName name="OSRRefE21_11x_6" localSheetId="86">'450'!$K$61:$K$62</definedName>
    <definedName name="OSRRefE21_11x_6" localSheetId="71">'491'!$K$67</definedName>
    <definedName name="OSRRefE21_11x_6" localSheetId="82">'492'!$K$66</definedName>
    <definedName name="OSRRefE21_11x_6" localSheetId="88">'501'!$K$61:$K$62</definedName>
    <definedName name="OSRRefE21_11x_6" localSheetId="39">'Div 2'!$K$61</definedName>
    <definedName name="OSRRefE21_11x_6" localSheetId="41">'Div 3'!$K$89:$K$90</definedName>
    <definedName name="OSRRefE21_11x_6" localSheetId="69">'Div 4'!$K$70</definedName>
    <definedName name="OSRRefE21_11x_6" localSheetId="87">'Div 5'!$K$61:$K$62</definedName>
    <definedName name="OSRRefE21_11x_6" localSheetId="2">Summary!$K$100:$K$102</definedName>
    <definedName name="OSRRefE21_11x_7" localSheetId="42">'201'!$L$60</definedName>
    <definedName name="OSRRefE21_11x_7" localSheetId="43">'202'!$L$60</definedName>
    <definedName name="OSRRefE21_11x_7" localSheetId="44">'203'!$L$61:$L$64</definedName>
    <definedName name="OSRRefE21_11x_7" localSheetId="48">'300'!$L$88:$L$89</definedName>
    <definedName name="OSRRefE21_11x_7" localSheetId="49">'300 &amp; 317'!$L$94:$L$95</definedName>
    <definedName name="OSRRefE21_11x_7" localSheetId="50">'301'!$L$60</definedName>
    <definedName name="OSRRefE21_11x_7" localSheetId="53">'308'!$L$77:$L$78</definedName>
    <definedName name="OSRRefE21_11x_7" localSheetId="63">'310'!$L$62:$L$64</definedName>
    <definedName name="OSRRefE21_11x_7" localSheetId="70">'310 &amp; 491'!$L$67</definedName>
    <definedName name="OSRRefE21_11x_7" localSheetId="54">'311'!$L$77:$L$78</definedName>
    <definedName name="OSRRefE21_11x_7" localSheetId="57">'315'!$L$78:$L$80</definedName>
    <definedName name="OSRRefE21_11x_7" localSheetId="66">'321'!$L$62</definedName>
    <definedName name="OSRRefE21_11x_7" localSheetId="67">'325'!$L$63:$L$64</definedName>
    <definedName name="OSRRefE21_11x_7" localSheetId="58">'326'!$L$64:$L$65</definedName>
    <definedName name="OSRRefE21_11x_7" localSheetId="56">'331'!$L$79</definedName>
    <definedName name="OSRRefE21_11x_7" localSheetId="72">'405'!$L$65:$L$71</definedName>
    <definedName name="OSRRefE21_11x_7" localSheetId="73">'411'!$L$62</definedName>
    <definedName name="OSRRefE21_11x_7" localSheetId="76">'415'!$L$66:$L$67</definedName>
    <definedName name="OSRRefE21_11x_7" localSheetId="77">'418'!$L$66:$L$72</definedName>
    <definedName name="OSRRefE21_11x_7" localSheetId="84">'433'!$L$61:$L$63</definedName>
    <definedName name="OSRRefE21_11x_7" localSheetId="85">'444'!$L$66:$L$67</definedName>
    <definedName name="OSRRefE21_11x_7" localSheetId="86">'450'!$L$61:$L$62</definedName>
    <definedName name="OSRRefE21_11x_7" localSheetId="71">'491'!$L$67</definedName>
    <definedName name="OSRRefE21_11x_7" localSheetId="82">'492'!$L$66</definedName>
    <definedName name="OSRRefE21_11x_7" localSheetId="88">'501'!$L$61:$L$62</definedName>
    <definedName name="OSRRefE21_11x_7" localSheetId="39">'Div 2'!$L$61</definedName>
    <definedName name="OSRRefE21_11x_7" localSheetId="41">'Div 3'!$L$89:$L$90</definedName>
    <definedName name="OSRRefE21_11x_7" localSheetId="69">'Div 4'!$L$70</definedName>
    <definedName name="OSRRefE21_11x_7" localSheetId="87">'Div 5'!$L$61:$L$62</definedName>
    <definedName name="OSRRefE21_11x_7" localSheetId="2">Summary!$L$100:$L$102</definedName>
    <definedName name="OSRRefE21_11x_8" localSheetId="42">'201'!$M$60</definedName>
    <definedName name="OSRRefE21_11x_8" localSheetId="43">'202'!$M$60</definedName>
    <definedName name="OSRRefE21_11x_8" localSheetId="44">'203'!$M$61:$M$64</definedName>
    <definedName name="OSRRefE21_11x_8" localSheetId="48">'300'!$M$88:$M$89</definedName>
    <definedName name="OSRRefE21_11x_8" localSheetId="49">'300 &amp; 317'!$M$94:$M$95</definedName>
    <definedName name="OSRRefE21_11x_8" localSheetId="50">'301'!$M$60</definedName>
    <definedName name="OSRRefE21_11x_8" localSheetId="53">'308'!$M$77:$M$78</definedName>
    <definedName name="OSRRefE21_11x_8" localSheetId="63">'310'!$M$62:$M$64</definedName>
    <definedName name="OSRRefE21_11x_8" localSheetId="70">'310 &amp; 491'!$M$67</definedName>
    <definedName name="OSRRefE21_11x_8" localSheetId="54">'311'!$M$77:$M$78</definedName>
    <definedName name="OSRRefE21_11x_8" localSheetId="57">'315'!$M$78:$M$80</definedName>
    <definedName name="OSRRefE21_11x_8" localSheetId="66">'321'!$M$62</definedName>
    <definedName name="OSRRefE21_11x_8" localSheetId="67">'325'!$M$63:$M$64</definedName>
    <definedName name="OSRRefE21_11x_8" localSheetId="58">'326'!$M$64:$M$65</definedName>
    <definedName name="OSRRefE21_11x_8" localSheetId="56">'331'!$M$79</definedName>
    <definedName name="OSRRefE21_11x_8" localSheetId="72">'405'!$M$65:$M$71</definedName>
    <definedName name="OSRRefE21_11x_8" localSheetId="73">'411'!$M$62</definedName>
    <definedName name="OSRRefE21_11x_8" localSheetId="76">'415'!$M$66:$M$67</definedName>
    <definedName name="OSRRefE21_11x_8" localSheetId="77">'418'!$M$66:$M$72</definedName>
    <definedName name="OSRRefE21_11x_8" localSheetId="84">'433'!$M$61:$M$63</definedName>
    <definedName name="OSRRefE21_11x_8" localSheetId="85">'444'!$M$66:$M$67</definedName>
    <definedName name="OSRRefE21_11x_8" localSheetId="86">'450'!$M$61:$M$62</definedName>
    <definedName name="OSRRefE21_11x_8" localSheetId="71">'491'!$M$67</definedName>
    <definedName name="OSRRefE21_11x_8" localSheetId="82">'492'!$M$66</definedName>
    <definedName name="OSRRefE21_11x_8" localSheetId="88">'501'!$M$61:$M$62</definedName>
    <definedName name="OSRRefE21_11x_8" localSheetId="39">'Div 2'!$M$61</definedName>
    <definedName name="OSRRefE21_11x_8" localSheetId="41">'Div 3'!$M$89:$M$90</definedName>
    <definedName name="OSRRefE21_11x_8" localSheetId="69">'Div 4'!$M$70</definedName>
    <definedName name="OSRRefE21_11x_8" localSheetId="87">'Div 5'!$M$61:$M$62</definedName>
    <definedName name="OSRRefE21_11x_8" localSheetId="2">Summary!$M$100:$M$102</definedName>
    <definedName name="OSRRefE21_11x_9" localSheetId="42">'201'!$N$60</definedName>
    <definedName name="OSRRefE21_11x_9" localSheetId="43">'202'!$N$60</definedName>
    <definedName name="OSRRefE21_11x_9" localSheetId="44">'203'!$N$61:$N$64</definedName>
    <definedName name="OSRRefE21_11x_9" localSheetId="48">'300'!$N$88:$N$89</definedName>
    <definedName name="OSRRefE21_11x_9" localSheetId="49">'300 &amp; 317'!$N$94:$N$95</definedName>
    <definedName name="OSRRefE21_11x_9" localSheetId="50">'301'!$N$60</definedName>
    <definedName name="OSRRefE21_11x_9" localSheetId="53">'308'!$N$77:$N$78</definedName>
    <definedName name="OSRRefE21_11x_9" localSheetId="63">'310'!$N$62:$N$64</definedName>
    <definedName name="OSRRefE21_11x_9" localSheetId="70">'310 &amp; 491'!$N$67</definedName>
    <definedName name="OSRRefE21_11x_9" localSheetId="54">'311'!$N$77:$N$78</definedName>
    <definedName name="OSRRefE21_11x_9" localSheetId="57">'315'!$N$78:$N$80</definedName>
    <definedName name="OSRRefE21_11x_9" localSheetId="66">'321'!$N$62</definedName>
    <definedName name="OSRRefE21_11x_9" localSheetId="67">'325'!$N$63:$N$64</definedName>
    <definedName name="OSRRefE21_11x_9" localSheetId="58">'326'!$N$64:$N$65</definedName>
    <definedName name="OSRRefE21_11x_9" localSheetId="56">'331'!$N$79</definedName>
    <definedName name="OSRRefE21_11x_9" localSheetId="72">'405'!$N$65:$N$71</definedName>
    <definedName name="OSRRefE21_11x_9" localSheetId="73">'411'!$N$62</definedName>
    <definedName name="OSRRefE21_11x_9" localSheetId="76">'415'!$N$66:$N$67</definedName>
    <definedName name="OSRRefE21_11x_9" localSheetId="77">'418'!$N$66:$N$72</definedName>
    <definedName name="OSRRefE21_11x_9" localSheetId="84">'433'!$N$61:$N$63</definedName>
    <definedName name="OSRRefE21_11x_9" localSheetId="85">'444'!$N$66:$N$67</definedName>
    <definedName name="OSRRefE21_11x_9" localSheetId="86">'450'!$N$61:$N$62</definedName>
    <definedName name="OSRRefE21_11x_9" localSheetId="71">'491'!$N$67</definedName>
    <definedName name="OSRRefE21_11x_9" localSheetId="82">'492'!$N$66</definedName>
    <definedName name="OSRRefE21_11x_9" localSheetId="88">'501'!$N$61:$N$62</definedName>
    <definedName name="OSRRefE21_11x_9" localSheetId="39">'Div 2'!$N$61</definedName>
    <definedName name="OSRRefE21_11x_9" localSheetId="41">'Div 3'!$N$89:$N$90</definedName>
    <definedName name="OSRRefE21_11x_9" localSheetId="69">'Div 4'!$N$70</definedName>
    <definedName name="OSRRefE21_11x_9" localSheetId="87">'Div 5'!$N$61:$N$62</definedName>
    <definedName name="OSRRefE21_11x_9" localSheetId="2">Summary!$N$100:$N$102</definedName>
    <definedName name="OSRRefE21_12_0x" localSheetId="42">'201'!$E$62:$O$62</definedName>
    <definedName name="OSRRefE21_12_0x" localSheetId="44">'203'!$E$66:$O$66</definedName>
    <definedName name="OSRRefE21_12_0x" localSheetId="48">'300'!$E$91:$O$91</definedName>
    <definedName name="OSRRefE21_12_0x" localSheetId="49">'300 &amp; 317'!$E$97:$O$97</definedName>
    <definedName name="OSRRefE21_12_0x" localSheetId="50">'301'!$E$62:$O$62</definedName>
    <definedName name="OSRRefE21_12_0x" localSheetId="53">'308'!$E$80:$O$80</definedName>
    <definedName name="OSRRefE21_12_0x" localSheetId="63">'310'!$E$66:$O$66</definedName>
    <definedName name="OSRRefE21_12_0x" localSheetId="70">'310 &amp; 491'!$E$69:$O$69</definedName>
    <definedName name="OSRRefE21_12_0x" localSheetId="54">'311'!$E$80:$O$80</definedName>
    <definedName name="OSRRefE21_12_0x" localSheetId="57">'315'!$E$82:$O$82</definedName>
    <definedName name="OSRRefE21_12_0x" localSheetId="67">'325'!$E$66:$O$66</definedName>
    <definedName name="OSRRefE21_12_0x" localSheetId="58">'326'!$E$67:$O$67</definedName>
    <definedName name="OSRRefE21_12_0x" localSheetId="56">'331'!$E$81:$O$81</definedName>
    <definedName name="OSRRefE21_12_0x" localSheetId="72">'405'!$E$73:$O$73</definedName>
    <definedName name="OSRRefE21_12_0x" localSheetId="73">'411'!$E$64:$O$64</definedName>
    <definedName name="OSRRefE21_12_0x" localSheetId="76">'415'!$E$69:$O$69</definedName>
    <definedName name="OSRRefE21_12_0x" localSheetId="77">'418'!$E$74:$O$74</definedName>
    <definedName name="OSRRefE21_12_0x" localSheetId="84">'433'!$E$65:$O$65</definedName>
    <definedName name="OSRRefE21_12_0x" localSheetId="85">'444'!$E$69:$O$69</definedName>
    <definedName name="OSRRefE21_12_0x" localSheetId="86">'450'!$E$64:$O$64</definedName>
    <definedName name="OSRRefE21_12_0x" localSheetId="71">'491'!$E$69:$O$69</definedName>
    <definedName name="OSRRefE21_12_0x" localSheetId="82">'492'!$E$68:$O$68</definedName>
    <definedName name="OSRRefE21_12_0x" localSheetId="88">'501'!$E$64:$O$64</definedName>
    <definedName name="OSRRefE21_12_0x" localSheetId="39">'Div 2'!$E$63:$O$63</definedName>
    <definedName name="OSRRefE21_12_0x" localSheetId="41">'Div 3'!$E$92:$O$92</definedName>
    <definedName name="OSRRefE21_12_0x" localSheetId="69">'Div 4'!$E$72:$O$72</definedName>
    <definedName name="OSRRefE21_12_0x" localSheetId="87">'Div 5'!$E$64:$O$64</definedName>
    <definedName name="OSRRefE21_12_0x" localSheetId="2">Summary!$E$104:$O$104</definedName>
    <definedName name="OSRRefE21_12_1x" localSheetId="42">'201'!$E$63:$O$63</definedName>
    <definedName name="OSRRefE21_12_1x" localSheetId="70">'310 &amp; 491'!$E$70:$O$70</definedName>
    <definedName name="OSRRefE21_12_1x" localSheetId="57">'315'!$E$83:$O$83</definedName>
    <definedName name="OSRRefE21_12_1x" localSheetId="67">'325'!$E$67:$O$67</definedName>
    <definedName name="OSRRefE21_12_1x" localSheetId="58">'326'!$E$68:$O$68</definedName>
    <definedName name="OSRRefE21_12_1x" localSheetId="56">'331'!$E$82:$O$82</definedName>
    <definedName name="OSRRefE21_12_1x" localSheetId="76">'415'!$E$70:$O$70</definedName>
    <definedName name="OSRRefE21_12_1x" localSheetId="77">'418'!$E$75:$O$75</definedName>
    <definedName name="OSRRefE21_12_1x" localSheetId="84">'433'!$E$66:$O$66</definedName>
    <definedName name="OSRRefE21_12_1x" localSheetId="85">'444'!$E$70:$O$70</definedName>
    <definedName name="OSRRefE21_12_1x" localSheetId="86">'450'!$E$65:$O$65</definedName>
    <definedName name="OSRRefE21_12_1x" localSheetId="71">'491'!$E$70:$O$70</definedName>
    <definedName name="OSRRefE21_12_1x" localSheetId="82">'492'!$E$69:$O$69</definedName>
    <definedName name="OSRRefE21_12_1x" localSheetId="39">'Div 2'!$E$64:$O$64</definedName>
    <definedName name="OSRRefE21_12_2x" localSheetId="70">'310 &amp; 491'!$E$71:$O$71</definedName>
    <definedName name="OSRRefE21_12_2x" localSheetId="67">'325'!$E$68:$O$68</definedName>
    <definedName name="OSRRefE21_12_2x" localSheetId="76">'415'!$E$71:$O$71</definedName>
    <definedName name="OSRRefE21_12_2x" localSheetId="84">'433'!$E$67:$O$67</definedName>
    <definedName name="OSRRefE21_12_2x" localSheetId="85">'444'!$E$71:$O$71</definedName>
    <definedName name="OSRRefE21_12_2x" localSheetId="86">'450'!$E$66:$O$66</definedName>
    <definedName name="OSRRefE21_12_2x" localSheetId="71">'491'!$E$71:$O$71</definedName>
    <definedName name="OSRRefE21_12_2x" localSheetId="82">'492'!$E$70:$O$70</definedName>
    <definedName name="OSRRefE21_12_2x" localSheetId="39">'Div 2'!$E$65:$O$65</definedName>
    <definedName name="OSRRefE21_12_3x" localSheetId="70">'310 &amp; 491'!$E$72:$O$72</definedName>
    <definedName name="OSRRefE21_12_3x" localSheetId="67">'325'!$E$69:$O$69</definedName>
    <definedName name="OSRRefE21_12_3x" localSheetId="76">'415'!$E$72:$O$72</definedName>
    <definedName name="OSRRefE21_12_3x" localSheetId="84">'433'!$E$68:$O$68</definedName>
    <definedName name="OSRRefE21_12_3x" localSheetId="85">'444'!$E$72:$O$72</definedName>
    <definedName name="OSRRefE21_12_3x" localSheetId="86">'450'!$E$67:$O$67</definedName>
    <definedName name="OSRRefE21_12_3x" localSheetId="39">'Div 2'!$E$66:$O$66</definedName>
    <definedName name="OSRRefE21_12_4x" localSheetId="67">'325'!$E$70:$O$70</definedName>
    <definedName name="OSRRefE21_12x_0" localSheetId="42">'201'!$E$62:$E$63</definedName>
    <definedName name="OSRRefE21_12x_0" localSheetId="44">'203'!$E$66</definedName>
    <definedName name="OSRRefE21_12x_0" localSheetId="48">'300'!$E$91</definedName>
    <definedName name="OSRRefE21_12x_0" localSheetId="49">'300 &amp; 317'!$E$97</definedName>
    <definedName name="OSRRefE21_12x_0" localSheetId="50">'301'!$E$62</definedName>
    <definedName name="OSRRefE21_12x_0" localSheetId="53">'308'!$E$80</definedName>
    <definedName name="OSRRefE21_12x_0" localSheetId="63">'310'!$E$66</definedName>
    <definedName name="OSRRefE21_12x_0" localSheetId="70">'310 &amp; 491'!$E$69:$E$72</definedName>
    <definedName name="OSRRefE21_12x_0" localSheetId="54">'311'!$E$80</definedName>
    <definedName name="OSRRefE21_12x_0" localSheetId="57">'315'!$E$82:$E$83</definedName>
    <definedName name="OSRRefE21_12x_0" localSheetId="67">'325'!$E$66:$E$70</definedName>
    <definedName name="OSRRefE21_12x_0" localSheetId="58">'326'!$E$67:$E$68</definedName>
    <definedName name="OSRRefE21_12x_0" localSheetId="56">'331'!$E$81:$E$82</definedName>
    <definedName name="OSRRefE21_12x_0" localSheetId="72">'405'!$E$73</definedName>
    <definedName name="OSRRefE21_12x_0" localSheetId="73">'411'!$E$64</definedName>
    <definedName name="OSRRefE21_12x_0" localSheetId="76">'415'!$E$69:$E$72</definedName>
    <definedName name="OSRRefE21_12x_0" localSheetId="77">'418'!$E$74:$E$75</definedName>
    <definedName name="OSRRefE21_12x_0" localSheetId="84">'433'!$E$65:$E$68</definedName>
    <definedName name="OSRRefE21_12x_0" localSheetId="85">'444'!$E$69:$E$72</definedName>
    <definedName name="OSRRefE21_12x_0" localSheetId="86">'450'!$E$64:$E$67</definedName>
    <definedName name="OSRRefE21_12x_0" localSheetId="71">'491'!$E$69:$E$71</definedName>
    <definedName name="OSRRefE21_12x_0" localSheetId="82">'492'!$E$68:$E$70</definedName>
    <definedName name="OSRRefE21_12x_0" localSheetId="88">'501'!$E$64</definedName>
    <definedName name="OSRRefE21_12x_0" localSheetId="39">'Div 2'!$E$63:$E$66</definedName>
    <definedName name="OSRRefE21_12x_0" localSheetId="41">'Div 3'!$E$92</definedName>
    <definedName name="OSRRefE21_12x_0" localSheetId="69">'Div 4'!$E$72</definedName>
    <definedName name="OSRRefE21_12x_0" localSheetId="87">'Div 5'!$E$64</definedName>
    <definedName name="OSRRefE21_12x_0" localSheetId="2">Summary!$E$104</definedName>
    <definedName name="OSRRefE21_12x_1" localSheetId="42">'201'!$F$62:$F$63</definedName>
    <definedName name="OSRRefE21_12x_1" localSheetId="44">'203'!$F$66</definedName>
    <definedName name="OSRRefE21_12x_1" localSheetId="48">'300'!$F$91</definedName>
    <definedName name="OSRRefE21_12x_1" localSheetId="49">'300 &amp; 317'!$F$97</definedName>
    <definedName name="OSRRefE21_12x_1" localSheetId="50">'301'!$F$62</definedName>
    <definedName name="OSRRefE21_12x_1" localSheetId="53">'308'!$F$80</definedName>
    <definedName name="OSRRefE21_12x_1" localSheetId="63">'310'!$F$66</definedName>
    <definedName name="OSRRefE21_12x_1" localSheetId="70">'310 &amp; 491'!$F$69:$F$72</definedName>
    <definedName name="OSRRefE21_12x_1" localSheetId="54">'311'!$F$80</definedName>
    <definedName name="OSRRefE21_12x_1" localSheetId="57">'315'!$F$82:$F$83</definedName>
    <definedName name="OSRRefE21_12x_1" localSheetId="67">'325'!$F$66:$F$70</definedName>
    <definedName name="OSRRefE21_12x_1" localSheetId="58">'326'!$F$67:$F$68</definedName>
    <definedName name="OSRRefE21_12x_1" localSheetId="56">'331'!$F$81:$F$82</definedName>
    <definedName name="OSRRefE21_12x_1" localSheetId="72">'405'!$F$73</definedName>
    <definedName name="OSRRefE21_12x_1" localSheetId="73">'411'!$F$64</definedName>
    <definedName name="OSRRefE21_12x_1" localSheetId="76">'415'!$F$69:$F$72</definedName>
    <definedName name="OSRRefE21_12x_1" localSheetId="77">'418'!$F$74:$F$75</definedName>
    <definedName name="OSRRefE21_12x_1" localSheetId="84">'433'!$F$65:$F$68</definedName>
    <definedName name="OSRRefE21_12x_1" localSheetId="85">'444'!$F$69:$F$72</definedName>
    <definedName name="OSRRefE21_12x_1" localSheetId="86">'450'!$F$64:$F$67</definedName>
    <definedName name="OSRRefE21_12x_1" localSheetId="71">'491'!$F$69:$F$71</definedName>
    <definedName name="OSRRefE21_12x_1" localSheetId="82">'492'!$F$68:$F$70</definedName>
    <definedName name="OSRRefE21_12x_1" localSheetId="88">'501'!$F$64</definedName>
    <definedName name="OSRRefE21_12x_1" localSheetId="39">'Div 2'!$F$63:$F$66</definedName>
    <definedName name="OSRRefE21_12x_1" localSheetId="41">'Div 3'!$F$92</definedName>
    <definedName name="OSRRefE21_12x_1" localSheetId="69">'Div 4'!$F$72</definedName>
    <definedName name="OSRRefE21_12x_1" localSheetId="87">'Div 5'!$F$64</definedName>
    <definedName name="OSRRefE21_12x_1" localSheetId="2">Summary!$F$104</definedName>
    <definedName name="OSRRefE21_12x_10" localSheetId="42">'201'!$O$62:$O$63</definedName>
    <definedName name="OSRRefE21_12x_10" localSheetId="44">'203'!$O$66</definedName>
    <definedName name="OSRRefE21_12x_10" localSheetId="48">'300'!$O$91</definedName>
    <definedName name="OSRRefE21_12x_10" localSheetId="49">'300 &amp; 317'!$O$97</definedName>
    <definedName name="OSRRefE21_12x_10" localSheetId="50">'301'!$O$62</definedName>
    <definedName name="OSRRefE21_12x_10" localSheetId="53">'308'!$O$80</definedName>
    <definedName name="OSRRefE21_12x_10" localSheetId="63">'310'!$O$66</definedName>
    <definedName name="OSRRefE21_12x_10" localSheetId="70">'310 &amp; 491'!$O$69:$O$72</definedName>
    <definedName name="OSRRefE21_12x_10" localSheetId="54">'311'!$O$80</definedName>
    <definedName name="OSRRefE21_12x_10" localSheetId="57">'315'!$O$82:$O$83</definedName>
    <definedName name="OSRRefE21_12x_10" localSheetId="67">'325'!$O$66:$O$70</definedName>
    <definedName name="OSRRefE21_12x_10" localSheetId="58">'326'!$O$67:$O$68</definedName>
    <definedName name="OSRRefE21_12x_10" localSheetId="56">'331'!$O$81:$O$82</definedName>
    <definedName name="OSRRefE21_12x_10" localSheetId="72">'405'!$O$73</definedName>
    <definedName name="OSRRefE21_12x_10" localSheetId="73">'411'!$O$64</definedName>
    <definedName name="OSRRefE21_12x_10" localSheetId="76">'415'!$O$69:$O$72</definedName>
    <definedName name="OSRRefE21_12x_10" localSheetId="77">'418'!$O$74:$O$75</definedName>
    <definedName name="OSRRefE21_12x_10" localSheetId="84">'433'!$O$65:$O$68</definedName>
    <definedName name="OSRRefE21_12x_10" localSheetId="85">'444'!$O$69:$O$72</definedName>
    <definedName name="OSRRefE21_12x_10" localSheetId="86">'450'!$O$64:$O$67</definedName>
    <definedName name="OSRRefE21_12x_10" localSheetId="71">'491'!$O$69:$O$71</definedName>
    <definedName name="OSRRefE21_12x_10" localSheetId="82">'492'!$O$68:$O$70</definedName>
    <definedName name="OSRRefE21_12x_10" localSheetId="88">'501'!$O$64</definedName>
    <definedName name="OSRRefE21_12x_10" localSheetId="39">'Div 2'!$O$63:$O$66</definedName>
    <definedName name="OSRRefE21_12x_10" localSheetId="41">'Div 3'!$O$92</definedName>
    <definedName name="OSRRefE21_12x_10" localSheetId="69">'Div 4'!$O$72</definedName>
    <definedName name="OSRRefE21_12x_10" localSheetId="87">'Div 5'!$O$64</definedName>
    <definedName name="OSRRefE21_12x_10" localSheetId="2">Summary!$O$104</definedName>
    <definedName name="OSRRefE21_12x_2" localSheetId="42">'201'!$G$62:$G$63</definedName>
    <definedName name="OSRRefE21_12x_2" localSheetId="44">'203'!$G$66</definedName>
    <definedName name="OSRRefE21_12x_2" localSheetId="48">'300'!$G$91</definedName>
    <definedName name="OSRRefE21_12x_2" localSheetId="49">'300 &amp; 317'!$G$97</definedName>
    <definedName name="OSRRefE21_12x_2" localSheetId="50">'301'!$G$62</definedName>
    <definedName name="OSRRefE21_12x_2" localSheetId="53">'308'!$G$80</definedName>
    <definedName name="OSRRefE21_12x_2" localSheetId="63">'310'!$G$66</definedName>
    <definedName name="OSRRefE21_12x_2" localSheetId="70">'310 &amp; 491'!$G$69:$G$72</definedName>
    <definedName name="OSRRefE21_12x_2" localSheetId="54">'311'!$G$80</definedName>
    <definedName name="OSRRefE21_12x_2" localSheetId="57">'315'!$G$82:$G$83</definedName>
    <definedName name="OSRRefE21_12x_2" localSheetId="67">'325'!$G$66:$G$70</definedName>
    <definedName name="OSRRefE21_12x_2" localSheetId="58">'326'!$G$67:$G$68</definedName>
    <definedName name="OSRRefE21_12x_2" localSheetId="56">'331'!$G$81:$G$82</definedName>
    <definedName name="OSRRefE21_12x_2" localSheetId="72">'405'!$G$73</definedName>
    <definedName name="OSRRefE21_12x_2" localSheetId="73">'411'!$G$64</definedName>
    <definedName name="OSRRefE21_12x_2" localSheetId="76">'415'!$G$69:$G$72</definedName>
    <definedName name="OSRRefE21_12x_2" localSheetId="77">'418'!$G$74:$G$75</definedName>
    <definedName name="OSRRefE21_12x_2" localSheetId="84">'433'!$G$65:$G$68</definedName>
    <definedName name="OSRRefE21_12x_2" localSheetId="85">'444'!$G$69:$G$72</definedName>
    <definedName name="OSRRefE21_12x_2" localSheetId="86">'450'!$G$64:$G$67</definedName>
    <definedName name="OSRRefE21_12x_2" localSheetId="71">'491'!$G$69:$G$71</definedName>
    <definedName name="OSRRefE21_12x_2" localSheetId="82">'492'!$G$68:$G$70</definedName>
    <definedName name="OSRRefE21_12x_2" localSheetId="88">'501'!$G$64</definedName>
    <definedName name="OSRRefE21_12x_2" localSheetId="39">'Div 2'!$G$63:$G$66</definedName>
    <definedName name="OSRRefE21_12x_2" localSheetId="41">'Div 3'!$G$92</definedName>
    <definedName name="OSRRefE21_12x_2" localSheetId="69">'Div 4'!$G$72</definedName>
    <definedName name="OSRRefE21_12x_2" localSheetId="87">'Div 5'!$G$64</definedName>
    <definedName name="OSRRefE21_12x_2" localSheetId="2">Summary!$G$104</definedName>
    <definedName name="OSRRefE21_12x_3" localSheetId="42">'201'!$H$62:$H$63</definedName>
    <definedName name="OSRRefE21_12x_3" localSheetId="44">'203'!$H$66</definedName>
    <definedName name="OSRRefE21_12x_3" localSheetId="48">'300'!$H$91</definedName>
    <definedName name="OSRRefE21_12x_3" localSheetId="49">'300 &amp; 317'!$H$97</definedName>
    <definedName name="OSRRefE21_12x_3" localSheetId="50">'301'!$H$62</definedName>
    <definedName name="OSRRefE21_12x_3" localSheetId="53">'308'!$H$80</definedName>
    <definedName name="OSRRefE21_12x_3" localSheetId="63">'310'!$H$66</definedName>
    <definedName name="OSRRefE21_12x_3" localSheetId="70">'310 &amp; 491'!$H$69:$H$72</definedName>
    <definedName name="OSRRefE21_12x_3" localSheetId="54">'311'!$H$80</definedName>
    <definedName name="OSRRefE21_12x_3" localSheetId="57">'315'!$H$82:$H$83</definedName>
    <definedName name="OSRRefE21_12x_3" localSheetId="67">'325'!$H$66:$H$70</definedName>
    <definedName name="OSRRefE21_12x_3" localSheetId="58">'326'!$H$67:$H$68</definedName>
    <definedName name="OSRRefE21_12x_3" localSheetId="56">'331'!$H$81:$H$82</definedName>
    <definedName name="OSRRefE21_12x_3" localSheetId="72">'405'!$H$73</definedName>
    <definedName name="OSRRefE21_12x_3" localSheetId="73">'411'!$H$64</definedName>
    <definedName name="OSRRefE21_12x_3" localSheetId="76">'415'!$H$69:$H$72</definedName>
    <definedName name="OSRRefE21_12x_3" localSheetId="77">'418'!$H$74:$H$75</definedName>
    <definedName name="OSRRefE21_12x_3" localSheetId="84">'433'!$H$65:$H$68</definedName>
    <definedName name="OSRRefE21_12x_3" localSheetId="85">'444'!$H$69:$H$72</definedName>
    <definedName name="OSRRefE21_12x_3" localSheetId="86">'450'!$H$64:$H$67</definedName>
    <definedName name="OSRRefE21_12x_3" localSheetId="71">'491'!$H$69:$H$71</definedName>
    <definedName name="OSRRefE21_12x_3" localSheetId="82">'492'!$H$68:$H$70</definedName>
    <definedName name="OSRRefE21_12x_3" localSheetId="88">'501'!$H$64</definedName>
    <definedName name="OSRRefE21_12x_3" localSheetId="39">'Div 2'!$H$63:$H$66</definedName>
    <definedName name="OSRRefE21_12x_3" localSheetId="41">'Div 3'!$H$92</definedName>
    <definedName name="OSRRefE21_12x_3" localSheetId="69">'Div 4'!$H$72</definedName>
    <definedName name="OSRRefE21_12x_3" localSheetId="87">'Div 5'!$H$64</definedName>
    <definedName name="OSRRefE21_12x_3" localSheetId="2">Summary!$H$104</definedName>
    <definedName name="OSRRefE21_12x_4" localSheetId="42">'201'!$I$62:$I$63</definedName>
    <definedName name="OSRRefE21_12x_4" localSheetId="44">'203'!$I$66</definedName>
    <definedName name="OSRRefE21_12x_4" localSheetId="48">'300'!$I$91</definedName>
    <definedName name="OSRRefE21_12x_4" localSheetId="49">'300 &amp; 317'!$I$97</definedName>
    <definedName name="OSRRefE21_12x_4" localSheetId="50">'301'!$I$62</definedName>
    <definedName name="OSRRefE21_12x_4" localSheetId="53">'308'!$I$80</definedName>
    <definedName name="OSRRefE21_12x_4" localSheetId="63">'310'!$I$66</definedName>
    <definedName name="OSRRefE21_12x_4" localSheetId="70">'310 &amp; 491'!$I$69:$I$72</definedName>
    <definedName name="OSRRefE21_12x_4" localSheetId="54">'311'!$I$80</definedName>
    <definedName name="OSRRefE21_12x_4" localSheetId="57">'315'!$I$82:$I$83</definedName>
    <definedName name="OSRRefE21_12x_4" localSheetId="67">'325'!$I$66:$I$70</definedName>
    <definedName name="OSRRefE21_12x_4" localSheetId="58">'326'!$I$67:$I$68</definedName>
    <definedName name="OSRRefE21_12x_4" localSheetId="56">'331'!$I$81:$I$82</definedName>
    <definedName name="OSRRefE21_12x_4" localSheetId="72">'405'!$I$73</definedName>
    <definedName name="OSRRefE21_12x_4" localSheetId="73">'411'!$I$64</definedName>
    <definedName name="OSRRefE21_12x_4" localSheetId="76">'415'!$I$69:$I$72</definedName>
    <definedName name="OSRRefE21_12x_4" localSheetId="77">'418'!$I$74:$I$75</definedName>
    <definedName name="OSRRefE21_12x_4" localSheetId="84">'433'!$I$65:$I$68</definedName>
    <definedName name="OSRRefE21_12x_4" localSheetId="85">'444'!$I$69:$I$72</definedName>
    <definedName name="OSRRefE21_12x_4" localSheetId="86">'450'!$I$64:$I$67</definedName>
    <definedName name="OSRRefE21_12x_4" localSheetId="71">'491'!$I$69:$I$71</definedName>
    <definedName name="OSRRefE21_12x_4" localSheetId="82">'492'!$I$68:$I$70</definedName>
    <definedName name="OSRRefE21_12x_4" localSheetId="88">'501'!$I$64</definedName>
    <definedName name="OSRRefE21_12x_4" localSheetId="39">'Div 2'!$I$63:$I$66</definedName>
    <definedName name="OSRRefE21_12x_4" localSheetId="41">'Div 3'!$I$92</definedName>
    <definedName name="OSRRefE21_12x_4" localSheetId="69">'Div 4'!$I$72</definedName>
    <definedName name="OSRRefE21_12x_4" localSheetId="87">'Div 5'!$I$64</definedName>
    <definedName name="OSRRefE21_12x_4" localSheetId="2">Summary!$I$104</definedName>
    <definedName name="OSRRefE21_12x_5" localSheetId="42">'201'!$J$62:$J$63</definedName>
    <definedName name="OSRRefE21_12x_5" localSheetId="44">'203'!$J$66</definedName>
    <definedName name="OSRRefE21_12x_5" localSheetId="48">'300'!$J$91</definedName>
    <definedName name="OSRRefE21_12x_5" localSheetId="49">'300 &amp; 317'!$J$97</definedName>
    <definedName name="OSRRefE21_12x_5" localSheetId="50">'301'!$J$62</definedName>
    <definedName name="OSRRefE21_12x_5" localSheetId="53">'308'!$J$80</definedName>
    <definedName name="OSRRefE21_12x_5" localSheetId="63">'310'!$J$66</definedName>
    <definedName name="OSRRefE21_12x_5" localSheetId="70">'310 &amp; 491'!$J$69:$J$72</definedName>
    <definedName name="OSRRefE21_12x_5" localSheetId="54">'311'!$J$80</definedName>
    <definedName name="OSRRefE21_12x_5" localSheetId="57">'315'!$J$82:$J$83</definedName>
    <definedName name="OSRRefE21_12x_5" localSheetId="67">'325'!$J$66:$J$70</definedName>
    <definedName name="OSRRefE21_12x_5" localSheetId="58">'326'!$J$67:$J$68</definedName>
    <definedName name="OSRRefE21_12x_5" localSheetId="56">'331'!$J$81:$J$82</definedName>
    <definedName name="OSRRefE21_12x_5" localSheetId="72">'405'!$J$73</definedName>
    <definedName name="OSRRefE21_12x_5" localSheetId="73">'411'!$J$64</definedName>
    <definedName name="OSRRefE21_12x_5" localSheetId="76">'415'!$J$69:$J$72</definedName>
    <definedName name="OSRRefE21_12x_5" localSheetId="77">'418'!$J$74:$J$75</definedName>
    <definedName name="OSRRefE21_12x_5" localSheetId="84">'433'!$J$65:$J$68</definedName>
    <definedName name="OSRRefE21_12x_5" localSheetId="85">'444'!$J$69:$J$72</definedName>
    <definedName name="OSRRefE21_12x_5" localSheetId="86">'450'!$J$64:$J$67</definedName>
    <definedName name="OSRRefE21_12x_5" localSheetId="71">'491'!$J$69:$J$71</definedName>
    <definedName name="OSRRefE21_12x_5" localSheetId="82">'492'!$J$68:$J$70</definedName>
    <definedName name="OSRRefE21_12x_5" localSheetId="88">'501'!$J$64</definedName>
    <definedName name="OSRRefE21_12x_5" localSheetId="39">'Div 2'!$J$63:$J$66</definedName>
    <definedName name="OSRRefE21_12x_5" localSheetId="41">'Div 3'!$J$92</definedName>
    <definedName name="OSRRefE21_12x_5" localSheetId="69">'Div 4'!$J$72</definedName>
    <definedName name="OSRRefE21_12x_5" localSheetId="87">'Div 5'!$J$64</definedName>
    <definedName name="OSRRefE21_12x_5" localSheetId="2">Summary!$J$104</definedName>
    <definedName name="OSRRefE21_12x_6" localSheetId="42">'201'!$K$62:$K$63</definedName>
    <definedName name="OSRRefE21_12x_6" localSheetId="44">'203'!$K$66</definedName>
    <definedName name="OSRRefE21_12x_6" localSheetId="48">'300'!$K$91</definedName>
    <definedName name="OSRRefE21_12x_6" localSheetId="49">'300 &amp; 317'!$K$97</definedName>
    <definedName name="OSRRefE21_12x_6" localSheetId="50">'301'!$K$62</definedName>
    <definedName name="OSRRefE21_12x_6" localSheetId="53">'308'!$K$80</definedName>
    <definedName name="OSRRefE21_12x_6" localSheetId="63">'310'!$K$66</definedName>
    <definedName name="OSRRefE21_12x_6" localSheetId="70">'310 &amp; 491'!$K$69:$K$72</definedName>
    <definedName name="OSRRefE21_12x_6" localSheetId="54">'311'!$K$80</definedName>
    <definedName name="OSRRefE21_12x_6" localSheetId="57">'315'!$K$82:$K$83</definedName>
    <definedName name="OSRRefE21_12x_6" localSheetId="67">'325'!$K$66:$K$70</definedName>
    <definedName name="OSRRefE21_12x_6" localSheetId="58">'326'!$K$67:$K$68</definedName>
    <definedName name="OSRRefE21_12x_6" localSheetId="56">'331'!$K$81:$K$82</definedName>
    <definedName name="OSRRefE21_12x_6" localSheetId="72">'405'!$K$73</definedName>
    <definedName name="OSRRefE21_12x_6" localSheetId="73">'411'!$K$64</definedName>
    <definedName name="OSRRefE21_12x_6" localSheetId="76">'415'!$K$69:$K$72</definedName>
    <definedName name="OSRRefE21_12x_6" localSheetId="77">'418'!$K$74:$K$75</definedName>
    <definedName name="OSRRefE21_12x_6" localSheetId="84">'433'!$K$65:$K$68</definedName>
    <definedName name="OSRRefE21_12x_6" localSheetId="85">'444'!$K$69:$K$72</definedName>
    <definedName name="OSRRefE21_12x_6" localSheetId="86">'450'!$K$64:$K$67</definedName>
    <definedName name="OSRRefE21_12x_6" localSheetId="71">'491'!$K$69:$K$71</definedName>
    <definedName name="OSRRefE21_12x_6" localSheetId="82">'492'!$K$68:$K$70</definedName>
    <definedName name="OSRRefE21_12x_6" localSheetId="88">'501'!$K$64</definedName>
    <definedName name="OSRRefE21_12x_6" localSheetId="39">'Div 2'!$K$63:$K$66</definedName>
    <definedName name="OSRRefE21_12x_6" localSheetId="41">'Div 3'!$K$92</definedName>
    <definedName name="OSRRefE21_12x_6" localSheetId="69">'Div 4'!$K$72</definedName>
    <definedName name="OSRRefE21_12x_6" localSheetId="87">'Div 5'!$K$64</definedName>
    <definedName name="OSRRefE21_12x_6" localSheetId="2">Summary!$K$104</definedName>
    <definedName name="OSRRefE21_12x_7" localSheetId="42">'201'!$L$62:$L$63</definedName>
    <definedName name="OSRRefE21_12x_7" localSheetId="44">'203'!$L$66</definedName>
    <definedName name="OSRRefE21_12x_7" localSheetId="48">'300'!$L$91</definedName>
    <definedName name="OSRRefE21_12x_7" localSheetId="49">'300 &amp; 317'!$L$97</definedName>
    <definedName name="OSRRefE21_12x_7" localSheetId="50">'301'!$L$62</definedName>
    <definedName name="OSRRefE21_12x_7" localSheetId="53">'308'!$L$80</definedName>
    <definedName name="OSRRefE21_12x_7" localSheetId="63">'310'!$L$66</definedName>
    <definedName name="OSRRefE21_12x_7" localSheetId="70">'310 &amp; 491'!$L$69:$L$72</definedName>
    <definedName name="OSRRefE21_12x_7" localSheetId="54">'311'!$L$80</definedName>
    <definedName name="OSRRefE21_12x_7" localSheetId="57">'315'!$L$82:$L$83</definedName>
    <definedName name="OSRRefE21_12x_7" localSheetId="67">'325'!$L$66:$L$70</definedName>
    <definedName name="OSRRefE21_12x_7" localSheetId="58">'326'!$L$67:$L$68</definedName>
    <definedName name="OSRRefE21_12x_7" localSheetId="56">'331'!$L$81:$L$82</definedName>
    <definedName name="OSRRefE21_12x_7" localSheetId="72">'405'!$L$73</definedName>
    <definedName name="OSRRefE21_12x_7" localSheetId="73">'411'!$L$64</definedName>
    <definedName name="OSRRefE21_12x_7" localSheetId="76">'415'!$L$69:$L$72</definedName>
    <definedName name="OSRRefE21_12x_7" localSheetId="77">'418'!$L$74:$L$75</definedName>
    <definedName name="OSRRefE21_12x_7" localSheetId="84">'433'!$L$65:$L$68</definedName>
    <definedName name="OSRRefE21_12x_7" localSheetId="85">'444'!$L$69:$L$72</definedName>
    <definedName name="OSRRefE21_12x_7" localSheetId="86">'450'!$L$64:$L$67</definedName>
    <definedName name="OSRRefE21_12x_7" localSheetId="71">'491'!$L$69:$L$71</definedName>
    <definedName name="OSRRefE21_12x_7" localSheetId="82">'492'!$L$68:$L$70</definedName>
    <definedName name="OSRRefE21_12x_7" localSheetId="88">'501'!$L$64</definedName>
    <definedName name="OSRRefE21_12x_7" localSheetId="39">'Div 2'!$L$63:$L$66</definedName>
    <definedName name="OSRRefE21_12x_7" localSheetId="41">'Div 3'!$L$92</definedName>
    <definedName name="OSRRefE21_12x_7" localSheetId="69">'Div 4'!$L$72</definedName>
    <definedName name="OSRRefE21_12x_7" localSheetId="87">'Div 5'!$L$64</definedName>
    <definedName name="OSRRefE21_12x_7" localSheetId="2">Summary!$L$104</definedName>
    <definedName name="OSRRefE21_12x_8" localSheetId="42">'201'!$M$62:$M$63</definedName>
    <definedName name="OSRRefE21_12x_8" localSheetId="44">'203'!$M$66</definedName>
    <definedName name="OSRRefE21_12x_8" localSheetId="48">'300'!$M$91</definedName>
    <definedName name="OSRRefE21_12x_8" localSheetId="49">'300 &amp; 317'!$M$97</definedName>
    <definedName name="OSRRefE21_12x_8" localSheetId="50">'301'!$M$62</definedName>
    <definedName name="OSRRefE21_12x_8" localSheetId="53">'308'!$M$80</definedName>
    <definedName name="OSRRefE21_12x_8" localSheetId="63">'310'!$M$66</definedName>
    <definedName name="OSRRefE21_12x_8" localSheetId="70">'310 &amp; 491'!$M$69:$M$72</definedName>
    <definedName name="OSRRefE21_12x_8" localSheetId="54">'311'!$M$80</definedName>
    <definedName name="OSRRefE21_12x_8" localSheetId="57">'315'!$M$82:$M$83</definedName>
    <definedName name="OSRRefE21_12x_8" localSheetId="67">'325'!$M$66:$M$70</definedName>
    <definedName name="OSRRefE21_12x_8" localSheetId="58">'326'!$M$67:$M$68</definedName>
    <definedName name="OSRRefE21_12x_8" localSheetId="56">'331'!$M$81:$M$82</definedName>
    <definedName name="OSRRefE21_12x_8" localSheetId="72">'405'!$M$73</definedName>
    <definedName name="OSRRefE21_12x_8" localSheetId="73">'411'!$M$64</definedName>
    <definedName name="OSRRefE21_12x_8" localSheetId="76">'415'!$M$69:$M$72</definedName>
    <definedName name="OSRRefE21_12x_8" localSheetId="77">'418'!$M$74:$M$75</definedName>
    <definedName name="OSRRefE21_12x_8" localSheetId="84">'433'!$M$65:$M$68</definedName>
    <definedName name="OSRRefE21_12x_8" localSheetId="85">'444'!$M$69:$M$72</definedName>
    <definedName name="OSRRefE21_12x_8" localSheetId="86">'450'!$M$64:$M$67</definedName>
    <definedName name="OSRRefE21_12x_8" localSheetId="71">'491'!$M$69:$M$71</definedName>
    <definedName name="OSRRefE21_12x_8" localSheetId="82">'492'!$M$68:$M$70</definedName>
    <definedName name="OSRRefE21_12x_8" localSheetId="88">'501'!$M$64</definedName>
    <definedName name="OSRRefE21_12x_8" localSheetId="39">'Div 2'!$M$63:$M$66</definedName>
    <definedName name="OSRRefE21_12x_8" localSheetId="41">'Div 3'!$M$92</definedName>
    <definedName name="OSRRefE21_12x_8" localSheetId="69">'Div 4'!$M$72</definedName>
    <definedName name="OSRRefE21_12x_8" localSheetId="87">'Div 5'!$M$64</definedName>
    <definedName name="OSRRefE21_12x_8" localSheetId="2">Summary!$M$104</definedName>
    <definedName name="OSRRefE21_12x_9" localSheetId="42">'201'!$N$62:$N$63</definedName>
    <definedName name="OSRRefE21_12x_9" localSheetId="44">'203'!$N$66</definedName>
    <definedName name="OSRRefE21_12x_9" localSheetId="48">'300'!$N$91</definedName>
    <definedName name="OSRRefE21_12x_9" localSheetId="49">'300 &amp; 317'!$N$97</definedName>
    <definedName name="OSRRefE21_12x_9" localSheetId="50">'301'!$N$62</definedName>
    <definedName name="OSRRefE21_12x_9" localSheetId="53">'308'!$N$80</definedName>
    <definedName name="OSRRefE21_12x_9" localSheetId="63">'310'!$N$66</definedName>
    <definedName name="OSRRefE21_12x_9" localSheetId="70">'310 &amp; 491'!$N$69:$N$72</definedName>
    <definedName name="OSRRefE21_12x_9" localSheetId="54">'311'!$N$80</definedName>
    <definedName name="OSRRefE21_12x_9" localSheetId="57">'315'!$N$82:$N$83</definedName>
    <definedName name="OSRRefE21_12x_9" localSheetId="67">'325'!$N$66:$N$70</definedName>
    <definedName name="OSRRefE21_12x_9" localSheetId="58">'326'!$N$67:$N$68</definedName>
    <definedName name="OSRRefE21_12x_9" localSheetId="56">'331'!$N$81:$N$82</definedName>
    <definedName name="OSRRefE21_12x_9" localSheetId="72">'405'!$N$73</definedName>
    <definedName name="OSRRefE21_12x_9" localSheetId="73">'411'!$N$64</definedName>
    <definedName name="OSRRefE21_12x_9" localSheetId="76">'415'!$N$69:$N$72</definedName>
    <definedName name="OSRRefE21_12x_9" localSheetId="77">'418'!$N$74:$N$75</definedName>
    <definedName name="OSRRefE21_12x_9" localSheetId="84">'433'!$N$65:$N$68</definedName>
    <definedName name="OSRRefE21_12x_9" localSheetId="85">'444'!$N$69:$N$72</definedName>
    <definedName name="OSRRefE21_12x_9" localSheetId="86">'450'!$N$64:$N$67</definedName>
    <definedName name="OSRRefE21_12x_9" localSheetId="71">'491'!$N$69:$N$71</definedName>
    <definedName name="OSRRefE21_12x_9" localSheetId="82">'492'!$N$68:$N$70</definedName>
    <definedName name="OSRRefE21_12x_9" localSheetId="88">'501'!$N$64</definedName>
    <definedName name="OSRRefE21_12x_9" localSheetId="39">'Div 2'!$N$63:$N$66</definedName>
    <definedName name="OSRRefE21_12x_9" localSheetId="41">'Div 3'!$N$92</definedName>
    <definedName name="OSRRefE21_12x_9" localSheetId="69">'Div 4'!$N$72</definedName>
    <definedName name="OSRRefE21_12x_9" localSheetId="87">'Div 5'!$N$64</definedName>
    <definedName name="OSRRefE21_12x_9" localSheetId="2">Summary!$N$104</definedName>
    <definedName name="OSRRefE21_13_0x" localSheetId="42">'201'!$E$65:$O$65</definedName>
    <definedName name="OSRRefE21_13_0x" localSheetId="44">'203'!$E$68:$O$68</definedName>
    <definedName name="OSRRefE21_13_0x" localSheetId="48">'300'!$E$93:$O$93</definedName>
    <definedName name="OSRRefE21_13_0x" localSheetId="49">'300 &amp; 317'!$E$99:$O$99</definedName>
    <definedName name="OSRRefE21_13_0x" localSheetId="50">'301'!$E$64:$O$64</definedName>
    <definedName name="OSRRefE21_13_0x" localSheetId="63">'310'!$E$68:$O$68</definedName>
    <definedName name="OSRRefE21_13_0x" localSheetId="70">'310 &amp; 491'!$E$74:$O$74</definedName>
    <definedName name="OSRRefE21_13_0x" localSheetId="57">'315'!$E$85:$O$85</definedName>
    <definedName name="OSRRefE21_13_0x" localSheetId="67">'325'!$E$72:$O$72</definedName>
    <definedName name="OSRRefE21_13_0x" localSheetId="58">'326'!$E$70:$O$70</definedName>
    <definedName name="OSRRefE21_13_0x" localSheetId="56">'331'!$E$84:$O$84</definedName>
    <definedName name="OSRRefE21_13_0x" localSheetId="72">'405'!$E$75:$O$75</definedName>
    <definedName name="OSRRefE21_13_0x" localSheetId="76">'415'!$E$74:$O$74</definedName>
    <definedName name="OSRRefE21_13_0x" localSheetId="77">'418'!$E$77:$O$77</definedName>
    <definedName name="OSRRefE21_13_0x" localSheetId="84">'433'!$E$70:$O$70</definedName>
    <definedName name="OSRRefE21_13_0x" localSheetId="85">'444'!$E$74:$O$74</definedName>
    <definedName name="OSRRefE21_13_0x" localSheetId="86">'450'!$E$69:$O$69</definedName>
    <definedName name="OSRRefE21_13_0x" localSheetId="71">'491'!$E$73:$O$73</definedName>
    <definedName name="OSRRefE21_13_0x" localSheetId="82">'492'!$E$72:$O$72</definedName>
    <definedName name="OSRRefE21_13_0x" localSheetId="88">'501'!$E$66:$O$66</definedName>
    <definedName name="OSRRefE21_13_0x" localSheetId="39">'Div 2'!$E$68:$O$68</definedName>
    <definedName name="OSRRefE21_13_0x" localSheetId="41">'Div 3'!$E$94:$O$94</definedName>
    <definedName name="OSRRefE21_13_0x" localSheetId="69">'Div 4'!$E$74:$O$74</definedName>
    <definedName name="OSRRefE21_13_0x" localSheetId="87">'Div 5'!$E$66:$O$66</definedName>
    <definedName name="OSRRefE21_13_0x" localSheetId="2">Summary!$E$106:$O$106</definedName>
    <definedName name="OSRRefE21_13_1x" localSheetId="50">'301'!$E$65:$O$65</definedName>
    <definedName name="OSRRefE21_13_1x" localSheetId="63">'310'!$E$69:$O$69</definedName>
    <definedName name="OSRRefE21_13_1x" localSheetId="57">'315'!$E$86:$O$86</definedName>
    <definedName name="OSRRefE21_13_1x" localSheetId="67">'325'!$E$73:$O$73</definedName>
    <definedName name="OSRRefE21_13_1x" localSheetId="58">'326'!$E$71:$O$71</definedName>
    <definedName name="OSRRefE21_13_1x" localSheetId="56">'331'!$E$85:$O$85</definedName>
    <definedName name="OSRRefE21_13_1x" localSheetId="84">'433'!$E$71:$O$71</definedName>
    <definedName name="OSRRefE21_13_1x" localSheetId="86">'450'!$E$70:$O$70</definedName>
    <definedName name="OSRRefE21_13_1x" localSheetId="71">'491'!$E$74:$O$74</definedName>
    <definedName name="OSRRefE21_13_1x" localSheetId="82">'492'!$E$73:$O$73</definedName>
    <definedName name="OSRRefE21_13_1x" localSheetId="39">'Div 2'!$E$69:$O$69</definedName>
    <definedName name="OSRRefE21_13_2x" localSheetId="50">'301'!$E$66:$O$66</definedName>
    <definedName name="OSRRefE21_13_2x" localSheetId="57">'315'!$E$87:$O$87</definedName>
    <definedName name="OSRRefE21_13_2x" localSheetId="58">'326'!$E$72:$O$72</definedName>
    <definedName name="OSRRefE21_13_2x" localSheetId="56">'331'!$E$86:$O$86</definedName>
    <definedName name="OSRRefE21_13_2x" localSheetId="84">'433'!$E$72:$O$72</definedName>
    <definedName name="OSRRefE21_13_2x" localSheetId="86">'450'!$E$71:$O$71</definedName>
    <definedName name="OSRRefE21_13_2x" localSheetId="71">'491'!$E$75:$O$75</definedName>
    <definedName name="OSRRefE21_13_2x" localSheetId="82">'492'!$E$74:$O$74</definedName>
    <definedName name="OSRRefE21_13_2x" localSheetId="39">'Div 2'!$E$70:$O$70</definedName>
    <definedName name="OSRRefE21_13_3x" localSheetId="50">'301'!$E$67:$O$67</definedName>
    <definedName name="OSRRefE21_13_3x" localSheetId="84">'433'!$E$73:$O$73</definedName>
    <definedName name="OSRRefE21_13_3x" localSheetId="86">'450'!$E$72:$O$72</definedName>
    <definedName name="OSRRefE21_13_3x" localSheetId="71">'491'!$E$76:$O$76</definedName>
    <definedName name="OSRRefE21_13_3x" localSheetId="82">'492'!$E$75:$O$75</definedName>
    <definedName name="OSRRefE21_13_3x" localSheetId="39">'Div 2'!$E$71:$O$71</definedName>
    <definedName name="OSRRefE21_13_4x" localSheetId="84">'433'!$E$74:$O$74</definedName>
    <definedName name="OSRRefE21_13_4x" localSheetId="86">'450'!$E$73:$O$73</definedName>
    <definedName name="OSRRefE21_13_4x" localSheetId="71">'491'!$E$77:$O$77</definedName>
    <definedName name="OSRRefE21_13_5x" localSheetId="84">'433'!$E$75:$O$75</definedName>
    <definedName name="OSRRefE21_13_5x" localSheetId="86">'450'!$E$74:$O$74</definedName>
    <definedName name="OSRRefE21_13x_0" localSheetId="42">'201'!$E$65</definedName>
    <definedName name="OSRRefE21_13x_0" localSheetId="44">'203'!$E$68</definedName>
    <definedName name="OSRRefE21_13x_0" localSheetId="48">'300'!$E$93</definedName>
    <definedName name="OSRRefE21_13x_0" localSheetId="49">'300 &amp; 317'!$E$99</definedName>
    <definedName name="OSRRefE21_13x_0" localSheetId="50">'301'!$E$64:$E$67</definedName>
    <definedName name="OSRRefE21_13x_0" localSheetId="63">'310'!$E$68:$E$69</definedName>
    <definedName name="OSRRefE21_13x_0" localSheetId="70">'310 &amp; 491'!$E$74</definedName>
    <definedName name="OSRRefE21_13x_0" localSheetId="57">'315'!$E$85:$E$87</definedName>
    <definedName name="OSRRefE21_13x_0" localSheetId="67">'325'!$E$72:$E$73</definedName>
    <definedName name="OSRRefE21_13x_0" localSheetId="58">'326'!$E$70:$E$72</definedName>
    <definedName name="OSRRefE21_13x_0" localSheetId="56">'331'!$E$84:$E$86</definedName>
    <definedName name="OSRRefE21_13x_0" localSheetId="72">'405'!$E$75</definedName>
    <definedName name="OSRRefE21_13x_0" localSheetId="76">'415'!$E$74</definedName>
    <definedName name="OSRRefE21_13x_0" localSheetId="77">'418'!$E$77</definedName>
    <definedName name="OSRRefE21_13x_0" localSheetId="84">'433'!$E$70:$E$75</definedName>
    <definedName name="OSRRefE21_13x_0" localSheetId="85">'444'!$E$74</definedName>
    <definedName name="OSRRefE21_13x_0" localSheetId="86">'450'!$E$69:$E$74</definedName>
    <definedName name="OSRRefE21_13x_0" localSheetId="71">'491'!$E$73:$E$77</definedName>
    <definedName name="OSRRefE21_13x_0" localSheetId="82">'492'!$E$72:$E$75</definedName>
    <definedName name="OSRRefE21_13x_0" localSheetId="88">'501'!$E$66</definedName>
    <definedName name="OSRRefE21_13x_0" localSheetId="39">'Div 2'!$E$68:$E$71</definedName>
    <definedName name="OSRRefE21_13x_0" localSheetId="41">'Div 3'!$E$94</definedName>
    <definedName name="OSRRefE21_13x_0" localSheetId="69">'Div 4'!$E$74</definedName>
    <definedName name="OSRRefE21_13x_0" localSheetId="87">'Div 5'!$E$66</definedName>
    <definedName name="OSRRefE21_13x_0" localSheetId="2">Summary!$E$106</definedName>
    <definedName name="OSRRefE21_13x_1" localSheetId="42">'201'!$F$65</definedName>
    <definedName name="OSRRefE21_13x_1" localSheetId="44">'203'!$F$68</definedName>
    <definedName name="OSRRefE21_13x_1" localSheetId="48">'300'!$F$93</definedName>
    <definedName name="OSRRefE21_13x_1" localSheetId="49">'300 &amp; 317'!$F$99</definedName>
    <definedName name="OSRRefE21_13x_1" localSheetId="50">'301'!$F$64:$F$67</definedName>
    <definedName name="OSRRefE21_13x_1" localSheetId="63">'310'!$F$68:$F$69</definedName>
    <definedName name="OSRRefE21_13x_1" localSheetId="70">'310 &amp; 491'!$F$74</definedName>
    <definedName name="OSRRefE21_13x_1" localSheetId="57">'315'!$F$85:$F$87</definedName>
    <definedName name="OSRRefE21_13x_1" localSheetId="67">'325'!$F$72:$F$73</definedName>
    <definedName name="OSRRefE21_13x_1" localSheetId="58">'326'!$F$70:$F$72</definedName>
    <definedName name="OSRRefE21_13x_1" localSheetId="56">'331'!$F$84:$F$86</definedName>
    <definedName name="OSRRefE21_13x_1" localSheetId="72">'405'!$F$75</definedName>
    <definedName name="OSRRefE21_13x_1" localSheetId="76">'415'!$F$74</definedName>
    <definedName name="OSRRefE21_13x_1" localSheetId="77">'418'!$F$77</definedName>
    <definedName name="OSRRefE21_13x_1" localSheetId="84">'433'!$F$70:$F$75</definedName>
    <definedName name="OSRRefE21_13x_1" localSheetId="85">'444'!$F$74</definedName>
    <definedName name="OSRRefE21_13x_1" localSheetId="86">'450'!$F$69:$F$74</definedName>
    <definedName name="OSRRefE21_13x_1" localSheetId="71">'491'!$F$73:$F$77</definedName>
    <definedName name="OSRRefE21_13x_1" localSheetId="82">'492'!$F$72:$F$75</definedName>
    <definedName name="OSRRefE21_13x_1" localSheetId="88">'501'!$F$66</definedName>
    <definedName name="OSRRefE21_13x_1" localSheetId="39">'Div 2'!$F$68:$F$71</definedName>
    <definedName name="OSRRefE21_13x_1" localSheetId="41">'Div 3'!$F$94</definedName>
    <definedName name="OSRRefE21_13x_1" localSheetId="69">'Div 4'!$F$74</definedName>
    <definedName name="OSRRefE21_13x_1" localSheetId="87">'Div 5'!$F$66</definedName>
    <definedName name="OSRRefE21_13x_1" localSheetId="2">Summary!$F$106</definedName>
    <definedName name="OSRRefE21_13x_10" localSheetId="42">'201'!$O$65</definedName>
    <definedName name="OSRRefE21_13x_10" localSheetId="44">'203'!$O$68</definedName>
    <definedName name="OSRRefE21_13x_10" localSheetId="48">'300'!$O$93</definedName>
    <definedName name="OSRRefE21_13x_10" localSheetId="49">'300 &amp; 317'!$O$99</definedName>
    <definedName name="OSRRefE21_13x_10" localSheetId="50">'301'!$O$64:$O$67</definedName>
    <definedName name="OSRRefE21_13x_10" localSheetId="63">'310'!$O$68:$O$69</definedName>
    <definedName name="OSRRefE21_13x_10" localSheetId="70">'310 &amp; 491'!$O$74</definedName>
    <definedName name="OSRRefE21_13x_10" localSheetId="57">'315'!$O$85:$O$87</definedName>
    <definedName name="OSRRefE21_13x_10" localSheetId="67">'325'!$O$72:$O$73</definedName>
    <definedName name="OSRRefE21_13x_10" localSheetId="58">'326'!$O$70:$O$72</definedName>
    <definedName name="OSRRefE21_13x_10" localSheetId="56">'331'!$O$84:$O$86</definedName>
    <definedName name="OSRRefE21_13x_10" localSheetId="72">'405'!$O$75</definedName>
    <definedName name="OSRRefE21_13x_10" localSheetId="76">'415'!$O$74</definedName>
    <definedName name="OSRRefE21_13x_10" localSheetId="77">'418'!$O$77</definedName>
    <definedName name="OSRRefE21_13x_10" localSheetId="84">'433'!$O$70:$O$75</definedName>
    <definedName name="OSRRefE21_13x_10" localSheetId="85">'444'!$O$74</definedName>
    <definedName name="OSRRefE21_13x_10" localSheetId="86">'450'!$O$69:$O$74</definedName>
    <definedName name="OSRRefE21_13x_10" localSheetId="71">'491'!$O$73:$O$77</definedName>
    <definedName name="OSRRefE21_13x_10" localSheetId="82">'492'!$O$72:$O$75</definedName>
    <definedName name="OSRRefE21_13x_10" localSheetId="88">'501'!$O$66</definedName>
    <definedName name="OSRRefE21_13x_10" localSheetId="39">'Div 2'!$O$68:$O$71</definedName>
    <definedName name="OSRRefE21_13x_10" localSheetId="41">'Div 3'!$O$94</definedName>
    <definedName name="OSRRefE21_13x_10" localSheetId="69">'Div 4'!$O$74</definedName>
    <definedName name="OSRRefE21_13x_10" localSheetId="87">'Div 5'!$O$66</definedName>
    <definedName name="OSRRefE21_13x_10" localSheetId="2">Summary!$O$106</definedName>
    <definedName name="OSRRefE21_13x_2" localSheetId="42">'201'!$G$65</definedName>
    <definedName name="OSRRefE21_13x_2" localSheetId="44">'203'!$G$68</definedName>
    <definedName name="OSRRefE21_13x_2" localSheetId="48">'300'!$G$93</definedName>
    <definedName name="OSRRefE21_13x_2" localSheetId="49">'300 &amp; 317'!$G$99</definedName>
    <definedName name="OSRRefE21_13x_2" localSheetId="50">'301'!$G$64:$G$67</definedName>
    <definedName name="OSRRefE21_13x_2" localSheetId="63">'310'!$G$68:$G$69</definedName>
    <definedName name="OSRRefE21_13x_2" localSheetId="70">'310 &amp; 491'!$G$74</definedName>
    <definedName name="OSRRefE21_13x_2" localSheetId="57">'315'!$G$85:$G$87</definedName>
    <definedName name="OSRRefE21_13x_2" localSheetId="67">'325'!$G$72:$G$73</definedName>
    <definedName name="OSRRefE21_13x_2" localSheetId="58">'326'!$G$70:$G$72</definedName>
    <definedName name="OSRRefE21_13x_2" localSheetId="56">'331'!$G$84:$G$86</definedName>
    <definedName name="OSRRefE21_13x_2" localSheetId="72">'405'!$G$75</definedName>
    <definedName name="OSRRefE21_13x_2" localSheetId="76">'415'!$G$74</definedName>
    <definedName name="OSRRefE21_13x_2" localSheetId="77">'418'!$G$77</definedName>
    <definedName name="OSRRefE21_13x_2" localSheetId="84">'433'!$G$70:$G$75</definedName>
    <definedName name="OSRRefE21_13x_2" localSheetId="85">'444'!$G$74</definedName>
    <definedName name="OSRRefE21_13x_2" localSheetId="86">'450'!$G$69:$G$74</definedName>
    <definedName name="OSRRefE21_13x_2" localSheetId="71">'491'!$G$73:$G$77</definedName>
    <definedName name="OSRRefE21_13x_2" localSheetId="82">'492'!$G$72:$G$75</definedName>
    <definedName name="OSRRefE21_13x_2" localSheetId="88">'501'!$G$66</definedName>
    <definedName name="OSRRefE21_13x_2" localSheetId="39">'Div 2'!$G$68:$G$71</definedName>
    <definedName name="OSRRefE21_13x_2" localSheetId="41">'Div 3'!$G$94</definedName>
    <definedName name="OSRRefE21_13x_2" localSheetId="69">'Div 4'!$G$74</definedName>
    <definedName name="OSRRefE21_13x_2" localSheetId="87">'Div 5'!$G$66</definedName>
    <definedName name="OSRRefE21_13x_2" localSheetId="2">Summary!$G$106</definedName>
    <definedName name="OSRRefE21_13x_3" localSheetId="42">'201'!$H$65</definedName>
    <definedName name="OSRRefE21_13x_3" localSheetId="44">'203'!$H$68</definedName>
    <definedName name="OSRRefE21_13x_3" localSheetId="48">'300'!$H$93</definedName>
    <definedName name="OSRRefE21_13x_3" localSheetId="49">'300 &amp; 317'!$H$99</definedName>
    <definedName name="OSRRefE21_13x_3" localSheetId="50">'301'!$H$64:$H$67</definedName>
    <definedName name="OSRRefE21_13x_3" localSheetId="63">'310'!$H$68:$H$69</definedName>
    <definedName name="OSRRefE21_13x_3" localSheetId="70">'310 &amp; 491'!$H$74</definedName>
    <definedName name="OSRRefE21_13x_3" localSheetId="57">'315'!$H$85:$H$87</definedName>
    <definedName name="OSRRefE21_13x_3" localSheetId="67">'325'!$H$72:$H$73</definedName>
    <definedName name="OSRRefE21_13x_3" localSheetId="58">'326'!$H$70:$H$72</definedName>
    <definedName name="OSRRefE21_13x_3" localSheetId="56">'331'!$H$84:$H$86</definedName>
    <definedName name="OSRRefE21_13x_3" localSheetId="72">'405'!$H$75</definedName>
    <definedName name="OSRRefE21_13x_3" localSheetId="76">'415'!$H$74</definedName>
    <definedName name="OSRRefE21_13x_3" localSheetId="77">'418'!$H$77</definedName>
    <definedName name="OSRRefE21_13x_3" localSheetId="84">'433'!$H$70:$H$75</definedName>
    <definedName name="OSRRefE21_13x_3" localSheetId="85">'444'!$H$74</definedName>
    <definedName name="OSRRefE21_13x_3" localSheetId="86">'450'!$H$69:$H$74</definedName>
    <definedName name="OSRRefE21_13x_3" localSheetId="71">'491'!$H$73:$H$77</definedName>
    <definedName name="OSRRefE21_13x_3" localSheetId="82">'492'!$H$72:$H$75</definedName>
    <definedName name="OSRRefE21_13x_3" localSheetId="88">'501'!$H$66</definedName>
    <definedName name="OSRRefE21_13x_3" localSheetId="39">'Div 2'!$H$68:$H$71</definedName>
    <definedName name="OSRRefE21_13x_3" localSheetId="41">'Div 3'!$H$94</definedName>
    <definedName name="OSRRefE21_13x_3" localSheetId="69">'Div 4'!$H$74</definedName>
    <definedName name="OSRRefE21_13x_3" localSheetId="87">'Div 5'!$H$66</definedName>
    <definedName name="OSRRefE21_13x_3" localSheetId="2">Summary!$H$106</definedName>
    <definedName name="OSRRefE21_13x_4" localSheetId="42">'201'!$I$65</definedName>
    <definedName name="OSRRefE21_13x_4" localSheetId="44">'203'!$I$68</definedName>
    <definedName name="OSRRefE21_13x_4" localSheetId="48">'300'!$I$93</definedName>
    <definedName name="OSRRefE21_13x_4" localSheetId="49">'300 &amp; 317'!$I$99</definedName>
    <definedName name="OSRRefE21_13x_4" localSheetId="50">'301'!$I$64:$I$67</definedName>
    <definedName name="OSRRefE21_13x_4" localSheetId="63">'310'!$I$68:$I$69</definedName>
    <definedName name="OSRRefE21_13x_4" localSheetId="70">'310 &amp; 491'!$I$74</definedName>
    <definedName name="OSRRefE21_13x_4" localSheetId="57">'315'!$I$85:$I$87</definedName>
    <definedName name="OSRRefE21_13x_4" localSheetId="67">'325'!$I$72:$I$73</definedName>
    <definedName name="OSRRefE21_13x_4" localSheetId="58">'326'!$I$70:$I$72</definedName>
    <definedName name="OSRRefE21_13x_4" localSheetId="56">'331'!$I$84:$I$86</definedName>
    <definedName name="OSRRefE21_13x_4" localSheetId="72">'405'!$I$75</definedName>
    <definedName name="OSRRefE21_13x_4" localSheetId="76">'415'!$I$74</definedName>
    <definedName name="OSRRefE21_13x_4" localSheetId="77">'418'!$I$77</definedName>
    <definedName name="OSRRefE21_13x_4" localSheetId="84">'433'!$I$70:$I$75</definedName>
    <definedName name="OSRRefE21_13x_4" localSheetId="85">'444'!$I$74</definedName>
    <definedName name="OSRRefE21_13x_4" localSheetId="86">'450'!$I$69:$I$74</definedName>
    <definedName name="OSRRefE21_13x_4" localSheetId="71">'491'!$I$73:$I$77</definedName>
    <definedName name="OSRRefE21_13x_4" localSheetId="82">'492'!$I$72:$I$75</definedName>
    <definedName name="OSRRefE21_13x_4" localSheetId="88">'501'!$I$66</definedName>
    <definedName name="OSRRefE21_13x_4" localSheetId="39">'Div 2'!$I$68:$I$71</definedName>
    <definedName name="OSRRefE21_13x_4" localSheetId="41">'Div 3'!$I$94</definedName>
    <definedName name="OSRRefE21_13x_4" localSheetId="69">'Div 4'!$I$74</definedName>
    <definedName name="OSRRefE21_13x_4" localSheetId="87">'Div 5'!$I$66</definedName>
    <definedName name="OSRRefE21_13x_4" localSheetId="2">Summary!$I$106</definedName>
    <definedName name="OSRRefE21_13x_5" localSheetId="42">'201'!$J$65</definedName>
    <definedName name="OSRRefE21_13x_5" localSheetId="44">'203'!$J$68</definedName>
    <definedName name="OSRRefE21_13x_5" localSheetId="48">'300'!$J$93</definedName>
    <definedName name="OSRRefE21_13x_5" localSheetId="49">'300 &amp; 317'!$J$99</definedName>
    <definedName name="OSRRefE21_13x_5" localSheetId="50">'301'!$J$64:$J$67</definedName>
    <definedName name="OSRRefE21_13x_5" localSheetId="63">'310'!$J$68:$J$69</definedName>
    <definedName name="OSRRefE21_13x_5" localSheetId="70">'310 &amp; 491'!$J$74</definedName>
    <definedName name="OSRRefE21_13x_5" localSheetId="57">'315'!$J$85:$J$87</definedName>
    <definedName name="OSRRefE21_13x_5" localSheetId="67">'325'!$J$72:$J$73</definedName>
    <definedName name="OSRRefE21_13x_5" localSheetId="58">'326'!$J$70:$J$72</definedName>
    <definedName name="OSRRefE21_13x_5" localSheetId="56">'331'!$J$84:$J$86</definedName>
    <definedName name="OSRRefE21_13x_5" localSheetId="72">'405'!$J$75</definedName>
    <definedName name="OSRRefE21_13x_5" localSheetId="76">'415'!$J$74</definedName>
    <definedName name="OSRRefE21_13x_5" localSheetId="77">'418'!$J$77</definedName>
    <definedName name="OSRRefE21_13x_5" localSheetId="84">'433'!$J$70:$J$75</definedName>
    <definedName name="OSRRefE21_13x_5" localSheetId="85">'444'!$J$74</definedName>
    <definedName name="OSRRefE21_13x_5" localSheetId="86">'450'!$J$69:$J$74</definedName>
    <definedName name="OSRRefE21_13x_5" localSheetId="71">'491'!$J$73:$J$77</definedName>
    <definedName name="OSRRefE21_13x_5" localSheetId="82">'492'!$J$72:$J$75</definedName>
    <definedName name="OSRRefE21_13x_5" localSheetId="88">'501'!$J$66</definedName>
    <definedName name="OSRRefE21_13x_5" localSheetId="39">'Div 2'!$J$68:$J$71</definedName>
    <definedName name="OSRRefE21_13x_5" localSheetId="41">'Div 3'!$J$94</definedName>
    <definedName name="OSRRefE21_13x_5" localSheetId="69">'Div 4'!$J$74</definedName>
    <definedName name="OSRRefE21_13x_5" localSheetId="87">'Div 5'!$J$66</definedName>
    <definedName name="OSRRefE21_13x_5" localSheetId="2">Summary!$J$106</definedName>
    <definedName name="OSRRefE21_13x_6" localSheetId="42">'201'!$K$65</definedName>
    <definedName name="OSRRefE21_13x_6" localSheetId="44">'203'!$K$68</definedName>
    <definedName name="OSRRefE21_13x_6" localSheetId="48">'300'!$K$93</definedName>
    <definedName name="OSRRefE21_13x_6" localSheetId="49">'300 &amp; 317'!$K$99</definedName>
    <definedName name="OSRRefE21_13x_6" localSheetId="50">'301'!$K$64:$K$67</definedName>
    <definedName name="OSRRefE21_13x_6" localSheetId="63">'310'!$K$68:$K$69</definedName>
    <definedName name="OSRRefE21_13x_6" localSheetId="70">'310 &amp; 491'!$K$74</definedName>
    <definedName name="OSRRefE21_13x_6" localSheetId="57">'315'!$K$85:$K$87</definedName>
    <definedName name="OSRRefE21_13x_6" localSheetId="67">'325'!$K$72:$K$73</definedName>
    <definedName name="OSRRefE21_13x_6" localSheetId="58">'326'!$K$70:$K$72</definedName>
    <definedName name="OSRRefE21_13x_6" localSheetId="56">'331'!$K$84:$K$86</definedName>
    <definedName name="OSRRefE21_13x_6" localSheetId="72">'405'!$K$75</definedName>
    <definedName name="OSRRefE21_13x_6" localSheetId="76">'415'!$K$74</definedName>
    <definedName name="OSRRefE21_13x_6" localSheetId="77">'418'!$K$77</definedName>
    <definedName name="OSRRefE21_13x_6" localSheetId="84">'433'!$K$70:$K$75</definedName>
    <definedName name="OSRRefE21_13x_6" localSheetId="85">'444'!$K$74</definedName>
    <definedName name="OSRRefE21_13x_6" localSheetId="86">'450'!$K$69:$K$74</definedName>
    <definedName name="OSRRefE21_13x_6" localSheetId="71">'491'!$K$73:$K$77</definedName>
    <definedName name="OSRRefE21_13x_6" localSheetId="82">'492'!$K$72:$K$75</definedName>
    <definedName name="OSRRefE21_13x_6" localSheetId="88">'501'!$K$66</definedName>
    <definedName name="OSRRefE21_13x_6" localSheetId="39">'Div 2'!$K$68:$K$71</definedName>
    <definedName name="OSRRefE21_13x_6" localSheetId="41">'Div 3'!$K$94</definedName>
    <definedName name="OSRRefE21_13x_6" localSheetId="69">'Div 4'!$K$74</definedName>
    <definedName name="OSRRefE21_13x_6" localSheetId="87">'Div 5'!$K$66</definedName>
    <definedName name="OSRRefE21_13x_6" localSheetId="2">Summary!$K$106</definedName>
    <definedName name="OSRRefE21_13x_7" localSheetId="42">'201'!$L$65</definedName>
    <definedName name="OSRRefE21_13x_7" localSheetId="44">'203'!$L$68</definedName>
    <definedName name="OSRRefE21_13x_7" localSheetId="48">'300'!$L$93</definedName>
    <definedName name="OSRRefE21_13x_7" localSheetId="49">'300 &amp; 317'!$L$99</definedName>
    <definedName name="OSRRefE21_13x_7" localSheetId="50">'301'!$L$64:$L$67</definedName>
    <definedName name="OSRRefE21_13x_7" localSheetId="63">'310'!$L$68:$L$69</definedName>
    <definedName name="OSRRefE21_13x_7" localSheetId="70">'310 &amp; 491'!$L$74</definedName>
    <definedName name="OSRRefE21_13x_7" localSheetId="57">'315'!$L$85:$L$87</definedName>
    <definedName name="OSRRefE21_13x_7" localSheetId="67">'325'!$L$72:$L$73</definedName>
    <definedName name="OSRRefE21_13x_7" localSheetId="58">'326'!$L$70:$L$72</definedName>
    <definedName name="OSRRefE21_13x_7" localSheetId="56">'331'!$L$84:$L$86</definedName>
    <definedName name="OSRRefE21_13x_7" localSheetId="72">'405'!$L$75</definedName>
    <definedName name="OSRRefE21_13x_7" localSheetId="76">'415'!$L$74</definedName>
    <definedName name="OSRRefE21_13x_7" localSheetId="77">'418'!$L$77</definedName>
    <definedName name="OSRRefE21_13x_7" localSheetId="84">'433'!$L$70:$L$75</definedName>
    <definedName name="OSRRefE21_13x_7" localSheetId="85">'444'!$L$74</definedName>
    <definedName name="OSRRefE21_13x_7" localSheetId="86">'450'!$L$69:$L$74</definedName>
    <definedName name="OSRRefE21_13x_7" localSheetId="71">'491'!$L$73:$L$77</definedName>
    <definedName name="OSRRefE21_13x_7" localSheetId="82">'492'!$L$72:$L$75</definedName>
    <definedName name="OSRRefE21_13x_7" localSheetId="88">'501'!$L$66</definedName>
    <definedName name="OSRRefE21_13x_7" localSheetId="39">'Div 2'!$L$68:$L$71</definedName>
    <definedName name="OSRRefE21_13x_7" localSheetId="41">'Div 3'!$L$94</definedName>
    <definedName name="OSRRefE21_13x_7" localSheetId="69">'Div 4'!$L$74</definedName>
    <definedName name="OSRRefE21_13x_7" localSheetId="87">'Div 5'!$L$66</definedName>
    <definedName name="OSRRefE21_13x_7" localSheetId="2">Summary!$L$106</definedName>
    <definedName name="OSRRefE21_13x_8" localSheetId="42">'201'!$M$65</definedName>
    <definedName name="OSRRefE21_13x_8" localSheetId="44">'203'!$M$68</definedName>
    <definedName name="OSRRefE21_13x_8" localSheetId="48">'300'!$M$93</definedName>
    <definedName name="OSRRefE21_13x_8" localSheetId="49">'300 &amp; 317'!$M$99</definedName>
    <definedName name="OSRRefE21_13x_8" localSheetId="50">'301'!$M$64:$M$67</definedName>
    <definedName name="OSRRefE21_13x_8" localSheetId="63">'310'!$M$68:$M$69</definedName>
    <definedName name="OSRRefE21_13x_8" localSheetId="70">'310 &amp; 491'!$M$74</definedName>
    <definedName name="OSRRefE21_13x_8" localSheetId="57">'315'!$M$85:$M$87</definedName>
    <definedName name="OSRRefE21_13x_8" localSheetId="67">'325'!$M$72:$M$73</definedName>
    <definedName name="OSRRefE21_13x_8" localSheetId="58">'326'!$M$70:$M$72</definedName>
    <definedName name="OSRRefE21_13x_8" localSheetId="56">'331'!$M$84:$M$86</definedName>
    <definedName name="OSRRefE21_13x_8" localSheetId="72">'405'!$M$75</definedName>
    <definedName name="OSRRefE21_13x_8" localSheetId="76">'415'!$M$74</definedName>
    <definedName name="OSRRefE21_13x_8" localSheetId="77">'418'!$M$77</definedName>
    <definedName name="OSRRefE21_13x_8" localSheetId="84">'433'!$M$70:$M$75</definedName>
    <definedName name="OSRRefE21_13x_8" localSheetId="85">'444'!$M$74</definedName>
    <definedName name="OSRRefE21_13x_8" localSheetId="86">'450'!$M$69:$M$74</definedName>
    <definedName name="OSRRefE21_13x_8" localSheetId="71">'491'!$M$73:$M$77</definedName>
    <definedName name="OSRRefE21_13x_8" localSheetId="82">'492'!$M$72:$M$75</definedName>
    <definedName name="OSRRefE21_13x_8" localSheetId="88">'501'!$M$66</definedName>
    <definedName name="OSRRefE21_13x_8" localSheetId="39">'Div 2'!$M$68:$M$71</definedName>
    <definedName name="OSRRefE21_13x_8" localSheetId="41">'Div 3'!$M$94</definedName>
    <definedName name="OSRRefE21_13x_8" localSheetId="69">'Div 4'!$M$74</definedName>
    <definedName name="OSRRefE21_13x_8" localSheetId="87">'Div 5'!$M$66</definedName>
    <definedName name="OSRRefE21_13x_8" localSheetId="2">Summary!$M$106</definedName>
    <definedName name="OSRRefE21_13x_9" localSheetId="42">'201'!$N$65</definedName>
    <definedName name="OSRRefE21_13x_9" localSheetId="44">'203'!$N$68</definedName>
    <definedName name="OSRRefE21_13x_9" localSheetId="48">'300'!$N$93</definedName>
    <definedName name="OSRRefE21_13x_9" localSheetId="49">'300 &amp; 317'!$N$99</definedName>
    <definedName name="OSRRefE21_13x_9" localSheetId="50">'301'!$N$64:$N$67</definedName>
    <definedName name="OSRRefE21_13x_9" localSheetId="63">'310'!$N$68:$N$69</definedName>
    <definedName name="OSRRefE21_13x_9" localSheetId="70">'310 &amp; 491'!$N$74</definedName>
    <definedName name="OSRRefE21_13x_9" localSheetId="57">'315'!$N$85:$N$87</definedName>
    <definedName name="OSRRefE21_13x_9" localSheetId="67">'325'!$N$72:$N$73</definedName>
    <definedName name="OSRRefE21_13x_9" localSheetId="58">'326'!$N$70:$N$72</definedName>
    <definedName name="OSRRefE21_13x_9" localSheetId="56">'331'!$N$84:$N$86</definedName>
    <definedName name="OSRRefE21_13x_9" localSheetId="72">'405'!$N$75</definedName>
    <definedName name="OSRRefE21_13x_9" localSheetId="76">'415'!$N$74</definedName>
    <definedName name="OSRRefE21_13x_9" localSheetId="77">'418'!$N$77</definedName>
    <definedName name="OSRRefE21_13x_9" localSheetId="84">'433'!$N$70:$N$75</definedName>
    <definedName name="OSRRefE21_13x_9" localSheetId="85">'444'!$N$74</definedName>
    <definedName name="OSRRefE21_13x_9" localSheetId="86">'450'!$N$69:$N$74</definedName>
    <definedName name="OSRRefE21_13x_9" localSheetId="71">'491'!$N$73:$N$77</definedName>
    <definedName name="OSRRefE21_13x_9" localSheetId="82">'492'!$N$72:$N$75</definedName>
    <definedName name="OSRRefE21_13x_9" localSheetId="88">'501'!$N$66</definedName>
    <definedName name="OSRRefE21_13x_9" localSheetId="39">'Div 2'!$N$68:$N$71</definedName>
    <definedName name="OSRRefE21_13x_9" localSheetId="41">'Div 3'!$N$94</definedName>
    <definedName name="OSRRefE21_13x_9" localSheetId="69">'Div 4'!$N$74</definedName>
    <definedName name="OSRRefE21_13x_9" localSheetId="87">'Div 5'!$N$66</definedName>
    <definedName name="OSRRefE21_13x_9" localSheetId="2">Summary!$N$106</definedName>
    <definedName name="OSRRefE21_14_0x" localSheetId="42">'201'!$E$67:$O$67</definedName>
    <definedName name="OSRRefE21_14_0x" localSheetId="44">'203'!$E$70:$O$70</definedName>
    <definedName name="OSRRefE21_14_0x" localSheetId="48">'300'!$E$95:$O$95</definedName>
    <definedName name="OSRRefE21_14_0x" localSheetId="49">'300 &amp; 317'!$E$101:$O$101</definedName>
    <definedName name="OSRRefE21_14_0x" localSheetId="50">'301'!$E$69:$O$69</definedName>
    <definedName name="OSRRefE21_14_0x" localSheetId="63">'310'!$E$71:$O$71</definedName>
    <definedName name="OSRRefE21_14_0x" localSheetId="70">'310 &amp; 491'!$E$76:$O$76</definedName>
    <definedName name="OSRRefE21_14_0x" localSheetId="57">'315'!$E$89:$O$89</definedName>
    <definedName name="OSRRefE21_14_0x" localSheetId="67">'325'!$E$75:$O$75</definedName>
    <definedName name="OSRRefE21_14_0x" localSheetId="58">'326'!$E$74:$O$74</definedName>
    <definedName name="OSRRefE21_14_0x" localSheetId="56">'331'!$E$88:$O$88</definedName>
    <definedName name="OSRRefE21_14_0x" localSheetId="72">'405'!$E$77:$O$77</definedName>
    <definedName name="OSRRefE21_14_0x" localSheetId="76">'415'!$E$76:$O$76</definedName>
    <definedName name="OSRRefE21_14_0x" localSheetId="77">'418'!$E$79:$O$79</definedName>
    <definedName name="OSRRefE21_14_0x" localSheetId="84">'433'!$E$77:$O$77</definedName>
    <definedName name="OSRRefE21_14_0x" localSheetId="85">'444'!$E$76:$O$76</definedName>
    <definedName name="OSRRefE21_14_0x" localSheetId="86">'450'!$E$76:$O$76</definedName>
    <definedName name="OSRRefE21_14_0x" localSheetId="71">'491'!$E$79:$O$79</definedName>
    <definedName name="OSRRefE21_14_0x" localSheetId="82">'492'!$E$77:$O$77</definedName>
    <definedName name="OSRRefE21_14_0x" localSheetId="39">'Div 2'!$E$73:$O$73</definedName>
    <definedName name="OSRRefE21_14_0x" localSheetId="41">'Div 3'!$E$96:$O$96</definedName>
    <definedName name="OSRRefE21_14_0x" localSheetId="69">'Div 4'!$E$76:$O$76</definedName>
    <definedName name="OSRRefE21_14_0x" localSheetId="2">Summary!$E$108:$O$108</definedName>
    <definedName name="OSRRefE21_14_1x" localSheetId="50">'301'!$E$70:$O$70</definedName>
    <definedName name="OSRRefE21_14_1x" localSheetId="63">'310'!$E$72:$O$72</definedName>
    <definedName name="OSRRefE21_14_1x" localSheetId="70">'310 &amp; 491'!$E$77:$O$77</definedName>
    <definedName name="OSRRefE21_14_1x" localSheetId="56">'331'!$E$89:$O$89</definedName>
    <definedName name="OSRRefE21_14_1x" localSheetId="76">'415'!$E$77:$O$77</definedName>
    <definedName name="OSRRefE21_14_1x" localSheetId="85">'444'!$E$77:$O$77</definedName>
    <definedName name="OSRRefE21_14_1x" localSheetId="39">'Div 2'!$E$74:$O$74</definedName>
    <definedName name="OSRRefE21_14_1x" localSheetId="69">'Div 4'!$E$77:$O$77</definedName>
    <definedName name="OSRRefE21_14_2x" localSheetId="63">'310'!$E$73:$O$73</definedName>
    <definedName name="OSRRefE21_14_2x" localSheetId="70">'310 &amp; 491'!$E$78:$O$78</definedName>
    <definedName name="OSRRefE21_14_2x" localSheetId="76">'415'!$E$78:$O$78</definedName>
    <definedName name="OSRRefE21_14_2x" localSheetId="85">'444'!$E$78:$O$78</definedName>
    <definedName name="OSRRefE21_14_2x" localSheetId="69">'Div 4'!$E$78:$O$78</definedName>
    <definedName name="OSRRefE21_14_3x" localSheetId="63">'310'!$E$74:$O$74</definedName>
    <definedName name="OSRRefE21_14_3x" localSheetId="70">'310 &amp; 491'!$E$79:$O$79</definedName>
    <definedName name="OSRRefE21_14_3x" localSheetId="76">'415'!$E$79:$O$79</definedName>
    <definedName name="OSRRefE21_14_3x" localSheetId="85">'444'!$E$79:$O$79</definedName>
    <definedName name="OSRRefE21_14_3x" localSheetId="69">'Div 4'!$E$79:$O$79</definedName>
    <definedName name="OSRRefE21_14_4x" localSheetId="63">'310'!$E$75:$O$75</definedName>
    <definedName name="OSRRefE21_14_4x" localSheetId="70">'310 &amp; 491'!$E$80:$O$80</definedName>
    <definedName name="OSRRefE21_14_4x" localSheetId="76">'415'!$E$80:$O$80</definedName>
    <definedName name="OSRRefE21_14_4x" localSheetId="85">'444'!$E$80:$O$80</definedName>
    <definedName name="OSRRefE21_14_5x" localSheetId="76">'415'!$E$81:$O$81</definedName>
    <definedName name="OSRRefE21_14_5x" localSheetId="85">'444'!$E$81:$O$81</definedName>
    <definedName name="OSRRefE21_14x_0" localSheetId="42">'201'!$E$67</definedName>
    <definedName name="OSRRefE21_14x_0" localSheetId="44">'203'!$E$70</definedName>
    <definedName name="OSRRefE21_14x_0" localSheetId="48">'300'!$E$95</definedName>
    <definedName name="OSRRefE21_14x_0" localSheetId="49">'300 &amp; 317'!$E$101</definedName>
    <definedName name="OSRRefE21_14x_0" localSheetId="50">'301'!$E$69:$E$70</definedName>
    <definedName name="OSRRefE21_14x_0" localSheetId="63">'310'!$E$71:$E$75</definedName>
    <definedName name="OSRRefE21_14x_0" localSheetId="70">'310 &amp; 491'!$E$76:$E$80</definedName>
    <definedName name="OSRRefE21_14x_0" localSheetId="57">'315'!$E$89</definedName>
    <definedName name="OSRRefE21_14x_0" localSheetId="67">'325'!$E$75</definedName>
    <definedName name="OSRRefE21_14x_0" localSheetId="58">'326'!$E$74</definedName>
    <definedName name="OSRRefE21_14x_0" localSheetId="56">'331'!$E$88:$E$89</definedName>
    <definedName name="OSRRefE21_14x_0" localSheetId="72">'405'!$E$77</definedName>
    <definedName name="OSRRefE21_14x_0" localSheetId="76">'415'!$E$76:$E$81</definedName>
    <definedName name="OSRRefE21_14x_0" localSheetId="77">'418'!$E$79</definedName>
    <definedName name="OSRRefE21_14x_0" localSheetId="84">'433'!$E$77</definedName>
    <definedName name="OSRRefE21_14x_0" localSheetId="85">'444'!$E$76:$E$81</definedName>
    <definedName name="OSRRefE21_14x_0" localSheetId="86">'450'!$E$76</definedName>
    <definedName name="OSRRefE21_14x_0" localSheetId="71">'491'!$E$79</definedName>
    <definedName name="OSRRefE21_14x_0" localSheetId="82">'492'!$E$77</definedName>
    <definedName name="OSRRefE21_14x_0" localSheetId="39">'Div 2'!$E$73:$E$74</definedName>
    <definedName name="OSRRefE21_14x_0" localSheetId="41">'Div 3'!$E$96</definedName>
    <definedName name="OSRRefE21_14x_0" localSheetId="69">'Div 4'!$E$76:$E$79</definedName>
    <definedName name="OSRRefE21_14x_0" localSheetId="2">Summary!$E$108</definedName>
    <definedName name="OSRRefE21_14x_1" localSheetId="42">'201'!$F$67</definedName>
    <definedName name="OSRRefE21_14x_1" localSheetId="44">'203'!$F$70</definedName>
    <definedName name="OSRRefE21_14x_1" localSheetId="48">'300'!$F$95</definedName>
    <definedName name="OSRRefE21_14x_1" localSheetId="49">'300 &amp; 317'!$F$101</definedName>
    <definedName name="OSRRefE21_14x_1" localSheetId="50">'301'!$F$69:$F$70</definedName>
    <definedName name="OSRRefE21_14x_1" localSheetId="63">'310'!$F$71:$F$75</definedName>
    <definedName name="OSRRefE21_14x_1" localSheetId="70">'310 &amp; 491'!$F$76:$F$80</definedName>
    <definedName name="OSRRefE21_14x_1" localSheetId="57">'315'!$F$89</definedName>
    <definedName name="OSRRefE21_14x_1" localSheetId="67">'325'!$F$75</definedName>
    <definedName name="OSRRefE21_14x_1" localSheetId="58">'326'!$F$74</definedName>
    <definedName name="OSRRefE21_14x_1" localSheetId="56">'331'!$F$88:$F$89</definedName>
    <definedName name="OSRRefE21_14x_1" localSheetId="72">'405'!$F$77</definedName>
    <definedName name="OSRRefE21_14x_1" localSheetId="76">'415'!$F$76:$F$81</definedName>
    <definedName name="OSRRefE21_14x_1" localSheetId="77">'418'!$F$79</definedName>
    <definedName name="OSRRefE21_14x_1" localSheetId="84">'433'!$F$77</definedName>
    <definedName name="OSRRefE21_14x_1" localSheetId="85">'444'!$F$76:$F$81</definedName>
    <definedName name="OSRRefE21_14x_1" localSheetId="86">'450'!$F$76</definedName>
    <definedName name="OSRRefE21_14x_1" localSheetId="71">'491'!$F$79</definedName>
    <definedName name="OSRRefE21_14x_1" localSheetId="82">'492'!$F$77</definedName>
    <definedName name="OSRRefE21_14x_1" localSheetId="39">'Div 2'!$F$73:$F$74</definedName>
    <definedName name="OSRRefE21_14x_1" localSheetId="41">'Div 3'!$F$96</definedName>
    <definedName name="OSRRefE21_14x_1" localSheetId="69">'Div 4'!$F$76:$F$79</definedName>
    <definedName name="OSRRefE21_14x_1" localSheetId="2">Summary!$F$108</definedName>
    <definedName name="OSRRefE21_14x_10" localSheetId="42">'201'!$O$67</definedName>
    <definedName name="OSRRefE21_14x_10" localSheetId="44">'203'!$O$70</definedName>
    <definedName name="OSRRefE21_14x_10" localSheetId="48">'300'!$O$95</definedName>
    <definedName name="OSRRefE21_14x_10" localSheetId="49">'300 &amp; 317'!$O$101</definedName>
    <definedName name="OSRRefE21_14x_10" localSheetId="50">'301'!$O$69:$O$70</definedName>
    <definedName name="OSRRefE21_14x_10" localSheetId="63">'310'!$O$71:$O$75</definedName>
    <definedName name="OSRRefE21_14x_10" localSheetId="70">'310 &amp; 491'!$O$76:$O$80</definedName>
    <definedName name="OSRRefE21_14x_10" localSheetId="57">'315'!$O$89</definedName>
    <definedName name="OSRRefE21_14x_10" localSheetId="67">'325'!$O$75</definedName>
    <definedName name="OSRRefE21_14x_10" localSheetId="58">'326'!$O$74</definedName>
    <definedName name="OSRRefE21_14x_10" localSheetId="56">'331'!$O$88:$O$89</definedName>
    <definedName name="OSRRefE21_14x_10" localSheetId="72">'405'!$O$77</definedName>
    <definedName name="OSRRefE21_14x_10" localSheetId="76">'415'!$O$76:$O$81</definedName>
    <definedName name="OSRRefE21_14x_10" localSheetId="77">'418'!$O$79</definedName>
    <definedName name="OSRRefE21_14x_10" localSheetId="84">'433'!$O$77</definedName>
    <definedName name="OSRRefE21_14x_10" localSheetId="85">'444'!$O$76:$O$81</definedName>
    <definedName name="OSRRefE21_14x_10" localSheetId="86">'450'!$O$76</definedName>
    <definedName name="OSRRefE21_14x_10" localSheetId="71">'491'!$O$79</definedName>
    <definedName name="OSRRefE21_14x_10" localSheetId="82">'492'!$O$77</definedName>
    <definedName name="OSRRefE21_14x_10" localSheetId="39">'Div 2'!$O$73:$O$74</definedName>
    <definedName name="OSRRefE21_14x_10" localSheetId="41">'Div 3'!$O$96</definedName>
    <definedName name="OSRRefE21_14x_10" localSheetId="69">'Div 4'!$O$76:$O$79</definedName>
    <definedName name="OSRRefE21_14x_10" localSheetId="2">Summary!$O$108</definedName>
    <definedName name="OSRRefE21_14x_2" localSheetId="42">'201'!$G$67</definedName>
    <definedName name="OSRRefE21_14x_2" localSheetId="44">'203'!$G$70</definedName>
    <definedName name="OSRRefE21_14x_2" localSheetId="48">'300'!$G$95</definedName>
    <definedName name="OSRRefE21_14x_2" localSheetId="49">'300 &amp; 317'!$G$101</definedName>
    <definedName name="OSRRefE21_14x_2" localSheetId="50">'301'!$G$69:$G$70</definedName>
    <definedName name="OSRRefE21_14x_2" localSheetId="63">'310'!$G$71:$G$75</definedName>
    <definedName name="OSRRefE21_14x_2" localSheetId="70">'310 &amp; 491'!$G$76:$G$80</definedName>
    <definedName name="OSRRefE21_14x_2" localSheetId="57">'315'!$G$89</definedName>
    <definedName name="OSRRefE21_14x_2" localSheetId="67">'325'!$G$75</definedName>
    <definedName name="OSRRefE21_14x_2" localSheetId="58">'326'!$G$74</definedName>
    <definedName name="OSRRefE21_14x_2" localSheetId="56">'331'!$G$88:$G$89</definedName>
    <definedName name="OSRRefE21_14x_2" localSheetId="72">'405'!$G$77</definedName>
    <definedName name="OSRRefE21_14x_2" localSheetId="76">'415'!$G$76:$G$81</definedName>
    <definedName name="OSRRefE21_14x_2" localSheetId="77">'418'!$G$79</definedName>
    <definedName name="OSRRefE21_14x_2" localSheetId="84">'433'!$G$77</definedName>
    <definedName name="OSRRefE21_14x_2" localSheetId="85">'444'!$G$76:$G$81</definedName>
    <definedName name="OSRRefE21_14x_2" localSheetId="86">'450'!$G$76</definedName>
    <definedName name="OSRRefE21_14x_2" localSheetId="71">'491'!$G$79</definedName>
    <definedName name="OSRRefE21_14x_2" localSheetId="82">'492'!$G$77</definedName>
    <definedName name="OSRRefE21_14x_2" localSheetId="39">'Div 2'!$G$73:$G$74</definedName>
    <definedName name="OSRRefE21_14x_2" localSheetId="41">'Div 3'!$G$96</definedName>
    <definedName name="OSRRefE21_14x_2" localSheetId="69">'Div 4'!$G$76:$G$79</definedName>
    <definedName name="OSRRefE21_14x_2" localSheetId="2">Summary!$G$108</definedName>
    <definedName name="OSRRefE21_14x_3" localSheetId="42">'201'!$H$67</definedName>
    <definedName name="OSRRefE21_14x_3" localSheetId="44">'203'!$H$70</definedName>
    <definedName name="OSRRefE21_14x_3" localSheetId="48">'300'!$H$95</definedName>
    <definedName name="OSRRefE21_14x_3" localSheetId="49">'300 &amp; 317'!$H$101</definedName>
    <definedName name="OSRRefE21_14x_3" localSheetId="50">'301'!$H$69:$H$70</definedName>
    <definedName name="OSRRefE21_14x_3" localSheetId="63">'310'!$H$71:$H$75</definedName>
    <definedName name="OSRRefE21_14x_3" localSheetId="70">'310 &amp; 491'!$H$76:$H$80</definedName>
    <definedName name="OSRRefE21_14x_3" localSheetId="57">'315'!$H$89</definedName>
    <definedName name="OSRRefE21_14x_3" localSheetId="67">'325'!$H$75</definedName>
    <definedName name="OSRRefE21_14x_3" localSheetId="58">'326'!$H$74</definedName>
    <definedName name="OSRRefE21_14x_3" localSheetId="56">'331'!$H$88:$H$89</definedName>
    <definedName name="OSRRefE21_14x_3" localSheetId="72">'405'!$H$77</definedName>
    <definedName name="OSRRefE21_14x_3" localSheetId="76">'415'!$H$76:$H$81</definedName>
    <definedName name="OSRRefE21_14x_3" localSheetId="77">'418'!$H$79</definedName>
    <definedName name="OSRRefE21_14x_3" localSheetId="84">'433'!$H$77</definedName>
    <definedName name="OSRRefE21_14x_3" localSheetId="85">'444'!$H$76:$H$81</definedName>
    <definedName name="OSRRefE21_14x_3" localSheetId="86">'450'!$H$76</definedName>
    <definedName name="OSRRefE21_14x_3" localSheetId="71">'491'!$H$79</definedName>
    <definedName name="OSRRefE21_14x_3" localSheetId="82">'492'!$H$77</definedName>
    <definedName name="OSRRefE21_14x_3" localSheetId="39">'Div 2'!$H$73:$H$74</definedName>
    <definedName name="OSRRefE21_14x_3" localSheetId="41">'Div 3'!$H$96</definedName>
    <definedName name="OSRRefE21_14x_3" localSheetId="69">'Div 4'!$H$76:$H$79</definedName>
    <definedName name="OSRRefE21_14x_3" localSheetId="2">Summary!$H$108</definedName>
    <definedName name="OSRRefE21_14x_4" localSheetId="42">'201'!$I$67</definedName>
    <definedName name="OSRRefE21_14x_4" localSheetId="44">'203'!$I$70</definedName>
    <definedName name="OSRRefE21_14x_4" localSheetId="48">'300'!$I$95</definedName>
    <definedName name="OSRRefE21_14x_4" localSheetId="49">'300 &amp; 317'!$I$101</definedName>
    <definedName name="OSRRefE21_14x_4" localSheetId="50">'301'!$I$69:$I$70</definedName>
    <definedName name="OSRRefE21_14x_4" localSheetId="63">'310'!$I$71:$I$75</definedName>
    <definedName name="OSRRefE21_14x_4" localSheetId="70">'310 &amp; 491'!$I$76:$I$80</definedName>
    <definedName name="OSRRefE21_14x_4" localSheetId="57">'315'!$I$89</definedName>
    <definedName name="OSRRefE21_14x_4" localSheetId="67">'325'!$I$75</definedName>
    <definedName name="OSRRefE21_14x_4" localSheetId="58">'326'!$I$74</definedName>
    <definedName name="OSRRefE21_14x_4" localSheetId="56">'331'!$I$88:$I$89</definedName>
    <definedName name="OSRRefE21_14x_4" localSheetId="72">'405'!$I$77</definedName>
    <definedName name="OSRRefE21_14x_4" localSheetId="76">'415'!$I$76:$I$81</definedName>
    <definedName name="OSRRefE21_14x_4" localSheetId="77">'418'!$I$79</definedName>
    <definedName name="OSRRefE21_14x_4" localSheetId="84">'433'!$I$77</definedName>
    <definedName name="OSRRefE21_14x_4" localSheetId="85">'444'!$I$76:$I$81</definedName>
    <definedName name="OSRRefE21_14x_4" localSheetId="86">'450'!$I$76</definedName>
    <definedName name="OSRRefE21_14x_4" localSheetId="71">'491'!$I$79</definedName>
    <definedName name="OSRRefE21_14x_4" localSheetId="82">'492'!$I$77</definedName>
    <definedName name="OSRRefE21_14x_4" localSheetId="39">'Div 2'!$I$73:$I$74</definedName>
    <definedName name="OSRRefE21_14x_4" localSheetId="41">'Div 3'!$I$96</definedName>
    <definedName name="OSRRefE21_14x_4" localSheetId="69">'Div 4'!$I$76:$I$79</definedName>
    <definedName name="OSRRefE21_14x_4" localSheetId="2">Summary!$I$108</definedName>
    <definedName name="OSRRefE21_14x_5" localSheetId="42">'201'!$J$67</definedName>
    <definedName name="OSRRefE21_14x_5" localSheetId="44">'203'!$J$70</definedName>
    <definedName name="OSRRefE21_14x_5" localSheetId="48">'300'!$J$95</definedName>
    <definedName name="OSRRefE21_14x_5" localSheetId="49">'300 &amp; 317'!$J$101</definedName>
    <definedName name="OSRRefE21_14x_5" localSheetId="50">'301'!$J$69:$J$70</definedName>
    <definedName name="OSRRefE21_14x_5" localSheetId="63">'310'!$J$71:$J$75</definedName>
    <definedName name="OSRRefE21_14x_5" localSheetId="70">'310 &amp; 491'!$J$76:$J$80</definedName>
    <definedName name="OSRRefE21_14x_5" localSheetId="57">'315'!$J$89</definedName>
    <definedName name="OSRRefE21_14x_5" localSheetId="67">'325'!$J$75</definedName>
    <definedName name="OSRRefE21_14x_5" localSheetId="58">'326'!$J$74</definedName>
    <definedName name="OSRRefE21_14x_5" localSheetId="56">'331'!$J$88:$J$89</definedName>
    <definedName name="OSRRefE21_14x_5" localSheetId="72">'405'!$J$77</definedName>
    <definedName name="OSRRefE21_14x_5" localSheetId="76">'415'!$J$76:$J$81</definedName>
    <definedName name="OSRRefE21_14x_5" localSheetId="77">'418'!$J$79</definedName>
    <definedName name="OSRRefE21_14x_5" localSheetId="84">'433'!$J$77</definedName>
    <definedName name="OSRRefE21_14x_5" localSheetId="85">'444'!$J$76:$J$81</definedName>
    <definedName name="OSRRefE21_14x_5" localSheetId="86">'450'!$J$76</definedName>
    <definedName name="OSRRefE21_14x_5" localSheetId="71">'491'!$J$79</definedName>
    <definedName name="OSRRefE21_14x_5" localSheetId="82">'492'!$J$77</definedName>
    <definedName name="OSRRefE21_14x_5" localSheetId="39">'Div 2'!$J$73:$J$74</definedName>
    <definedName name="OSRRefE21_14x_5" localSheetId="41">'Div 3'!$J$96</definedName>
    <definedName name="OSRRefE21_14x_5" localSheetId="69">'Div 4'!$J$76:$J$79</definedName>
    <definedName name="OSRRefE21_14x_5" localSheetId="2">Summary!$J$108</definedName>
    <definedName name="OSRRefE21_14x_6" localSheetId="42">'201'!$K$67</definedName>
    <definedName name="OSRRefE21_14x_6" localSheetId="44">'203'!$K$70</definedName>
    <definedName name="OSRRefE21_14x_6" localSheetId="48">'300'!$K$95</definedName>
    <definedName name="OSRRefE21_14x_6" localSheetId="49">'300 &amp; 317'!$K$101</definedName>
    <definedName name="OSRRefE21_14x_6" localSheetId="50">'301'!$K$69:$K$70</definedName>
    <definedName name="OSRRefE21_14x_6" localSheetId="63">'310'!$K$71:$K$75</definedName>
    <definedName name="OSRRefE21_14x_6" localSheetId="70">'310 &amp; 491'!$K$76:$K$80</definedName>
    <definedName name="OSRRefE21_14x_6" localSheetId="57">'315'!$K$89</definedName>
    <definedName name="OSRRefE21_14x_6" localSheetId="67">'325'!$K$75</definedName>
    <definedName name="OSRRefE21_14x_6" localSheetId="58">'326'!$K$74</definedName>
    <definedName name="OSRRefE21_14x_6" localSheetId="56">'331'!$K$88:$K$89</definedName>
    <definedName name="OSRRefE21_14x_6" localSheetId="72">'405'!$K$77</definedName>
    <definedName name="OSRRefE21_14x_6" localSheetId="76">'415'!$K$76:$K$81</definedName>
    <definedName name="OSRRefE21_14x_6" localSheetId="77">'418'!$K$79</definedName>
    <definedName name="OSRRefE21_14x_6" localSheetId="84">'433'!$K$77</definedName>
    <definedName name="OSRRefE21_14x_6" localSheetId="85">'444'!$K$76:$K$81</definedName>
    <definedName name="OSRRefE21_14x_6" localSheetId="86">'450'!$K$76</definedName>
    <definedName name="OSRRefE21_14x_6" localSheetId="71">'491'!$K$79</definedName>
    <definedName name="OSRRefE21_14x_6" localSheetId="82">'492'!$K$77</definedName>
    <definedName name="OSRRefE21_14x_6" localSheetId="39">'Div 2'!$K$73:$K$74</definedName>
    <definedName name="OSRRefE21_14x_6" localSheetId="41">'Div 3'!$K$96</definedName>
    <definedName name="OSRRefE21_14x_6" localSheetId="69">'Div 4'!$K$76:$K$79</definedName>
    <definedName name="OSRRefE21_14x_6" localSheetId="2">Summary!$K$108</definedName>
    <definedName name="OSRRefE21_14x_7" localSheetId="42">'201'!$L$67</definedName>
    <definedName name="OSRRefE21_14x_7" localSheetId="44">'203'!$L$70</definedName>
    <definedName name="OSRRefE21_14x_7" localSheetId="48">'300'!$L$95</definedName>
    <definedName name="OSRRefE21_14x_7" localSheetId="49">'300 &amp; 317'!$L$101</definedName>
    <definedName name="OSRRefE21_14x_7" localSheetId="50">'301'!$L$69:$L$70</definedName>
    <definedName name="OSRRefE21_14x_7" localSheetId="63">'310'!$L$71:$L$75</definedName>
    <definedName name="OSRRefE21_14x_7" localSheetId="70">'310 &amp; 491'!$L$76:$L$80</definedName>
    <definedName name="OSRRefE21_14x_7" localSheetId="57">'315'!$L$89</definedName>
    <definedName name="OSRRefE21_14x_7" localSheetId="67">'325'!$L$75</definedName>
    <definedName name="OSRRefE21_14x_7" localSheetId="58">'326'!$L$74</definedName>
    <definedName name="OSRRefE21_14x_7" localSheetId="56">'331'!$L$88:$L$89</definedName>
    <definedName name="OSRRefE21_14x_7" localSheetId="72">'405'!$L$77</definedName>
    <definedName name="OSRRefE21_14x_7" localSheetId="76">'415'!$L$76:$L$81</definedName>
    <definedName name="OSRRefE21_14x_7" localSheetId="77">'418'!$L$79</definedName>
    <definedName name="OSRRefE21_14x_7" localSheetId="84">'433'!$L$77</definedName>
    <definedName name="OSRRefE21_14x_7" localSheetId="85">'444'!$L$76:$L$81</definedName>
    <definedName name="OSRRefE21_14x_7" localSheetId="86">'450'!$L$76</definedName>
    <definedName name="OSRRefE21_14x_7" localSheetId="71">'491'!$L$79</definedName>
    <definedName name="OSRRefE21_14x_7" localSheetId="82">'492'!$L$77</definedName>
    <definedName name="OSRRefE21_14x_7" localSheetId="39">'Div 2'!$L$73:$L$74</definedName>
    <definedName name="OSRRefE21_14x_7" localSheetId="41">'Div 3'!$L$96</definedName>
    <definedName name="OSRRefE21_14x_7" localSheetId="69">'Div 4'!$L$76:$L$79</definedName>
    <definedName name="OSRRefE21_14x_7" localSheetId="2">Summary!$L$108</definedName>
    <definedName name="OSRRefE21_14x_8" localSheetId="42">'201'!$M$67</definedName>
    <definedName name="OSRRefE21_14x_8" localSheetId="44">'203'!$M$70</definedName>
    <definedName name="OSRRefE21_14x_8" localSheetId="48">'300'!$M$95</definedName>
    <definedName name="OSRRefE21_14x_8" localSheetId="49">'300 &amp; 317'!$M$101</definedName>
    <definedName name="OSRRefE21_14x_8" localSheetId="50">'301'!$M$69:$M$70</definedName>
    <definedName name="OSRRefE21_14x_8" localSheetId="63">'310'!$M$71:$M$75</definedName>
    <definedName name="OSRRefE21_14x_8" localSheetId="70">'310 &amp; 491'!$M$76:$M$80</definedName>
    <definedName name="OSRRefE21_14x_8" localSheetId="57">'315'!$M$89</definedName>
    <definedName name="OSRRefE21_14x_8" localSheetId="67">'325'!$M$75</definedName>
    <definedName name="OSRRefE21_14x_8" localSheetId="58">'326'!$M$74</definedName>
    <definedName name="OSRRefE21_14x_8" localSheetId="56">'331'!$M$88:$M$89</definedName>
    <definedName name="OSRRefE21_14x_8" localSheetId="72">'405'!$M$77</definedName>
    <definedName name="OSRRefE21_14x_8" localSheetId="76">'415'!$M$76:$M$81</definedName>
    <definedName name="OSRRefE21_14x_8" localSheetId="77">'418'!$M$79</definedName>
    <definedName name="OSRRefE21_14x_8" localSheetId="84">'433'!$M$77</definedName>
    <definedName name="OSRRefE21_14x_8" localSheetId="85">'444'!$M$76:$M$81</definedName>
    <definedName name="OSRRefE21_14x_8" localSheetId="86">'450'!$M$76</definedName>
    <definedName name="OSRRefE21_14x_8" localSheetId="71">'491'!$M$79</definedName>
    <definedName name="OSRRefE21_14x_8" localSheetId="82">'492'!$M$77</definedName>
    <definedName name="OSRRefE21_14x_8" localSheetId="39">'Div 2'!$M$73:$M$74</definedName>
    <definedName name="OSRRefE21_14x_8" localSheetId="41">'Div 3'!$M$96</definedName>
    <definedName name="OSRRefE21_14x_8" localSheetId="69">'Div 4'!$M$76:$M$79</definedName>
    <definedName name="OSRRefE21_14x_8" localSheetId="2">Summary!$M$108</definedName>
    <definedName name="OSRRefE21_14x_9" localSheetId="42">'201'!$N$67</definedName>
    <definedName name="OSRRefE21_14x_9" localSheetId="44">'203'!$N$70</definedName>
    <definedName name="OSRRefE21_14x_9" localSheetId="48">'300'!$N$95</definedName>
    <definedName name="OSRRefE21_14x_9" localSheetId="49">'300 &amp; 317'!$N$101</definedName>
    <definedName name="OSRRefE21_14x_9" localSheetId="50">'301'!$N$69:$N$70</definedName>
    <definedName name="OSRRefE21_14x_9" localSheetId="63">'310'!$N$71:$N$75</definedName>
    <definedName name="OSRRefE21_14x_9" localSheetId="70">'310 &amp; 491'!$N$76:$N$80</definedName>
    <definedName name="OSRRefE21_14x_9" localSheetId="57">'315'!$N$89</definedName>
    <definedName name="OSRRefE21_14x_9" localSheetId="67">'325'!$N$75</definedName>
    <definedName name="OSRRefE21_14x_9" localSheetId="58">'326'!$N$74</definedName>
    <definedName name="OSRRefE21_14x_9" localSheetId="56">'331'!$N$88:$N$89</definedName>
    <definedName name="OSRRefE21_14x_9" localSheetId="72">'405'!$N$77</definedName>
    <definedName name="OSRRefE21_14x_9" localSheetId="76">'415'!$N$76:$N$81</definedName>
    <definedName name="OSRRefE21_14x_9" localSheetId="77">'418'!$N$79</definedName>
    <definedName name="OSRRefE21_14x_9" localSheetId="84">'433'!$N$77</definedName>
    <definedName name="OSRRefE21_14x_9" localSheetId="85">'444'!$N$76:$N$81</definedName>
    <definedName name="OSRRefE21_14x_9" localSheetId="86">'450'!$N$76</definedName>
    <definedName name="OSRRefE21_14x_9" localSheetId="71">'491'!$N$79</definedName>
    <definedName name="OSRRefE21_14x_9" localSheetId="82">'492'!$N$77</definedName>
    <definedName name="OSRRefE21_14x_9" localSheetId="39">'Div 2'!$N$73:$N$74</definedName>
    <definedName name="OSRRefE21_14x_9" localSheetId="41">'Div 3'!$N$96</definedName>
    <definedName name="OSRRefE21_14x_9" localSheetId="69">'Div 4'!$N$76:$N$79</definedName>
    <definedName name="OSRRefE21_14x_9" localSheetId="2">Summary!$N$108</definedName>
    <definedName name="OSRRefE21_15_0x" localSheetId="42">'201'!$E$69:$O$69</definedName>
    <definedName name="OSRRefE21_15_0x" localSheetId="48">'300'!$E$97:$O$97</definedName>
    <definedName name="OSRRefE21_15_0x" localSheetId="49">'300 &amp; 317'!$E$103:$O$103</definedName>
    <definedName name="OSRRefE21_15_0x" localSheetId="50">'301'!$E$72:$O$72</definedName>
    <definedName name="OSRRefE21_15_0x" localSheetId="63">'310'!$E$77:$O$77</definedName>
    <definedName name="OSRRefE21_15_0x" localSheetId="70">'310 &amp; 491'!$E$82:$O$82</definedName>
    <definedName name="OSRRefE21_15_0x" localSheetId="57">'315'!$E$91:$O$91</definedName>
    <definedName name="OSRRefE21_15_0x" localSheetId="58">'326'!$E$76:$O$76</definedName>
    <definedName name="OSRRefE21_15_0x" localSheetId="56">'331'!$E$91:$O$91</definedName>
    <definedName name="OSRRefE21_15_0x" localSheetId="72">'405'!$E$79:$O$79</definedName>
    <definedName name="OSRRefE21_15_0x" localSheetId="76">'415'!$E$83:$O$83</definedName>
    <definedName name="OSRRefE21_15_0x" localSheetId="77">'418'!$E$81:$O$81</definedName>
    <definedName name="OSRRefE21_15_0x" localSheetId="84">'433'!$E$79:$O$79</definedName>
    <definedName name="OSRRefE21_15_0x" localSheetId="85">'444'!$E$83:$O$83</definedName>
    <definedName name="OSRRefE21_15_0x" localSheetId="86">'450'!$E$78:$O$78</definedName>
    <definedName name="OSRRefE21_15_0x" localSheetId="71">'491'!$E$81:$O$81</definedName>
    <definedName name="OSRRefE21_15_0x" localSheetId="82">'492'!$E$79:$O$79</definedName>
    <definedName name="OSRRefE21_15_0x" localSheetId="39">'Div 2'!$E$76:$O$76</definedName>
    <definedName name="OSRRefE21_15_0x" localSheetId="41">'Div 3'!$E$98:$O$98</definedName>
    <definedName name="OSRRefE21_15_0x" localSheetId="69">'Div 4'!$E$81:$O$81</definedName>
    <definedName name="OSRRefE21_15_0x" localSheetId="2">Summary!$E$110:$O$110</definedName>
    <definedName name="OSRRefE21_15_1x" localSheetId="63">'310'!$E$78:$O$78</definedName>
    <definedName name="OSRRefE21_15_1x" localSheetId="58">'326'!$E$77:$O$77</definedName>
    <definedName name="OSRRefE21_15_1x" localSheetId="56">'331'!$E$92:$O$92</definedName>
    <definedName name="OSRRefE21_15_1x" localSheetId="76">'415'!$E$84:$O$84</definedName>
    <definedName name="OSRRefE21_15_1x" localSheetId="71">'491'!$E$82:$O$82</definedName>
    <definedName name="OSRRefE21_15_1x" localSheetId="82">'492'!$E$80:$O$80</definedName>
    <definedName name="OSRRefE21_15_1x" localSheetId="39">'Div 2'!$E$77:$O$77</definedName>
    <definedName name="OSRRefE21_15_1x" localSheetId="69">'Div 4'!$E$82:$O$82</definedName>
    <definedName name="OSRRefE21_15_2x" localSheetId="71">'491'!$E$83:$O$83</definedName>
    <definedName name="OSRRefE21_15_2x" localSheetId="82">'492'!$E$81:$O$81</definedName>
    <definedName name="OSRRefE21_15_2x" localSheetId="69">'Div 4'!$E$83:$O$83</definedName>
    <definedName name="OSRRefE21_15_3x" localSheetId="71">'491'!$E$84:$O$84</definedName>
    <definedName name="OSRRefE21_15_3x" localSheetId="82">'492'!$E$82:$O$82</definedName>
    <definedName name="OSRRefE21_15_3x" localSheetId="69">'Div 4'!$E$84:$O$84</definedName>
    <definedName name="OSRRefE21_15_4x" localSheetId="71">'491'!$E$85:$O$85</definedName>
    <definedName name="OSRRefE21_15_4x" localSheetId="82">'492'!$E$83:$O$83</definedName>
    <definedName name="OSRRefE21_15_4x" localSheetId="69">'Div 4'!$E$85:$O$85</definedName>
    <definedName name="OSRRefE21_15_5x" localSheetId="71">'491'!$E$86:$O$86</definedName>
    <definedName name="OSRRefE21_15_5x" localSheetId="82">'492'!$E$84:$O$84</definedName>
    <definedName name="OSRRefE21_15_6x" localSheetId="71">'491'!$E$87:$O$87</definedName>
    <definedName name="OSRRefE21_15_6x" localSheetId="82">'492'!$E$85:$O$85</definedName>
    <definedName name="OSRRefE21_15_7x" localSheetId="71">'491'!$E$88:$O$88</definedName>
    <definedName name="OSRRefE21_15_8x" localSheetId="71">'491'!$E$89:$O$89</definedName>
    <definedName name="OSRRefE21_15x_0" localSheetId="42">'201'!$E$69</definedName>
    <definedName name="OSRRefE21_15x_0" localSheetId="48">'300'!$E$97</definedName>
    <definedName name="OSRRefE21_15x_0" localSheetId="49">'300 &amp; 317'!$E$103</definedName>
    <definedName name="OSRRefE21_15x_0" localSheetId="50">'301'!$E$72</definedName>
    <definedName name="OSRRefE21_15x_0" localSheetId="63">'310'!$E$77:$E$78</definedName>
    <definedName name="OSRRefE21_15x_0" localSheetId="70">'310 &amp; 491'!$E$82</definedName>
    <definedName name="OSRRefE21_15x_0" localSheetId="57">'315'!$E$91</definedName>
    <definedName name="OSRRefE21_15x_0" localSheetId="58">'326'!$E$76:$E$77</definedName>
    <definedName name="OSRRefE21_15x_0" localSheetId="56">'331'!$E$91:$E$92</definedName>
    <definedName name="OSRRefE21_15x_0" localSheetId="72">'405'!$E$79</definedName>
    <definedName name="OSRRefE21_15x_0" localSheetId="76">'415'!$E$83:$E$84</definedName>
    <definedName name="OSRRefE21_15x_0" localSheetId="77">'418'!$E$81</definedName>
    <definedName name="OSRRefE21_15x_0" localSheetId="84">'433'!$E$79</definedName>
    <definedName name="OSRRefE21_15x_0" localSheetId="85">'444'!$E$83</definedName>
    <definedName name="OSRRefE21_15x_0" localSheetId="86">'450'!$E$78</definedName>
    <definedName name="OSRRefE21_15x_0" localSheetId="71">'491'!$E$81:$E$89</definedName>
    <definedName name="OSRRefE21_15x_0" localSheetId="82">'492'!$E$79:$E$85</definedName>
    <definedName name="OSRRefE21_15x_0" localSheetId="39">'Div 2'!$E$76:$E$77</definedName>
    <definedName name="OSRRefE21_15x_0" localSheetId="41">'Div 3'!$E$98</definedName>
    <definedName name="OSRRefE21_15x_0" localSheetId="69">'Div 4'!$E$81:$E$85</definedName>
    <definedName name="OSRRefE21_15x_0" localSheetId="2">Summary!$E$110</definedName>
    <definedName name="OSRRefE21_15x_1" localSheetId="42">'201'!$F$69</definedName>
    <definedName name="OSRRefE21_15x_1" localSheetId="48">'300'!$F$97</definedName>
    <definedName name="OSRRefE21_15x_1" localSheetId="49">'300 &amp; 317'!$F$103</definedName>
    <definedName name="OSRRefE21_15x_1" localSheetId="50">'301'!$F$72</definedName>
    <definedName name="OSRRefE21_15x_1" localSheetId="63">'310'!$F$77:$F$78</definedName>
    <definedName name="OSRRefE21_15x_1" localSheetId="70">'310 &amp; 491'!$F$82</definedName>
    <definedName name="OSRRefE21_15x_1" localSheetId="57">'315'!$F$91</definedName>
    <definedName name="OSRRefE21_15x_1" localSheetId="58">'326'!$F$76:$F$77</definedName>
    <definedName name="OSRRefE21_15x_1" localSheetId="56">'331'!$F$91:$F$92</definedName>
    <definedName name="OSRRefE21_15x_1" localSheetId="72">'405'!$F$79</definedName>
    <definedName name="OSRRefE21_15x_1" localSheetId="76">'415'!$F$83:$F$84</definedName>
    <definedName name="OSRRefE21_15x_1" localSheetId="77">'418'!$F$81</definedName>
    <definedName name="OSRRefE21_15x_1" localSheetId="84">'433'!$F$79</definedName>
    <definedName name="OSRRefE21_15x_1" localSheetId="85">'444'!$F$83</definedName>
    <definedName name="OSRRefE21_15x_1" localSheetId="86">'450'!$F$78</definedName>
    <definedName name="OSRRefE21_15x_1" localSheetId="71">'491'!$F$81:$F$89</definedName>
    <definedName name="OSRRefE21_15x_1" localSheetId="82">'492'!$F$79:$F$85</definedName>
    <definedName name="OSRRefE21_15x_1" localSheetId="39">'Div 2'!$F$76:$F$77</definedName>
    <definedName name="OSRRefE21_15x_1" localSheetId="41">'Div 3'!$F$98</definedName>
    <definedName name="OSRRefE21_15x_1" localSheetId="69">'Div 4'!$F$81:$F$85</definedName>
    <definedName name="OSRRefE21_15x_1" localSheetId="2">Summary!$F$110</definedName>
    <definedName name="OSRRefE21_15x_10" localSheetId="42">'201'!$O$69</definedName>
    <definedName name="OSRRefE21_15x_10" localSheetId="48">'300'!$O$97</definedName>
    <definedName name="OSRRefE21_15x_10" localSheetId="49">'300 &amp; 317'!$O$103</definedName>
    <definedName name="OSRRefE21_15x_10" localSheetId="50">'301'!$O$72</definedName>
    <definedName name="OSRRefE21_15x_10" localSheetId="63">'310'!$O$77:$O$78</definedName>
    <definedName name="OSRRefE21_15x_10" localSheetId="70">'310 &amp; 491'!$O$82</definedName>
    <definedName name="OSRRefE21_15x_10" localSheetId="57">'315'!$O$91</definedName>
    <definedName name="OSRRefE21_15x_10" localSheetId="58">'326'!$O$76:$O$77</definedName>
    <definedName name="OSRRefE21_15x_10" localSheetId="56">'331'!$O$91:$O$92</definedName>
    <definedName name="OSRRefE21_15x_10" localSheetId="72">'405'!$O$79</definedName>
    <definedName name="OSRRefE21_15x_10" localSheetId="76">'415'!$O$83:$O$84</definedName>
    <definedName name="OSRRefE21_15x_10" localSheetId="77">'418'!$O$81</definedName>
    <definedName name="OSRRefE21_15x_10" localSheetId="84">'433'!$O$79</definedName>
    <definedName name="OSRRefE21_15x_10" localSheetId="85">'444'!$O$83</definedName>
    <definedName name="OSRRefE21_15x_10" localSheetId="86">'450'!$O$78</definedName>
    <definedName name="OSRRefE21_15x_10" localSheetId="71">'491'!$O$81:$O$89</definedName>
    <definedName name="OSRRefE21_15x_10" localSheetId="82">'492'!$O$79:$O$85</definedName>
    <definedName name="OSRRefE21_15x_10" localSheetId="39">'Div 2'!$O$76:$O$77</definedName>
    <definedName name="OSRRefE21_15x_10" localSheetId="41">'Div 3'!$O$98</definedName>
    <definedName name="OSRRefE21_15x_10" localSheetId="69">'Div 4'!$O$81:$O$85</definedName>
    <definedName name="OSRRefE21_15x_10" localSheetId="2">Summary!$O$110</definedName>
    <definedName name="OSRRefE21_15x_2" localSheetId="42">'201'!$G$69</definedName>
    <definedName name="OSRRefE21_15x_2" localSheetId="48">'300'!$G$97</definedName>
    <definedName name="OSRRefE21_15x_2" localSheetId="49">'300 &amp; 317'!$G$103</definedName>
    <definedName name="OSRRefE21_15x_2" localSheetId="50">'301'!$G$72</definedName>
    <definedName name="OSRRefE21_15x_2" localSheetId="63">'310'!$G$77:$G$78</definedName>
    <definedName name="OSRRefE21_15x_2" localSheetId="70">'310 &amp; 491'!$G$82</definedName>
    <definedName name="OSRRefE21_15x_2" localSheetId="57">'315'!$G$91</definedName>
    <definedName name="OSRRefE21_15x_2" localSheetId="58">'326'!$G$76:$G$77</definedName>
    <definedName name="OSRRefE21_15x_2" localSheetId="56">'331'!$G$91:$G$92</definedName>
    <definedName name="OSRRefE21_15x_2" localSheetId="72">'405'!$G$79</definedName>
    <definedName name="OSRRefE21_15x_2" localSheetId="76">'415'!$G$83:$G$84</definedName>
    <definedName name="OSRRefE21_15x_2" localSheetId="77">'418'!$G$81</definedName>
    <definedName name="OSRRefE21_15x_2" localSheetId="84">'433'!$G$79</definedName>
    <definedName name="OSRRefE21_15x_2" localSheetId="85">'444'!$G$83</definedName>
    <definedName name="OSRRefE21_15x_2" localSheetId="86">'450'!$G$78</definedName>
    <definedName name="OSRRefE21_15x_2" localSheetId="71">'491'!$G$81:$G$89</definedName>
    <definedName name="OSRRefE21_15x_2" localSheetId="82">'492'!$G$79:$G$85</definedName>
    <definedName name="OSRRefE21_15x_2" localSheetId="39">'Div 2'!$G$76:$G$77</definedName>
    <definedName name="OSRRefE21_15x_2" localSheetId="41">'Div 3'!$G$98</definedName>
    <definedName name="OSRRefE21_15x_2" localSheetId="69">'Div 4'!$G$81:$G$85</definedName>
    <definedName name="OSRRefE21_15x_2" localSheetId="2">Summary!$G$110</definedName>
    <definedName name="OSRRefE21_15x_3" localSheetId="42">'201'!$H$69</definedName>
    <definedName name="OSRRefE21_15x_3" localSheetId="48">'300'!$H$97</definedName>
    <definedName name="OSRRefE21_15x_3" localSheetId="49">'300 &amp; 317'!$H$103</definedName>
    <definedName name="OSRRefE21_15x_3" localSheetId="50">'301'!$H$72</definedName>
    <definedName name="OSRRefE21_15x_3" localSheetId="63">'310'!$H$77:$H$78</definedName>
    <definedName name="OSRRefE21_15x_3" localSheetId="70">'310 &amp; 491'!$H$82</definedName>
    <definedName name="OSRRefE21_15x_3" localSheetId="57">'315'!$H$91</definedName>
    <definedName name="OSRRefE21_15x_3" localSheetId="58">'326'!$H$76:$H$77</definedName>
    <definedName name="OSRRefE21_15x_3" localSheetId="56">'331'!$H$91:$H$92</definedName>
    <definedName name="OSRRefE21_15x_3" localSheetId="72">'405'!$H$79</definedName>
    <definedName name="OSRRefE21_15x_3" localSheetId="76">'415'!$H$83:$H$84</definedName>
    <definedName name="OSRRefE21_15x_3" localSheetId="77">'418'!$H$81</definedName>
    <definedName name="OSRRefE21_15x_3" localSheetId="84">'433'!$H$79</definedName>
    <definedName name="OSRRefE21_15x_3" localSheetId="85">'444'!$H$83</definedName>
    <definedName name="OSRRefE21_15x_3" localSheetId="86">'450'!$H$78</definedName>
    <definedName name="OSRRefE21_15x_3" localSheetId="71">'491'!$H$81:$H$89</definedName>
    <definedName name="OSRRefE21_15x_3" localSheetId="82">'492'!$H$79:$H$85</definedName>
    <definedName name="OSRRefE21_15x_3" localSheetId="39">'Div 2'!$H$76:$H$77</definedName>
    <definedName name="OSRRefE21_15x_3" localSheetId="41">'Div 3'!$H$98</definedName>
    <definedName name="OSRRefE21_15x_3" localSheetId="69">'Div 4'!$H$81:$H$85</definedName>
    <definedName name="OSRRefE21_15x_3" localSheetId="2">Summary!$H$110</definedName>
    <definedName name="OSRRefE21_15x_4" localSheetId="42">'201'!$I$69</definedName>
    <definedName name="OSRRefE21_15x_4" localSheetId="48">'300'!$I$97</definedName>
    <definedName name="OSRRefE21_15x_4" localSheetId="49">'300 &amp; 317'!$I$103</definedName>
    <definedName name="OSRRefE21_15x_4" localSheetId="50">'301'!$I$72</definedName>
    <definedName name="OSRRefE21_15x_4" localSheetId="63">'310'!$I$77:$I$78</definedName>
    <definedName name="OSRRefE21_15x_4" localSheetId="70">'310 &amp; 491'!$I$82</definedName>
    <definedName name="OSRRefE21_15x_4" localSheetId="57">'315'!$I$91</definedName>
    <definedName name="OSRRefE21_15x_4" localSheetId="58">'326'!$I$76:$I$77</definedName>
    <definedName name="OSRRefE21_15x_4" localSheetId="56">'331'!$I$91:$I$92</definedName>
    <definedName name="OSRRefE21_15x_4" localSheetId="72">'405'!$I$79</definedName>
    <definedName name="OSRRefE21_15x_4" localSheetId="76">'415'!$I$83:$I$84</definedName>
    <definedName name="OSRRefE21_15x_4" localSheetId="77">'418'!$I$81</definedName>
    <definedName name="OSRRefE21_15x_4" localSheetId="84">'433'!$I$79</definedName>
    <definedName name="OSRRefE21_15x_4" localSheetId="85">'444'!$I$83</definedName>
    <definedName name="OSRRefE21_15x_4" localSheetId="86">'450'!$I$78</definedName>
    <definedName name="OSRRefE21_15x_4" localSheetId="71">'491'!$I$81:$I$89</definedName>
    <definedName name="OSRRefE21_15x_4" localSheetId="82">'492'!$I$79:$I$85</definedName>
    <definedName name="OSRRefE21_15x_4" localSheetId="39">'Div 2'!$I$76:$I$77</definedName>
    <definedName name="OSRRefE21_15x_4" localSheetId="41">'Div 3'!$I$98</definedName>
    <definedName name="OSRRefE21_15x_4" localSheetId="69">'Div 4'!$I$81:$I$85</definedName>
    <definedName name="OSRRefE21_15x_4" localSheetId="2">Summary!$I$110</definedName>
    <definedName name="OSRRefE21_15x_5" localSheetId="42">'201'!$J$69</definedName>
    <definedName name="OSRRefE21_15x_5" localSheetId="48">'300'!$J$97</definedName>
    <definedName name="OSRRefE21_15x_5" localSheetId="49">'300 &amp; 317'!$J$103</definedName>
    <definedName name="OSRRefE21_15x_5" localSheetId="50">'301'!$J$72</definedName>
    <definedName name="OSRRefE21_15x_5" localSheetId="63">'310'!$J$77:$J$78</definedName>
    <definedName name="OSRRefE21_15x_5" localSheetId="70">'310 &amp; 491'!$J$82</definedName>
    <definedName name="OSRRefE21_15x_5" localSheetId="57">'315'!$J$91</definedName>
    <definedName name="OSRRefE21_15x_5" localSheetId="58">'326'!$J$76:$J$77</definedName>
    <definedName name="OSRRefE21_15x_5" localSheetId="56">'331'!$J$91:$J$92</definedName>
    <definedName name="OSRRefE21_15x_5" localSheetId="72">'405'!$J$79</definedName>
    <definedName name="OSRRefE21_15x_5" localSheetId="76">'415'!$J$83:$J$84</definedName>
    <definedName name="OSRRefE21_15x_5" localSheetId="77">'418'!$J$81</definedName>
    <definedName name="OSRRefE21_15x_5" localSheetId="84">'433'!$J$79</definedName>
    <definedName name="OSRRefE21_15x_5" localSheetId="85">'444'!$J$83</definedName>
    <definedName name="OSRRefE21_15x_5" localSheetId="86">'450'!$J$78</definedName>
    <definedName name="OSRRefE21_15x_5" localSheetId="71">'491'!$J$81:$J$89</definedName>
    <definedName name="OSRRefE21_15x_5" localSheetId="82">'492'!$J$79:$J$85</definedName>
    <definedName name="OSRRefE21_15x_5" localSheetId="39">'Div 2'!$J$76:$J$77</definedName>
    <definedName name="OSRRefE21_15x_5" localSheetId="41">'Div 3'!$J$98</definedName>
    <definedName name="OSRRefE21_15x_5" localSheetId="69">'Div 4'!$J$81:$J$85</definedName>
    <definedName name="OSRRefE21_15x_5" localSheetId="2">Summary!$J$110</definedName>
    <definedName name="OSRRefE21_15x_6" localSheetId="42">'201'!$K$69</definedName>
    <definedName name="OSRRefE21_15x_6" localSheetId="48">'300'!$K$97</definedName>
    <definedName name="OSRRefE21_15x_6" localSheetId="49">'300 &amp; 317'!$K$103</definedName>
    <definedName name="OSRRefE21_15x_6" localSheetId="50">'301'!$K$72</definedName>
    <definedName name="OSRRefE21_15x_6" localSheetId="63">'310'!$K$77:$K$78</definedName>
    <definedName name="OSRRefE21_15x_6" localSheetId="70">'310 &amp; 491'!$K$82</definedName>
    <definedName name="OSRRefE21_15x_6" localSheetId="57">'315'!$K$91</definedName>
    <definedName name="OSRRefE21_15x_6" localSheetId="58">'326'!$K$76:$K$77</definedName>
    <definedName name="OSRRefE21_15x_6" localSheetId="56">'331'!$K$91:$K$92</definedName>
    <definedName name="OSRRefE21_15x_6" localSheetId="72">'405'!$K$79</definedName>
    <definedName name="OSRRefE21_15x_6" localSheetId="76">'415'!$K$83:$K$84</definedName>
    <definedName name="OSRRefE21_15x_6" localSheetId="77">'418'!$K$81</definedName>
    <definedName name="OSRRefE21_15x_6" localSheetId="84">'433'!$K$79</definedName>
    <definedName name="OSRRefE21_15x_6" localSheetId="85">'444'!$K$83</definedName>
    <definedName name="OSRRefE21_15x_6" localSheetId="86">'450'!$K$78</definedName>
    <definedName name="OSRRefE21_15x_6" localSheetId="71">'491'!$K$81:$K$89</definedName>
    <definedName name="OSRRefE21_15x_6" localSheetId="82">'492'!$K$79:$K$85</definedName>
    <definedName name="OSRRefE21_15x_6" localSheetId="39">'Div 2'!$K$76:$K$77</definedName>
    <definedName name="OSRRefE21_15x_6" localSheetId="41">'Div 3'!$K$98</definedName>
    <definedName name="OSRRefE21_15x_6" localSheetId="69">'Div 4'!$K$81:$K$85</definedName>
    <definedName name="OSRRefE21_15x_6" localSheetId="2">Summary!$K$110</definedName>
    <definedName name="OSRRefE21_15x_7" localSheetId="42">'201'!$L$69</definedName>
    <definedName name="OSRRefE21_15x_7" localSheetId="48">'300'!$L$97</definedName>
    <definedName name="OSRRefE21_15x_7" localSheetId="49">'300 &amp; 317'!$L$103</definedName>
    <definedName name="OSRRefE21_15x_7" localSheetId="50">'301'!$L$72</definedName>
    <definedName name="OSRRefE21_15x_7" localSheetId="63">'310'!$L$77:$L$78</definedName>
    <definedName name="OSRRefE21_15x_7" localSheetId="70">'310 &amp; 491'!$L$82</definedName>
    <definedName name="OSRRefE21_15x_7" localSheetId="57">'315'!$L$91</definedName>
    <definedName name="OSRRefE21_15x_7" localSheetId="58">'326'!$L$76:$L$77</definedName>
    <definedName name="OSRRefE21_15x_7" localSheetId="56">'331'!$L$91:$L$92</definedName>
    <definedName name="OSRRefE21_15x_7" localSheetId="72">'405'!$L$79</definedName>
    <definedName name="OSRRefE21_15x_7" localSheetId="76">'415'!$L$83:$L$84</definedName>
    <definedName name="OSRRefE21_15x_7" localSheetId="77">'418'!$L$81</definedName>
    <definedName name="OSRRefE21_15x_7" localSheetId="84">'433'!$L$79</definedName>
    <definedName name="OSRRefE21_15x_7" localSheetId="85">'444'!$L$83</definedName>
    <definedName name="OSRRefE21_15x_7" localSheetId="86">'450'!$L$78</definedName>
    <definedName name="OSRRefE21_15x_7" localSheetId="71">'491'!$L$81:$L$89</definedName>
    <definedName name="OSRRefE21_15x_7" localSheetId="82">'492'!$L$79:$L$85</definedName>
    <definedName name="OSRRefE21_15x_7" localSheetId="39">'Div 2'!$L$76:$L$77</definedName>
    <definedName name="OSRRefE21_15x_7" localSheetId="41">'Div 3'!$L$98</definedName>
    <definedName name="OSRRefE21_15x_7" localSheetId="69">'Div 4'!$L$81:$L$85</definedName>
    <definedName name="OSRRefE21_15x_7" localSheetId="2">Summary!$L$110</definedName>
    <definedName name="OSRRefE21_15x_8" localSheetId="42">'201'!$M$69</definedName>
    <definedName name="OSRRefE21_15x_8" localSheetId="48">'300'!$M$97</definedName>
    <definedName name="OSRRefE21_15x_8" localSheetId="49">'300 &amp; 317'!$M$103</definedName>
    <definedName name="OSRRefE21_15x_8" localSheetId="50">'301'!$M$72</definedName>
    <definedName name="OSRRefE21_15x_8" localSheetId="63">'310'!$M$77:$M$78</definedName>
    <definedName name="OSRRefE21_15x_8" localSheetId="70">'310 &amp; 491'!$M$82</definedName>
    <definedName name="OSRRefE21_15x_8" localSheetId="57">'315'!$M$91</definedName>
    <definedName name="OSRRefE21_15x_8" localSheetId="58">'326'!$M$76:$M$77</definedName>
    <definedName name="OSRRefE21_15x_8" localSheetId="56">'331'!$M$91:$M$92</definedName>
    <definedName name="OSRRefE21_15x_8" localSheetId="72">'405'!$M$79</definedName>
    <definedName name="OSRRefE21_15x_8" localSheetId="76">'415'!$M$83:$M$84</definedName>
    <definedName name="OSRRefE21_15x_8" localSheetId="77">'418'!$M$81</definedName>
    <definedName name="OSRRefE21_15x_8" localSheetId="84">'433'!$M$79</definedName>
    <definedName name="OSRRefE21_15x_8" localSheetId="85">'444'!$M$83</definedName>
    <definedName name="OSRRefE21_15x_8" localSheetId="86">'450'!$M$78</definedName>
    <definedName name="OSRRefE21_15x_8" localSheetId="71">'491'!$M$81:$M$89</definedName>
    <definedName name="OSRRefE21_15x_8" localSheetId="82">'492'!$M$79:$M$85</definedName>
    <definedName name="OSRRefE21_15x_8" localSheetId="39">'Div 2'!$M$76:$M$77</definedName>
    <definedName name="OSRRefE21_15x_8" localSheetId="41">'Div 3'!$M$98</definedName>
    <definedName name="OSRRefE21_15x_8" localSheetId="69">'Div 4'!$M$81:$M$85</definedName>
    <definedName name="OSRRefE21_15x_8" localSheetId="2">Summary!$M$110</definedName>
    <definedName name="OSRRefE21_15x_9" localSheetId="42">'201'!$N$69</definedName>
    <definedName name="OSRRefE21_15x_9" localSheetId="48">'300'!$N$97</definedName>
    <definedName name="OSRRefE21_15x_9" localSheetId="49">'300 &amp; 317'!$N$103</definedName>
    <definedName name="OSRRefE21_15x_9" localSheetId="50">'301'!$N$72</definedName>
    <definedName name="OSRRefE21_15x_9" localSheetId="63">'310'!$N$77:$N$78</definedName>
    <definedName name="OSRRefE21_15x_9" localSheetId="70">'310 &amp; 491'!$N$82</definedName>
    <definedName name="OSRRefE21_15x_9" localSheetId="57">'315'!$N$91</definedName>
    <definedName name="OSRRefE21_15x_9" localSheetId="58">'326'!$N$76:$N$77</definedName>
    <definedName name="OSRRefE21_15x_9" localSheetId="56">'331'!$N$91:$N$92</definedName>
    <definedName name="OSRRefE21_15x_9" localSheetId="72">'405'!$N$79</definedName>
    <definedName name="OSRRefE21_15x_9" localSheetId="76">'415'!$N$83:$N$84</definedName>
    <definedName name="OSRRefE21_15x_9" localSheetId="77">'418'!$N$81</definedName>
    <definedName name="OSRRefE21_15x_9" localSheetId="84">'433'!$N$79</definedName>
    <definedName name="OSRRefE21_15x_9" localSheetId="85">'444'!$N$83</definedName>
    <definedName name="OSRRefE21_15x_9" localSheetId="86">'450'!$N$78</definedName>
    <definedName name="OSRRefE21_15x_9" localSheetId="71">'491'!$N$81:$N$89</definedName>
    <definedName name="OSRRefE21_15x_9" localSheetId="82">'492'!$N$79:$N$85</definedName>
    <definedName name="OSRRefE21_15x_9" localSheetId="39">'Div 2'!$N$76:$N$77</definedName>
    <definedName name="OSRRefE21_15x_9" localSheetId="41">'Div 3'!$N$98</definedName>
    <definedName name="OSRRefE21_15x_9" localSheetId="69">'Div 4'!$N$81:$N$85</definedName>
    <definedName name="OSRRefE21_15x_9" localSheetId="2">Summary!$N$110</definedName>
    <definedName name="OSRRefE21_16_0x" localSheetId="48">'300'!$E$99:$O$99</definedName>
    <definedName name="OSRRefE21_16_0x" localSheetId="49">'300 &amp; 317'!$E$105:$O$105</definedName>
    <definedName name="OSRRefE21_16_0x" localSheetId="50">'301'!$E$74:$O$74</definedName>
    <definedName name="OSRRefE21_16_0x" localSheetId="63">'310'!$E$80:$O$80</definedName>
    <definedName name="OSRRefE21_16_0x" localSheetId="70">'310 &amp; 491'!$E$84:$O$84</definedName>
    <definedName name="OSRRefE21_16_0x" localSheetId="58">'326'!$E$79:$O$79</definedName>
    <definedName name="OSRRefE21_16_0x" localSheetId="56">'331'!$E$94:$O$94</definedName>
    <definedName name="OSRRefE21_16_0x" localSheetId="76">'415'!$E$86:$O$86</definedName>
    <definedName name="OSRRefE21_16_0x" localSheetId="85">'444'!$E$85:$O$85</definedName>
    <definedName name="OSRRefE21_16_0x" localSheetId="71">'491'!$E$91:$O$91</definedName>
    <definedName name="OSRRefE21_16_0x" localSheetId="82">'492'!$E$87:$O$87</definedName>
    <definedName name="OSRRefE21_16_0x" localSheetId="39">'Div 2'!$E$79:$O$79</definedName>
    <definedName name="OSRRefE21_16_0x" localSheetId="41">'Div 3'!$E$100:$O$100</definedName>
    <definedName name="OSRRefE21_16_0x" localSheetId="69">'Div 4'!$E$87:$O$87</definedName>
    <definedName name="OSRRefE21_16_0x" localSheetId="2">Summary!$E$112:$O$112</definedName>
    <definedName name="OSRRefE21_16_1x" localSheetId="48">'300'!$E$100:$O$100</definedName>
    <definedName name="OSRRefE21_16_1x" localSheetId="49">'300 &amp; 317'!$E$106:$O$106</definedName>
    <definedName name="OSRRefE21_16_1x" localSheetId="50">'301'!$E$75:$O$75</definedName>
    <definedName name="OSRRefE21_16_1x" localSheetId="70">'310 &amp; 491'!$E$85:$O$85</definedName>
    <definedName name="OSRRefE21_16_1x" localSheetId="56">'331'!$E$95:$O$95</definedName>
    <definedName name="OSRRefE21_16_1x" localSheetId="71">'491'!$E$92:$O$92</definedName>
    <definedName name="OSRRefE21_16_1x" localSheetId="82">'492'!$E$88:$O$88</definedName>
    <definedName name="OSRRefE21_16_1x" localSheetId="39">'Div 2'!$E$80:$O$80</definedName>
    <definedName name="OSRRefE21_16_1x" localSheetId="69">'Div 4'!$E$88:$O$88</definedName>
    <definedName name="OSRRefE21_16_2x" localSheetId="48">'300'!$E$101:$O$101</definedName>
    <definedName name="OSRRefE21_16_2x" localSheetId="49">'300 &amp; 317'!$E$107:$O$107</definedName>
    <definedName name="OSRRefE21_16_2x" localSheetId="50">'301'!$E$76:$O$76</definedName>
    <definedName name="OSRRefE21_16_2x" localSheetId="70">'310 &amp; 491'!$E$86:$O$86</definedName>
    <definedName name="OSRRefE21_16_2x" localSheetId="56">'331'!$E$96:$O$96</definedName>
    <definedName name="OSRRefE21_16_2x" localSheetId="39">'Div 2'!$E$81:$O$81</definedName>
    <definedName name="OSRRefE21_16_3x" localSheetId="48">'300'!$E$102:$O$102</definedName>
    <definedName name="OSRRefE21_16_3x" localSheetId="49">'300 &amp; 317'!$E$108:$O$108</definedName>
    <definedName name="OSRRefE21_16_3x" localSheetId="50">'301'!$E$77:$O$77</definedName>
    <definedName name="OSRRefE21_16_3x" localSheetId="70">'310 &amp; 491'!$E$87:$O$87</definedName>
    <definedName name="OSRRefE21_16_3x" localSheetId="56">'331'!$E$97:$O$97</definedName>
    <definedName name="OSRRefE21_16_3x" localSheetId="39">'Div 2'!$E$82:$O$82</definedName>
    <definedName name="OSRRefE21_16_4x" localSheetId="50">'301'!$E$78:$O$78</definedName>
    <definedName name="OSRRefE21_16_4x" localSheetId="70">'310 &amp; 491'!$E$88:$O$88</definedName>
    <definedName name="OSRRefE21_16_4x" localSheetId="39">'Div 2'!$E$83:$O$83</definedName>
    <definedName name="OSRRefE21_16_5x" localSheetId="70">'310 &amp; 491'!$E$89:$O$89</definedName>
    <definedName name="OSRRefE21_16_6x" localSheetId="70">'310 &amp; 491'!$E$90:$O$90</definedName>
    <definedName name="OSRRefE21_16_7x" localSheetId="70">'310 &amp; 491'!$E$91:$O$91</definedName>
    <definedName name="OSRRefE21_16_8x" localSheetId="70">'310 &amp; 491'!$E$92:$O$92</definedName>
    <definedName name="OSRRefE21_16_9x" localSheetId="70">'310 &amp; 491'!$E$93:$O$93</definedName>
    <definedName name="OSRRefE21_16x_0" localSheetId="48">'300'!$E$99:$E$102</definedName>
    <definedName name="OSRRefE21_16x_0" localSheetId="49">'300 &amp; 317'!$E$105:$E$108</definedName>
    <definedName name="OSRRefE21_16x_0" localSheetId="50">'301'!$E$74:$E$78</definedName>
    <definedName name="OSRRefE21_16x_0" localSheetId="63">'310'!$E$80</definedName>
    <definedName name="OSRRefE21_16x_0" localSheetId="70">'310 &amp; 491'!$E$84:$E$93</definedName>
    <definedName name="OSRRefE21_16x_0" localSheetId="58">'326'!$E$79</definedName>
    <definedName name="OSRRefE21_16x_0" localSheetId="56">'331'!$E$94:$E$97</definedName>
    <definedName name="OSRRefE21_16x_0" localSheetId="76">'415'!$E$86</definedName>
    <definedName name="OSRRefE21_16x_0" localSheetId="85">'444'!$E$85</definedName>
    <definedName name="OSRRefE21_16x_0" localSheetId="71">'491'!$E$91:$E$92</definedName>
    <definedName name="OSRRefE21_16x_0" localSheetId="82">'492'!$E$87:$E$88</definedName>
    <definedName name="OSRRefE21_16x_0" localSheetId="39">'Div 2'!$E$79:$E$83</definedName>
    <definedName name="OSRRefE21_16x_0" localSheetId="41">'Div 3'!$E$100</definedName>
    <definedName name="OSRRefE21_16x_0" localSheetId="69">'Div 4'!$E$87:$E$88</definedName>
    <definedName name="OSRRefE21_16x_0" localSheetId="2">Summary!$E$112</definedName>
    <definedName name="OSRRefE21_16x_1" localSheetId="48">'300'!$F$99:$F$102</definedName>
    <definedName name="OSRRefE21_16x_1" localSheetId="49">'300 &amp; 317'!$F$105:$F$108</definedName>
    <definedName name="OSRRefE21_16x_1" localSheetId="50">'301'!$F$74:$F$78</definedName>
    <definedName name="OSRRefE21_16x_1" localSheetId="63">'310'!$F$80</definedName>
    <definedName name="OSRRefE21_16x_1" localSheetId="70">'310 &amp; 491'!$F$84:$F$93</definedName>
    <definedName name="OSRRefE21_16x_1" localSheetId="58">'326'!$F$79</definedName>
    <definedName name="OSRRefE21_16x_1" localSheetId="56">'331'!$F$94:$F$97</definedName>
    <definedName name="OSRRefE21_16x_1" localSheetId="76">'415'!$F$86</definedName>
    <definedName name="OSRRefE21_16x_1" localSheetId="85">'444'!$F$85</definedName>
    <definedName name="OSRRefE21_16x_1" localSheetId="71">'491'!$F$91:$F$92</definedName>
    <definedName name="OSRRefE21_16x_1" localSheetId="82">'492'!$F$87:$F$88</definedName>
    <definedName name="OSRRefE21_16x_1" localSheetId="39">'Div 2'!$F$79:$F$83</definedName>
    <definedName name="OSRRefE21_16x_1" localSheetId="41">'Div 3'!$F$100</definedName>
    <definedName name="OSRRefE21_16x_1" localSheetId="69">'Div 4'!$F$87:$F$88</definedName>
    <definedName name="OSRRefE21_16x_1" localSheetId="2">Summary!$F$112</definedName>
    <definedName name="OSRRefE21_16x_10" localSheetId="48">'300'!$O$99:$O$102</definedName>
    <definedName name="OSRRefE21_16x_10" localSheetId="49">'300 &amp; 317'!$O$105:$O$108</definedName>
    <definedName name="OSRRefE21_16x_10" localSheetId="50">'301'!$O$74:$O$78</definedName>
    <definedName name="OSRRefE21_16x_10" localSheetId="63">'310'!$O$80</definedName>
    <definedName name="OSRRefE21_16x_10" localSheetId="70">'310 &amp; 491'!$O$84:$O$93</definedName>
    <definedName name="OSRRefE21_16x_10" localSheetId="58">'326'!$O$79</definedName>
    <definedName name="OSRRefE21_16x_10" localSheetId="56">'331'!$O$94:$O$97</definedName>
    <definedName name="OSRRefE21_16x_10" localSheetId="76">'415'!$O$86</definedName>
    <definedName name="OSRRefE21_16x_10" localSheetId="85">'444'!$O$85</definedName>
    <definedName name="OSRRefE21_16x_10" localSheetId="71">'491'!$O$91:$O$92</definedName>
    <definedName name="OSRRefE21_16x_10" localSheetId="82">'492'!$O$87:$O$88</definedName>
    <definedName name="OSRRefE21_16x_10" localSheetId="39">'Div 2'!$O$79:$O$83</definedName>
    <definedName name="OSRRefE21_16x_10" localSheetId="41">'Div 3'!$O$100</definedName>
    <definedName name="OSRRefE21_16x_10" localSheetId="69">'Div 4'!$O$87:$O$88</definedName>
    <definedName name="OSRRefE21_16x_10" localSheetId="2">Summary!$O$112</definedName>
    <definedName name="OSRRefE21_16x_2" localSheetId="48">'300'!$G$99:$G$102</definedName>
    <definedName name="OSRRefE21_16x_2" localSheetId="49">'300 &amp; 317'!$G$105:$G$108</definedName>
    <definedName name="OSRRefE21_16x_2" localSheetId="50">'301'!$G$74:$G$78</definedName>
    <definedName name="OSRRefE21_16x_2" localSheetId="63">'310'!$G$80</definedName>
    <definedName name="OSRRefE21_16x_2" localSheetId="70">'310 &amp; 491'!$G$84:$G$93</definedName>
    <definedName name="OSRRefE21_16x_2" localSheetId="58">'326'!$G$79</definedName>
    <definedName name="OSRRefE21_16x_2" localSheetId="56">'331'!$G$94:$G$97</definedName>
    <definedName name="OSRRefE21_16x_2" localSheetId="76">'415'!$G$86</definedName>
    <definedName name="OSRRefE21_16x_2" localSheetId="85">'444'!$G$85</definedName>
    <definedName name="OSRRefE21_16x_2" localSheetId="71">'491'!$G$91:$G$92</definedName>
    <definedName name="OSRRefE21_16x_2" localSheetId="82">'492'!$G$87:$G$88</definedName>
    <definedName name="OSRRefE21_16x_2" localSheetId="39">'Div 2'!$G$79:$G$83</definedName>
    <definedName name="OSRRefE21_16x_2" localSheetId="41">'Div 3'!$G$100</definedName>
    <definedName name="OSRRefE21_16x_2" localSheetId="69">'Div 4'!$G$87:$G$88</definedName>
    <definedName name="OSRRefE21_16x_2" localSheetId="2">Summary!$G$112</definedName>
    <definedName name="OSRRefE21_16x_3" localSheetId="48">'300'!$H$99:$H$102</definedName>
    <definedName name="OSRRefE21_16x_3" localSheetId="49">'300 &amp; 317'!$H$105:$H$108</definedName>
    <definedName name="OSRRefE21_16x_3" localSheetId="50">'301'!$H$74:$H$78</definedName>
    <definedName name="OSRRefE21_16x_3" localSheetId="63">'310'!$H$80</definedName>
    <definedName name="OSRRefE21_16x_3" localSheetId="70">'310 &amp; 491'!$H$84:$H$93</definedName>
    <definedName name="OSRRefE21_16x_3" localSheetId="58">'326'!$H$79</definedName>
    <definedName name="OSRRefE21_16x_3" localSheetId="56">'331'!$H$94:$H$97</definedName>
    <definedName name="OSRRefE21_16x_3" localSheetId="76">'415'!$H$86</definedName>
    <definedName name="OSRRefE21_16x_3" localSheetId="85">'444'!$H$85</definedName>
    <definedName name="OSRRefE21_16x_3" localSheetId="71">'491'!$H$91:$H$92</definedName>
    <definedName name="OSRRefE21_16x_3" localSheetId="82">'492'!$H$87:$H$88</definedName>
    <definedName name="OSRRefE21_16x_3" localSheetId="39">'Div 2'!$H$79:$H$83</definedName>
    <definedName name="OSRRefE21_16x_3" localSheetId="41">'Div 3'!$H$100</definedName>
    <definedName name="OSRRefE21_16x_3" localSheetId="69">'Div 4'!$H$87:$H$88</definedName>
    <definedName name="OSRRefE21_16x_3" localSheetId="2">Summary!$H$112</definedName>
    <definedName name="OSRRefE21_16x_4" localSheetId="48">'300'!$I$99:$I$102</definedName>
    <definedName name="OSRRefE21_16x_4" localSheetId="49">'300 &amp; 317'!$I$105:$I$108</definedName>
    <definedName name="OSRRefE21_16x_4" localSheetId="50">'301'!$I$74:$I$78</definedName>
    <definedName name="OSRRefE21_16x_4" localSheetId="63">'310'!$I$80</definedName>
    <definedName name="OSRRefE21_16x_4" localSheetId="70">'310 &amp; 491'!$I$84:$I$93</definedName>
    <definedName name="OSRRefE21_16x_4" localSheetId="58">'326'!$I$79</definedName>
    <definedName name="OSRRefE21_16x_4" localSheetId="56">'331'!$I$94:$I$97</definedName>
    <definedName name="OSRRefE21_16x_4" localSheetId="76">'415'!$I$86</definedName>
    <definedName name="OSRRefE21_16x_4" localSheetId="85">'444'!$I$85</definedName>
    <definedName name="OSRRefE21_16x_4" localSheetId="71">'491'!$I$91:$I$92</definedName>
    <definedName name="OSRRefE21_16x_4" localSheetId="82">'492'!$I$87:$I$88</definedName>
    <definedName name="OSRRefE21_16x_4" localSheetId="39">'Div 2'!$I$79:$I$83</definedName>
    <definedName name="OSRRefE21_16x_4" localSheetId="41">'Div 3'!$I$100</definedName>
    <definedName name="OSRRefE21_16x_4" localSheetId="69">'Div 4'!$I$87:$I$88</definedName>
    <definedName name="OSRRefE21_16x_4" localSheetId="2">Summary!$I$112</definedName>
    <definedName name="OSRRefE21_16x_5" localSheetId="48">'300'!$J$99:$J$102</definedName>
    <definedName name="OSRRefE21_16x_5" localSheetId="49">'300 &amp; 317'!$J$105:$J$108</definedName>
    <definedName name="OSRRefE21_16x_5" localSheetId="50">'301'!$J$74:$J$78</definedName>
    <definedName name="OSRRefE21_16x_5" localSheetId="63">'310'!$J$80</definedName>
    <definedName name="OSRRefE21_16x_5" localSheetId="70">'310 &amp; 491'!$J$84:$J$93</definedName>
    <definedName name="OSRRefE21_16x_5" localSheetId="58">'326'!$J$79</definedName>
    <definedName name="OSRRefE21_16x_5" localSheetId="56">'331'!$J$94:$J$97</definedName>
    <definedName name="OSRRefE21_16x_5" localSheetId="76">'415'!$J$86</definedName>
    <definedName name="OSRRefE21_16x_5" localSheetId="85">'444'!$J$85</definedName>
    <definedName name="OSRRefE21_16x_5" localSheetId="71">'491'!$J$91:$J$92</definedName>
    <definedName name="OSRRefE21_16x_5" localSheetId="82">'492'!$J$87:$J$88</definedName>
    <definedName name="OSRRefE21_16x_5" localSheetId="39">'Div 2'!$J$79:$J$83</definedName>
    <definedName name="OSRRefE21_16x_5" localSheetId="41">'Div 3'!$J$100</definedName>
    <definedName name="OSRRefE21_16x_5" localSheetId="69">'Div 4'!$J$87:$J$88</definedName>
    <definedName name="OSRRefE21_16x_5" localSheetId="2">Summary!$J$112</definedName>
    <definedName name="OSRRefE21_16x_6" localSheetId="48">'300'!$K$99:$K$102</definedName>
    <definedName name="OSRRefE21_16x_6" localSheetId="49">'300 &amp; 317'!$K$105:$K$108</definedName>
    <definedName name="OSRRefE21_16x_6" localSheetId="50">'301'!$K$74:$K$78</definedName>
    <definedName name="OSRRefE21_16x_6" localSheetId="63">'310'!$K$80</definedName>
    <definedName name="OSRRefE21_16x_6" localSheetId="70">'310 &amp; 491'!$K$84:$K$93</definedName>
    <definedName name="OSRRefE21_16x_6" localSheetId="58">'326'!$K$79</definedName>
    <definedName name="OSRRefE21_16x_6" localSheetId="56">'331'!$K$94:$K$97</definedName>
    <definedName name="OSRRefE21_16x_6" localSheetId="76">'415'!$K$86</definedName>
    <definedName name="OSRRefE21_16x_6" localSheetId="85">'444'!$K$85</definedName>
    <definedName name="OSRRefE21_16x_6" localSheetId="71">'491'!$K$91:$K$92</definedName>
    <definedName name="OSRRefE21_16x_6" localSheetId="82">'492'!$K$87:$K$88</definedName>
    <definedName name="OSRRefE21_16x_6" localSheetId="39">'Div 2'!$K$79:$K$83</definedName>
    <definedName name="OSRRefE21_16x_6" localSheetId="41">'Div 3'!$K$100</definedName>
    <definedName name="OSRRefE21_16x_6" localSheetId="69">'Div 4'!$K$87:$K$88</definedName>
    <definedName name="OSRRefE21_16x_6" localSheetId="2">Summary!$K$112</definedName>
    <definedName name="OSRRefE21_16x_7" localSheetId="48">'300'!$L$99:$L$102</definedName>
    <definedName name="OSRRefE21_16x_7" localSheetId="49">'300 &amp; 317'!$L$105:$L$108</definedName>
    <definedName name="OSRRefE21_16x_7" localSheetId="50">'301'!$L$74:$L$78</definedName>
    <definedName name="OSRRefE21_16x_7" localSheetId="63">'310'!$L$80</definedName>
    <definedName name="OSRRefE21_16x_7" localSheetId="70">'310 &amp; 491'!$L$84:$L$93</definedName>
    <definedName name="OSRRefE21_16x_7" localSheetId="58">'326'!$L$79</definedName>
    <definedName name="OSRRefE21_16x_7" localSheetId="56">'331'!$L$94:$L$97</definedName>
    <definedName name="OSRRefE21_16x_7" localSheetId="76">'415'!$L$86</definedName>
    <definedName name="OSRRefE21_16x_7" localSheetId="85">'444'!$L$85</definedName>
    <definedName name="OSRRefE21_16x_7" localSheetId="71">'491'!$L$91:$L$92</definedName>
    <definedName name="OSRRefE21_16x_7" localSheetId="82">'492'!$L$87:$L$88</definedName>
    <definedName name="OSRRefE21_16x_7" localSheetId="39">'Div 2'!$L$79:$L$83</definedName>
    <definedName name="OSRRefE21_16x_7" localSheetId="41">'Div 3'!$L$100</definedName>
    <definedName name="OSRRefE21_16x_7" localSheetId="69">'Div 4'!$L$87:$L$88</definedName>
    <definedName name="OSRRefE21_16x_7" localSheetId="2">Summary!$L$112</definedName>
    <definedName name="OSRRefE21_16x_8" localSheetId="48">'300'!$M$99:$M$102</definedName>
    <definedName name="OSRRefE21_16x_8" localSheetId="49">'300 &amp; 317'!$M$105:$M$108</definedName>
    <definedName name="OSRRefE21_16x_8" localSheetId="50">'301'!$M$74:$M$78</definedName>
    <definedName name="OSRRefE21_16x_8" localSheetId="63">'310'!$M$80</definedName>
    <definedName name="OSRRefE21_16x_8" localSheetId="70">'310 &amp; 491'!$M$84:$M$93</definedName>
    <definedName name="OSRRefE21_16x_8" localSheetId="58">'326'!$M$79</definedName>
    <definedName name="OSRRefE21_16x_8" localSheetId="56">'331'!$M$94:$M$97</definedName>
    <definedName name="OSRRefE21_16x_8" localSheetId="76">'415'!$M$86</definedName>
    <definedName name="OSRRefE21_16x_8" localSheetId="85">'444'!$M$85</definedName>
    <definedName name="OSRRefE21_16x_8" localSheetId="71">'491'!$M$91:$M$92</definedName>
    <definedName name="OSRRefE21_16x_8" localSheetId="82">'492'!$M$87:$M$88</definedName>
    <definedName name="OSRRefE21_16x_8" localSheetId="39">'Div 2'!$M$79:$M$83</definedName>
    <definedName name="OSRRefE21_16x_8" localSheetId="41">'Div 3'!$M$100</definedName>
    <definedName name="OSRRefE21_16x_8" localSheetId="69">'Div 4'!$M$87:$M$88</definedName>
    <definedName name="OSRRefE21_16x_8" localSheetId="2">Summary!$M$112</definedName>
    <definedName name="OSRRefE21_16x_9" localSheetId="48">'300'!$N$99:$N$102</definedName>
    <definedName name="OSRRefE21_16x_9" localSheetId="49">'300 &amp; 317'!$N$105:$N$108</definedName>
    <definedName name="OSRRefE21_16x_9" localSheetId="50">'301'!$N$74:$N$78</definedName>
    <definedName name="OSRRefE21_16x_9" localSheetId="63">'310'!$N$80</definedName>
    <definedName name="OSRRefE21_16x_9" localSheetId="70">'310 &amp; 491'!$N$84:$N$93</definedName>
    <definedName name="OSRRefE21_16x_9" localSheetId="58">'326'!$N$79</definedName>
    <definedName name="OSRRefE21_16x_9" localSheetId="56">'331'!$N$94:$N$97</definedName>
    <definedName name="OSRRefE21_16x_9" localSheetId="76">'415'!$N$86</definedName>
    <definedName name="OSRRefE21_16x_9" localSheetId="85">'444'!$N$85</definedName>
    <definedName name="OSRRefE21_16x_9" localSheetId="71">'491'!$N$91:$N$92</definedName>
    <definedName name="OSRRefE21_16x_9" localSheetId="82">'492'!$N$87:$N$88</definedName>
    <definedName name="OSRRefE21_16x_9" localSheetId="39">'Div 2'!$N$79:$N$83</definedName>
    <definedName name="OSRRefE21_16x_9" localSheetId="41">'Div 3'!$N$100</definedName>
    <definedName name="OSRRefE21_16x_9" localSheetId="69">'Div 4'!$N$87:$N$88</definedName>
    <definedName name="OSRRefE21_16x_9" localSheetId="2">Summary!$N$112</definedName>
    <definedName name="OSRRefE21_17_0x" localSheetId="48">'300'!$E$104:$O$104</definedName>
    <definedName name="OSRRefE21_17_0x" localSheetId="49">'300 &amp; 317'!$E$110:$O$110</definedName>
    <definedName name="OSRRefE21_17_0x" localSheetId="50">'301'!$E$80:$O$80</definedName>
    <definedName name="OSRRefE21_17_0x" localSheetId="63">'310'!$E$82:$O$82</definedName>
    <definedName name="OSRRefE21_17_0x" localSheetId="70">'310 &amp; 491'!$E$95:$O$95</definedName>
    <definedName name="OSRRefE21_17_0x" localSheetId="56">'331'!$E$99:$O$99</definedName>
    <definedName name="OSRRefE21_17_0x" localSheetId="76">'415'!$E$88:$O$88</definedName>
    <definedName name="OSRRefE21_17_0x" localSheetId="71">'491'!$E$94:$O$94</definedName>
    <definedName name="OSRRefE21_17_0x" localSheetId="82">'492'!$E$90:$O$90</definedName>
    <definedName name="OSRRefE21_17_0x" localSheetId="39">'Div 2'!$E$85:$O$85</definedName>
    <definedName name="OSRRefE21_17_0x" localSheetId="41">'Div 3'!$E$102:$O$102</definedName>
    <definedName name="OSRRefE21_17_0x" localSheetId="69">'Div 4'!$E$90:$O$90</definedName>
    <definedName name="OSRRefE21_17_0x" localSheetId="2">Summary!$E$114:$O$114</definedName>
    <definedName name="OSRRefE21_17_1x" localSheetId="48">'300'!$E$105:$O$105</definedName>
    <definedName name="OSRRefE21_17_1x" localSheetId="49">'300 &amp; 317'!$E$111:$O$111</definedName>
    <definedName name="OSRRefE21_17_1x" localSheetId="70">'310 &amp; 491'!$E$96:$O$96</definedName>
    <definedName name="OSRRefE21_17_1x" localSheetId="39">'Div 2'!$E$86:$O$86</definedName>
    <definedName name="OSRRefE21_17_1x" localSheetId="41">'Div 3'!$E$103:$O$103</definedName>
    <definedName name="OSRRefE21_17_1x" localSheetId="69">'Div 4'!$E$91:$O$91</definedName>
    <definedName name="OSRRefE21_17_2x" localSheetId="48">'300'!$E$106:$O$106</definedName>
    <definedName name="OSRRefE21_17_2x" localSheetId="49">'300 &amp; 317'!$E$112:$O$112</definedName>
    <definedName name="OSRRefE21_17_2x" localSheetId="41">'Div 3'!$E$104:$O$104</definedName>
    <definedName name="OSRRefE21_17_2x" localSheetId="69">'Div 4'!$E$92:$O$92</definedName>
    <definedName name="OSRRefE21_17_3x" localSheetId="48">'300'!$E$107:$O$107</definedName>
    <definedName name="OSRRefE21_17_3x" localSheetId="49">'300 &amp; 317'!$E$113:$O$113</definedName>
    <definedName name="OSRRefE21_17_3x" localSheetId="41">'Div 3'!$E$105:$O$105</definedName>
    <definedName name="OSRRefE21_17_3x" localSheetId="69">'Div 4'!$E$93:$O$93</definedName>
    <definedName name="OSRRefE21_17_4x" localSheetId="69">'Div 4'!$E$94:$O$94</definedName>
    <definedName name="OSRRefE21_17_5x" localSheetId="69">'Div 4'!$E$95:$O$95</definedName>
    <definedName name="OSRRefE21_17_6x" localSheetId="69">'Div 4'!$E$96:$O$96</definedName>
    <definedName name="OSRRefE21_17_7x" localSheetId="69">'Div 4'!$E$97:$O$97</definedName>
    <definedName name="OSRRefE21_17_8x" localSheetId="69">'Div 4'!$E$98:$O$98</definedName>
    <definedName name="OSRRefE21_17_9x" localSheetId="69">'Div 4'!$E$99:$O$99</definedName>
    <definedName name="OSRRefE21_17x_0" localSheetId="48">'300'!$E$104:$E$107</definedName>
    <definedName name="OSRRefE21_17x_0" localSheetId="49">'300 &amp; 317'!$E$110:$E$113</definedName>
    <definedName name="OSRRefE21_17x_0" localSheetId="50">'301'!$E$80</definedName>
    <definedName name="OSRRefE21_17x_0" localSheetId="63">'310'!$E$82</definedName>
    <definedName name="OSRRefE21_17x_0" localSheetId="70">'310 &amp; 491'!$E$95:$E$96</definedName>
    <definedName name="OSRRefE21_17x_0" localSheetId="56">'331'!$E$99</definedName>
    <definedName name="OSRRefE21_17x_0" localSheetId="76">'415'!$E$88</definedName>
    <definedName name="OSRRefE21_17x_0" localSheetId="71">'491'!$E$94</definedName>
    <definedName name="OSRRefE21_17x_0" localSheetId="82">'492'!$E$90</definedName>
    <definedName name="OSRRefE21_17x_0" localSheetId="39">'Div 2'!$E$85:$E$86</definedName>
    <definedName name="OSRRefE21_17x_0" localSheetId="41">'Div 3'!$E$102:$E$105</definedName>
    <definedName name="OSRRefE21_17x_0" localSheetId="69">'Div 4'!$E$90:$E$99</definedName>
    <definedName name="OSRRefE21_17x_0" localSheetId="2">Summary!$E$114</definedName>
    <definedName name="OSRRefE21_17x_1" localSheetId="48">'300'!$F$104:$F$107</definedName>
    <definedName name="OSRRefE21_17x_1" localSheetId="49">'300 &amp; 317'!$F$110:$F$113</definedName>
    <definedName name="OSRRefE21_17x_1" localSheetId="50">'301'!$F$80</definedName>
    <definedName name="OSRRefE21_17x_1" localSheetId="63">'310'!$F$82</definedName>
    <definedName name="OSRRefE21_17x_1" localSheetId="70">'310 &amp; 491'!$F$95:$F$96</definedName>
    <definedName name="OSRRefE21_17x_1" localSheetId="56">'331'!$F$99</definedName>
    <definedName name="OSRRefE21_17x_1" localSheetId="76">'415'!$F$88</definedName>
    <definedName name="OSRRefE21_17x_1" localSheetId="71">'491'!$F$94</definedName>
    <definedName name="OSRRefE21_17x_1" localSheetId="82">'492'!$F$90</definedName>
    <definedName name="OSRRefE21_17x_1" localSheetId="39">'Div 2'!$F$85:$F$86</definedName>
    <definedName name="OSRRefE21_17x_1" localSheetId="41">'Div 3'!$F$102:$F$105</definedName>
    <definedName name="OSRRefE21_17x_1" localSheetId="69">'Div 4'!$F$90:$F$99</definedName>
    <definedName name="OSRRefE21_17x_1" localSheetId="2">Summary!$F$114</definedName>
    <definedName name="OSRRefE21_17x_10" localSheetId="48">'300'!$O$104:$O$107</definedName>
    <definedName name="OSRRefE21_17x_10" localSheetId="49">'300 &amp; 317'!$O$110:$O$113</definedName>
    <definedName name="OSRRefE21_17x_10" localSheetId="50">'301'!$O$80</definedName>
    <definedName name="OSRRefE21_17x_10" localSheetId="63">'310'!$O$82</definedName>
    <definedName name="OSRRefE21_17x_10" localSheetId="70">'310 &amp; 491'!$O$95:$O$96</definedName>
    <definedName name="OSRRefE21_17x_10" localSheetId="56">'331'!$O$99</definedName>
    <definedName name="OSRRefE21_17x_10" localSheetId="76">'415'!$O$88</definedName>
    <definedName name="OSRRefE21_17x_10" localSheetId="71">'491'!$O$94</definedName>
    <definedName name="OSRRefE21_17x_10" localSheetId="82">'492'!$O$90</definedName>
    <definedName name="OSRRefE21_17x_10" localSheetId="39">'Div 2'!$O$85:$O$86</definedName>
    <definedName name="OSRRefE21_17x_10" localSheetId="41">'Div 3'!$O$102:$O$105</definedName>
    <definedName name="OSRRefE21_17x_10" localSheetId="69">'Div 4'!$O$90:$O$99</definedName>
    <definedName name="OSRRefE21_17x_10" localSheetId="2">Summary!$O$114</definedName>
    <definedName name="OSRRefE21_17x_2" localSheetId="48">'300'!$G$104:$G$107</definedName>
    <definedName name="OSRRefE21_17x_2" localSheetId="49">'300 &amp; 317'!$G$110:$G$113</definedName>
    <definedName name="OSRRefE21_17x_2" localSheetId="50">'301'!$G$80</definedName>
    <definedName name="OSRRefE21_17x_2" localSheetId="63">'310'!$G$82</definedName>
    <definedName name="OSRRefE21_17x_2" localSheetId="70">'310 &amp; 491'!$G$95:$G$96</definedName>
    <definedName name="OSRRefE21_17x_2" localSheetId="56">'331'!$G$99</definedName>
    <definedName name="OSRRefE21_17x_2" localSheetId="76">'415'!$G$88</definedName>
    <definedName name="OSRRefE21_17x_2" localSheetId="71">'491'!$G$94</definedName>
    <definedName name="OSRRefE21_17x_2" localSheetId="82">'492'!$G$90</definedName>
    <definedName name="OSRRefE21_17x_2" localSheetId="39">'Div 2'!$G$85:$G$86</definedName>
    <definedName name="OSRRefE21_17x_2" localSheetId="41">'Div 3'!$G$102:$G$105</definedName>
    <definedName name="OSRRefE21_17x_2" localSheetId="69">'Div 4'!$G$90:$G$99</definedName>
    <definedName name="OSRRefE21_17x_2" localSheetId="2">Summary!$G$114</definedName>
    <definedName name="OSRRefE21_17x_3" localSheetId="48">'300'!$H$104:$H$107</definedName>
    <definedName name="OSRRefE21_17x_3" localSheetId="49">'300 &amp; 317'!$H$110:$H$113</definedName>
    <definedName name="OSRRefE21_17x_3" localSheetId="50">'301'!$H$80</definedName>
    <definedName name="OSRRefE21_17x_3" localSheetId="63">'310'!$H$82</definedName>
    <definedName name="OSRRefE21_17x_3" localSheetId="70">'310 &amp; 491'!$H$95:$H$96</definedName>
    <definedName name="OSRRefE21_17x_3" localSheetId="56">'331'!$H$99</definedName>
    <definedName name="OSRRefE21_17x_3" localSheetId="76">'415'!$H$88</definedName>
    <definedName name="OSRRefE21_17x_3" localSheetId="71">'491'!$H$94</definedName>
    <definedName name="OSRRefE21_17x_3" localSheetId="82">'492'!$H$90</definedName>
    <definedName name="OSRRefE21_17x_3" localSheetId="39">'Div 2'!$H$85:$H$86</definedName>
    <definedName name="OSRRefE21_17x_3" localSheetId="41">'Div 3'!$H$102:$H$105</definedName>
    <definedName name="OSRRefE21_17x_3" localSheetId="69">'Div 4'!$H$90:$H$99</definedName>
    <definedName name="OSRRefE21_17x_3" localSheetId="2">Summary!$H$114</definedName>
    <definedName name="OSRRefE21_17x_4" localSheetId="48">'300'!$I$104:$I$107</definedName>
    <definedName name="OSRRefE21_17x_4" localSheetId="49">'300 &amp; 317'!$I$110:$I$113</definedName>
    <definedName name="OSRRefE21_17x_4" localSheetId="50">'301'!$I$80</definedName>
    <definedName name="OSRRefE21_17x_4" localSheetId="63">'310'!$I$82</definedName>
    <definedName name="OSRRefE21_17x_4" localSheetId="70">'310 &amp; 491'!$I$95:$I$96</definedName>
    <definedName name="OSRRefE21_17x_4" localSheetId="56">'331'!$I$99</definedName>
    <definedName name="OSRRefE21_17x_4" localSheetId="76">'415'!$I$88</definedName>
    <definedName name="OSRRefE21_17x_4" localSheetId="71">'491'!$I$94</definedName>
    <definedName name="OSRRefE21_17x_4" localSheetId="82">'492'!$I$90</definedName>
    <definedName name="OSRRefE21_17x_4" localSheetId="39">'Div 2'!$I$85:$I$86</definedName>
    <definedName name="OSRRefE21_17x_4" localSheetId="41">'Div 3'!$I$102:$I$105</definedName>
    <definedName name="OSRRefE21_17x_4" localSheetId="69">'Div 4'!$I$90:$I$99</definedName>
    <definedName name="OSRRefE21_17x_4" localSheetId="2">Summary!$I$114</definedName>
    <definedName name="OSRRefE21_17x_5" localSheetId="48">'300'!$J$104:$J$107</definedName>
    <definedName name="OSRRefE21_17x_5" localSheetId="49">'300 &amp; 317'!$J$110:$J$113</definedName>
    <definedName name="OSRRefE21_17x_5" localSheetId="50">'301'!$J$80</definedName>
    <definedName name="OSRRefE21_17x_5" localSheetId="63">'310'!$J$82</definedName>
    <definedName name="OSRRefE21_17x_5" localSheetId="70">'310 &amp; 491'!$J$95:$J$96</definedName>
    <definedName name="OSRRefE21_17x_5" localSheetId="56">'331'!$J$99</definedName>
    <definedName name="OSRRefE21_17x_5" localSheetId="76">'415'!$J$88</definedName>
    <definedName name="OSRRefE21_17x_5" localSheetId="71">'491'!$J$94</definedName>
    <definedName name="OSRRefE21_17x_5" localSheetId="82">'492'!$J$90</definedName>
    <definedName name="OSRRefE21_17x_5" localSheetId="39">'Div 2'!$J$85:$J$86</definedName>
    <definedName name="OSRRefE21_17x_5" localSheetId="41">'Div 3'!$J$102:$J$105</definedName>
    <definedName name="OSRRefE21_17x_5" localSheetId="69">'Div 4'!$J$90:$J$99</definedName>
    <definedName name="OSRRefE21_17x_5" localSheetId="2">Summary!$J$114</definedName>
    <definedName name="OSRRefE21_17x_6" localSheetId="48">'300'!$K$104:$K$107</definedName>
    <definedName name="OSRRefE21_17x_6" localSheetId="49">'300 &amp; 317'!$K$110:$K$113</definedName>
    <definedName name="OSRRefE21_17x_6" localSheetId="50">'301'!$K$80</definedName>
    <definedName name="OSRRefE21_17x_6" localSheetId="63">'310'!$K$82</definedName>
    <definedName name="OSRRefE21_17x_6" localSheetId="70">'310 &amp; 491'!$K$95:$K$96</definedName>
    <definedName name="OSRRefE21_17x_6" localSheetId="56">'331'!$K$99</definedName>
    <definedName name="OSRRefE21_17x_6" localSheetId="76">'415'!$K$88</definedName>
    <definedName name="OSRRefE21_17x_6" localSheetId="71">'491'!$K$94</definedName>
    <definedName name="OSRRefE21_17x_6" localSheetId="82">'492'!$K$90</definedName>
    <definedName name="OSRRefE21_17x_6" localSheetId="39">'Div 2'!$K$85:$K$86</definedName>
    <definedName name="OSRRefE21_17x_6" localSheetId="41">'Div 3'!$K$102:$K$105</definedName>
    <definedName name="OSRRefE21_17x_6" localSheetId="69">'Div 4'!$K$90:$K$99</definedName>
    <definedName name="OSRRefE21_17x_6" localSheetId="2">Summary!$K$114</definedName>
    <definedName name="OSRRefE21_17x_7" localSheetId="48">'300'!$L$104:$L$107</definedName>
    <definedName name="OSRRefE21_17x_7" localSheetId="49">'300 &amp; 317'!$L$110:$L$113</definedName>
    <definedName name="OSRRefE21_17x_7" localSheetId="50">'301'!$L$80</definedName>
    <definedName name="OSRRefE21_17x_7" localSheetId="63">'310'!$L$82</definedName>
    <definedName name="OSRRefE21_17x_7" localSheetId="70">'310 &amp; 491'!$L$95:$L$96</definedName>
    <definedName name="OSRRefE21_17x_7" localSheetId="56">'331'!$L$99</definedName>
    <definedName name="OSRRefE21_17x_7" localSheetId="76">'415'!$L$88</definedName>
    <definedName name="OSRRefE21_17x_7" localSheetId="71">'491'!$L$94</definedName>
    <definedName name="OSRRefE21_17x_7" localSheetId="82">'492'!$L$90</definedName>
    <definedName name="OSRRefE21_17x_7" localSheetId="39">'Div 2'!$L$85:$L$86</definedName>
    <definedName name="OSRRefE21_17x_7" localSheetId="41">'Div 3'!$L$102:$L$105</definedName>
    <definedName name="OSRRefE21_17x_7" localSheetId="69">'Div 4'!$L$90:$L$99</definedName>
    <definedName name="OSRRefE21_17x_7" localSheetId="2">Summary!$L$114</definedName>
    <definedName name="OSRRefE21_17x_8" localSheetId="48">'300'!$M$104:$M$107</definedName>
    <definedName name="OSRRefE21_17x_8" localSheetId="49">'300 &amp; 317'!$M$110:$M$113</definedName>
    <definedName name="OSRRefE21_17x_8" localSheetId="50">'301'!$M$80</definedName>
    <definedName name="OSRRefE21_17x_8" localSheetId="63">'310'!$M$82</definedName>
    <definedName name="OSRRefE21_17x_8" localSheetId="70">'310 &amp; 491'!$M$95:$M$96</definedName>
    <definedName name="OSRRefE21_17x_8" localSheetId="56">'331'!$M$99</definedName>
    <definedName name="OSRRefE21_17x_8" localSheetId="76">'415'!$M$88</definedName>
    <definedName name="OSRRefE21_17x_8" localSheetId="71">'491'!$M$94</definedName>
    <definedName name="OSRRefE21_17x_8" localSheetId="82">'492'!$M$90</definedName>
    <definedName name="OSRRefE21_17x_8" localSheetId="39">'Div 2'!$M$85:$M$86</definedName>
    <definedName name="OSRRefE21_17x_8" localSheetId="41">'Div 3'!$M$102:$M$105</definedName>
    <definedName name="OSRRefE21_17x_8" localSheetId="69">'Div 4'!$M$90:$M$99</definedName>
    <definedName name="OSRRefE21_17x_8" localSheetId="2">Summary!$M$114</definedName>
    <definedName name="OSRRefE21_17x_9" localSheetId="48">'300'!$N$104:$N$107</definedName>
    <definedName name="OSRRefE21_17x_9" localSheetId="49">'300 &amp; 317'!$N$110:$N$113</definedName>
    <definedName name="OSRRefE21_17x_9" localSheetId="50">'301'!$N$80</definedName>
    <definedName name="OSRRefE21_17x_9" localSheetId="63">'310'!$N$82</definedName>
    <definedName name="OSRRefE21_17x_9" localSheetId="70">'310 &amp; 491'!$N$95:$N$96</definedName>
    <definedName name="OSRRefE21_17x_9" localSheetId="56">'331'!$N$99</definedName>
    <definedName name="OSRRefE21_17x_9" localSheetId="76">'415'!$N$88</definedName>
    <definedName name="OSRRefE21_17x_9" localSheetId="71">'491'!$N$94</definedName>
    <definedName name="OSRRefE21_17x_9" localSheetId="82">'492'!$N$90</definedName>
    <definedName name="OSRRefE21_17x_9" localSheetId="39">'Div 2'!$N$85:$N$86</definedName>
    <definedName name="OSRRefE21_17x_9" localSheetId="41">'Div 3'!$N$102:$N$105</definedName>
    <definedName name="OSRRefE21_17x_9" localSheetId="69">'Div 4'!$N$90:$N$99</definedName>
    <definedName name="OSRRefE21_17x_9" localSheetId="2">Summary!$N$114</definedName>
    <definedName name="OSRRefE21_18_0x" localSheetId="48">'300'!$E$109:$O$109</definedName>
    <definedName name="OSRRefE21_18_0x" localSheetId="49">'300 &amp; 317'!$E$115:$O$115</definedName>
    <definedName name="OSRRefE21_18_0x" localSheetId="50">'301'!$E$82:$O$82</definedName>
    <definedName name="OSRRefE21_18_0x" localSheetId="70">'310 &amp; 491'!$E$98:$O$98</definedName>
    <definedName name="OSRRefE21_18_0x" localSheetId="56">'331'!$E$101:$O$101</definedName>
    <definedName name="OSRRefE21_18_0x" localSheetId="71">'491'!$E$96:$O$96</definedName>
    <definedName name="OSRRefE21_18_0x" localSheetId="39">'Div 2'!$E$88:$O$88</definedName>
    <definedName name="OSRRefE21_18_0x" localSheetId="41">'Div 3'!$E$107:$O$107</definedName>
    <definedName name="OSRRefE21_18_0x" localSheetId="69">'Div 4'!$E$101:$O$101</definedName>
    <definedName name="OSRRefE21_18_0x" localSheetId="2">Summary!$E$116:$O$116</definedName>
    <definedName name="OSRRefE21_18_1x" localSheetId="48">'300'!$E$110:$O$110</definedName>
    <definedName name="OSRRefE21_18_1x" localSheetId="49">'300 &amp; 317'!$E$116:$O$116</definedName>
    <definedName name="OSRRefE21_18_1x" localSheetId="56">'331'!$E$102:$O$102</definedName>
    <definedName name="OSRRefE21_18_1x" localSheetId="41">'Div 3'!$E$108:$O$108</definedName>
    <definedName name="OSRRefE21_18_1x" localSheetId="69">'Div 4'!$E$102:$O$102</definedName>
    <definedName name="OSRRefE21_18_1x" localSheetId="2">Summary!$E$117:$O$117</definedName>
    <definedName name="OSRRefE21_18_2x" localSheetId="48">'300'!$E$111:$O$111</definedName>
    <definedName name="OSRRefE21_18_2x" localSheetId="49">'300 &amp; 317'!$E$117:$O$117</definedName>
    <definedName name="OSRRefE21_18_2x" localSheetId="41">'Div 3'!$E$109:$O$109</definedName>
    <definedName name="OSRRefE21_18_2x" localSheetId="2">Summary!$E$118:$O$118</definedName>
    <definedName name="OSRRefE21_18_3x" localSheetId="41">'Div 3'!$E$110:$O$110</definedName>
    <definedName name="OSRRefE21_18_3x" localSheetId="2">Summary!$E$119:$O$119</definedName>
    <definedName name="OSRRefE21_18x_0" localSheetId="48">'300'!$E$109:$E$111</definedName>
    <definedName name="OSRRefE21_18x_0" localSheetId="49">'300 &amp; 317'!$E$115:$E$117</definedName>
    <definedName name="OSRRefE21_18x_0" localSheetId="50">'301'!$E$82</definedName>
    <definedName name="OSRRefE21_18x_0" localSheetId="70">'310 &amp; 491'!$E$98</definedName>
    <definedName name="OSRRefE21_18x_0" localSheetId="56">'331'!$E$101:$E$102</definedName>
    <definedName name="OSRRefE21_18x_0" localSheetId="71">'491'!$E$96</definedName>
    <definedName name="OSRRefE21_18x_0" localSheetId="39">'Div 2'!$E$88</definedName>
    <definedName name="OSRRefE21_18x_0" localSheetId="41">'Div 3'!$E$107:$E$110</definedName>
    <definedName name="OSRRefE21_18x_0" localSheetId="69">'Div 4'!$E$101:$E$102</definedName>
    <definedName name="OSRRefE21_18x_0" localSheetId="2">Summary!$E$116:$E$119</definedName>
    <definedName name="OSRRefE21_18x_1" localSheetId="48">'300'!$F$109:$F$111</definedName>
    <definedName name="OSRRefE21_18x_1" localSheetId="49">'300 &amp; 317'!$F$115:$F$117</definedName>
    <definedName name="OSRRefE21_18x_1" localSheetId="50">'301'!$F$82</definedName>
    <definedName name="OSRRefE21_18x_1" localSheetId="70">'310 &amp; 491'!$F$98</definedName>
    <definedName name="OSRRefE21_18x_1" localSheetId="56">'331'!$F$101:$F$102</definedName>
    <definedName name="OSRRefE21_18x_1" localSheetId="71">'491'!$F$96</definedName>
    <definedName name="OSRRefE21_18x_1" localSheetId="39">'Div 2'!$F$88</definedName>
    <definedName name="OSRRefE21_18x_1" localSheetId="41">'Div 3'!$F$107:$F$110</definedName>
    <definedName name="OSRRefE21_18x_1" localSheetId="69">'Div 4'!$F$101:$F$102</definedName>
    <definedName name="OSRRefE21_18x_1" localSheetId="2">Summary!$F$116:$F$119</definedName>
    <definedName name="OSRRefE21_18x_10" localSheetId="48">'300'!$O$109:$O$111</definedName>
    <definedName name="OSRRefE21_18x_10" localSheetId="49">'300 &amp; 317'!$O$115:$O$117</definedName>
    <definedName name="OSRRefE21_18x_10" localSheetId="50">'301'!$O$82</definedName>
    <definedName name="OSRRefE21_18x_10" localSheetId="70">'310 &amp; 491'!$O$98</definedName>
    <definedName name="OSRRefE21_18x_10" localSheetId="56">'331'!$O$101:$O$102</definedName>
    <definedName name="OSRRefE21_18x_10" localSheetId="71">'491'!$O$96</definedName>
    <definedName name="OSRRefE21_18x_10" localSheetId="39">'Div 2'!$O$88</definedName>
    <definedName name="OSRRefE21_18x_10" localSheetId="41">'Div 3'!$O$107:$O$110</definedName>
    <definedName name="OSRRefE21_18x_10" localSheetId="69">'Div 4'!$O$101:$O$102</definedName>
    <definedName name="OSRRefE21_18x_10" localSheetId="2">Summary!$O$116:$O$119</definedName>
    <definedName name="OSRRefE21_18x_2" localSheetId="48">'300'!$G$109:$G$111</definedName>
    <definedName name="OSRRefE21_18x_2" localSheetId="49">'300 &amp; 317'!$G$115:$G$117</definedName>
    <definedName name="OSRRefE21_18x_2" localSheetId="50">'301'!$G$82</definedName>
    <definedName name="OSRRefE21_18x_2" localSheetId="70">'310 &amp; 491'!$G$98</definedName>
    <definedName name="OSRRefE21_18x_2" localSheetId="56">'331'!$G$101:$G$102</definedName>
    <definedName name="OSRRefE21_18x_2" localSheetId="71">'491'!$G$96</definedName>
    <definedName name="OSRRefE21_18x_2" localSheetId="39">'Div 2'!$G$88</definedName>
    <definedName name="OSRRefE21_18x_2" localSheetId="41">'Div 3'!$G$107:$G$110</definedName>
    <definedName name="OSRRefE21_18x_2" localSheetId="69">'Div 4'!$G$101:$G$102</definedName>
    <definedName name="OSRRefE21_18x_2" localSheetId="2">Summary!$G$116:$G$119</definedName>
    <definedName name="OSRRefE21_18x_3" localSheetId="48">'300'!$H$109:$H$111</definedName>
    <definedName name="OSRRefE21_18x_3" localSheetId="49">'300 &amp; 317'!$H$115:$H$117</definedName>
    <definedName name="OSRRefE21_18x_3" localSheetId="50">'301'!$H$82</definedName>
    <definedName name="OSRRefE21_18x_3" localSheetId="70">'310 &amp; 491'!$H$98</definedName>
    <definedName name="OSRRefE21_18x_3" localSheetId="56">'331'!$H$101:$H$102</definedName>
    <definedName name="OSRRefE21_18x_3" localSheetId="71">'491'!$H$96</definedName>
    <definedName name="OSRRefE21_18x_3" localSheetId="39">'Div 2'!$H$88</definedName>
    <definedName name="OSRRefE21_18x_3" localSheetId="41">'Div 3'!$H$107:$H$110</definedName>
    <definedName name="OSRRefE21_18x_3" localSheetId="69">'Div 4'!$H$101:$H$102</definedName>
    <definedName name="OSRRefE21_18x_3" localSheetId="2">Summary!$H$116:$H$119</definedName>
    <definedName name="OSRRefE21_18x_4" localSheetId="48">'300'!$I$109:$I$111</definedName>
    <definedName name="OSRRefE21_18x_4" localSheetId="49">'300 &amp; 317'!$I$115:$I$117</definedName>
    <definedName name="OSRRefE21_18x_4" localSheetId="50">'301'!$I$82</definedName>
    <definedName name="OSRRefE21_18x_4" localSheetId="70">'310 &amp; 491'!$I$98</definedName>
    <definedName name="OSRRefE21_18x_4" localSheetId="56">'331'!$I$101:$I$102</definedName>
    <definedName name="OSRRefE21_18x_4" localSheetId="71">'491'!$I$96</definedName>
    <definedName name="OSRRefE21_18x_4" localSheetId="39">'Div 2'!$I$88</definedName>
    <definedName name="OSRRefE21_18x_4" localSheetId="41">'Div 3'!$I$107:$I$110</definedName>
    <definedName name="OSRRefE21_18x_4" localSheetId="69">'Div 4'!$I$101:$I$102</definedName>
    <definedName name="OSRRefE21_18x_4" localSheetId="2">Summary!$I$116:$I$119</definedName>
    <definedName name="OSRRefE21_18x_5" localSheetId="48">'300'!$J$109:$J$111</definedName>
    <definedName name="OSRRefE21_18x_5" localSheetId="49">'300 &amp; 317'!$J$115:$J$117</definedName>
    <definedName name="OSRRefE21_18x_5" localSheetId="50">'301'!$J$82</definedName>
    <definedName name="OSRRefE21_18x_5" localSheetId="70">'310 &amp; 491'!$J$98</definedName>
    <definedName name="OSRRefE21_18x_5" localSheetId="56">'331'!$J$101:$J$102</definedName>
    <definedName name="OSRRefE21_18x_5" localSheetId="71">'491'!$J$96</definedName>
    <definedName name="OSRRefE21_18x_5" localSheetId="39">'Div 2'!$J$88</definedName>
    <definedName name="OSRRefE21_18x_5" localSheetId="41">'Div 3'!$J$107:$J$110</definedName>
    <definedName name="OSRRefE21_18x_5" localSheetId="69">'Div 4'!$J$101:$J$102</definedName>
    <definedName name="OSRRefE21_18x_5" localSheetId="2">Summary!$J$116:$J$119</definedName>
    <definedName name="OSRRefE21_18x_6" localSheetId="48">'300'!$K$109:$K$111</definedName>
    <definedName name="OSRRefE21_18x_6" localSheetId="49">'300 &amp; 317'!$K$115:$K$117</definedName>
    <definedName name="OSRRefE21_18x_6" localSheetId="50">'301'!$K$82</definedName>
    <definedName name="OSRRefE21_18x_6" localSheetId="70">'310 &amp; 491'!$K$98</definedName>
    <definedName name="OSRRefE21_18x_6" localSheetId="56">'331'!$K$101:$K$102</definedName>
    <definedName name="OSRRefE21_18x_6" localSheetId="71">'491'!$K$96</definedName>
    <definedName name="OSRRefE21_18x_6" localSheetId="39">'Div 2'!$K$88</definedName>
    <definedName name="OSRRefE21_18x_6" localSheetId="41">'Div 3'!$K$107:$K$110</definedName>
    <definedName name="OSRRefE21_18x_6" localSheetId="69">'Div 4'!$K$101:$K$102</definedName>
    <definedName name="OSRRefE21_18x_6" localSheetId="2">Summary!$K$116:$K$119</definedName>
    <definedName name="OSRRefE21_18x_7" localSheetId="48">'300'!$L$109:$L$111</definedName>
    <definedName name="OSRRefE21_18x_7" localSheetId="49">'300 &amp; 317'!$L$115:$L$117</definedName>
    <definedName name="OSRRefE21_18x_7" localSheetId="50">'301'!$L$82</definedName>
    <definedName name="OSRRefE21_18x_7" localSheetId="70">'310 &amp; 491'!$L$98</definedName>
    <definedName name="OSRRefE21_18x_7" localSheetId="56">'331'!$L$101:$L$102</definedName>
    <definedName name="OSRRefE21_18x_7" localSheetId="71">'491'!$L$96</definedName>
    <definedName name="OSRRefE21_18x_7" localSheetId="39">'Div 2'!$L$88</definedName>
    <definedName name="OSRRefE21_18x_7" localSheetId="41">'Div 3'!$L$107:$L$110</definedName>
    <definedName name="OSRRefE21_18x_7" localSheetId="69">'Div 4'!$L$101:$L$102</definedName>
    <definedName name="OSRRefE21_18x_7" localSheetId="2">Summary!$L$116:$L$119</definedName>
    <definedName name="OSRRefE21_18x_8" localSheetId="48">'300'!$M$109:$M$111</definedName>
    <definedName name="OSRRefE21_18x_8" localSheetId="49">'300 &amp; 317'!$M$115:$M$117</definedName>
    <definedName name="OSRRefE21_18x_8" localSheetId="50">'301'!$M$82</definedName>
    <definedName name="OSRRefE21_18x_8" localSheetId="70">'310 &amp; 491'!$M$98</definedName>
    <definedName name="OSRRefE21_18x_8" localSheetId="56">'331'!$M$101:$M$102</definedName>
    <definedName name="OSRRefE21_18x_8" localSheetId="71">'491'!$M$96</definedName>
    <definedName name="OSRRefE21_18x_8" localSheetId="39">'Div 2'!$M$88</definedName>
    <definedName name="OSRRefE21_18x_8" localSheetId="41">'Div 3'!$M$107:$M$110</definedName>
    <definedName name="OSRRefE21_18x_8" localSheetId="69">'Div 4'!$M$101:$M$102</definedName>
    <definedName name="OSRRefE21_18x_8" localSheetId="2">Summary!$M$116:$M$119</definedName>
    <definedName name="OSRRefE21_18x_9" localSheetId="48">'300'!$N$109:$N$111</definedName>
    <definedName name="OSRRefE21_18x_9" localSheetId="49">'300 &amp; 317'!$N$115:$N$117</definedName>
    <definedName name="OSRRefE21_18x_9" localSheetId="50">'301'!$N$82</definedName>
    <definedName name="OSRRefE21_18x_9" localSheetId="70">'310 &amp; 491'!$N$98</definedName>
    <definedName name="OSRRefE21_18x_9" localSheetId="56">'331'!$N$101:$N$102</definedName>
    <definedName name="OSRRefE21_18x_9" localSheetId="71">'491'!$N$96</definedName>
    <definedName name="OSRRefE21_18x_9" localSheetId="39">'Div 2'!$N$88</definedName>
    <definedName name="OSRRefE21_18x_9" localSheetId="41">'Div 3'!$N$107:$N$110</definedName>
    <definedName name="OSRRefE21_18x_9" localSheetId="69">'Div 4'!$N$101:$N$102</definedName>
    <definedName name="OSRRefE21_18x_9" localSheetId="2">Summary!$N$116:$N$119</definedName>
    <definedName name="OSRRefE21_19_0x" localSheetId="48">'300'!$E$113:$O$113</definedName>
    <definedName name="OSRRefE21_19_0x" localSheetId="49">'300 &amp; 317'!$E$119:$O$119</definedName>
    <definedName name="OSRRefE21_19_0x" localSheetId="50">'301'!$E$84:$O$84</definedName>
    <definedName name="OSRRefE21_19_0x" localSheetId="70">'310 &amp; 491'!$E$100:$O$100</definedName>
    <definedName name="OSRRefE21_19_0x" localSheetId="56">'331'!$E$104:$O$104</definedName>
    <definedName name="OSRRefE21_19_0x" localSheetId="71">'491'!$E$98:$O$98</definedName>
    <definedName name="OSRRefE21_19_0x" localSheetId="39">'Div 2'!$E$90:$O$90</definedName>
    <definedName name="OSRRefE21_19_0x" localSheetId="41">'Div 3'!$E$112:$O$112</definedName>
    <definedName name="OSRRefE21_19_0x" localSheetId="69">'Div 4'!$E$104:$O$104</definedName>
    <definedName name="OSRRefE21_19_0x" localSheetId="2">Summary!$E$121:$O$121</definedName>
    <definedName name="OSRRefE21_19_1x" localSheetId="48">'300'!$E$114:$O$114</definedName>
    <definedName name="OSRRefE21_19_1x" localSheetId="49">'300 &amp; 317'!$E$120:$O$120</definedName>
    <definedName name="OSRRefE21_19_1x" localSheetId="39">'Div 2'!$E$91:$O$91</definedName>
    <definedName name="OSRRefE21_19_1x" localSheetId="41">'Div 3'!$E$113:$O$113</definedName>
    <definedName name="OSRRefE21_19_1x" localSheetId="2">Summary!$E$122:$O$122</definedName>
    <definedName name="OSRRefE21_19_2x" localSheetId="41">'Div 3'!$E$114:$O$114</definedName>
    <definedName name="OSRRefE21_19_2x" localSheetId="2">Summary!$E$123:$O$123</definedName>
    <definedName name="OSRRefE21_19_3x" localSheetId="41">'Div 3'!$E$115:$O$115</definedName>
    <definedName name="OSRRefE21_19_3x" localSheetId="2">Summary!$E$124:$O$124</definedName>
    <definedName name="OSRRefE21_19x_0" localSheetId="48">'300'!$E$113:$E$114</definedName>
    <definedName name="OSRRefE21_19x_0" localSheetId="49">'300 &amp; 317'!$E$119:$E$120</definedName>
    <definedName name="OSRRefE21_19x_0" localSheetId="50">'301'!$E$84</definedName>
    <definedName name="OSRRefE21_19x_0" localSheetId="70">'310 &amp; 491'!$E$100</definedName>
    <definedName name="OSRRefE21_19x_0" localSheetId="56">'331'!$E$104</definedName>
    <definedName name="OSRRefE21_19x_0" localSheetId="71">'491'!$E$98</definedName>
    <definedName name="OSRRefE21_19x_0" localSheetId="39">'Div 2'!$E$90:$E$91</definedName>
    <definedName name="OSRRefE21_19x_0" localSheetId="41">'Div 3'!$E$112:$E$115</definedName>
    <definedName name="OSRRefE21_19x_0" localSheetId="69">'Div 4'!$E$104</definedName>
    <definedName name="OSRRefE21_19x_0" localSheetId="2">Summary!$E$121:$E$124</definedName>
    <definedName name="OSRRefE21_19x_1" localSheetId="48">'300'!$F$113:$F$114</definedName>
    <definedName name="OSRRefE21_19x_1" localSheetId="49">'300 &amp; 317'!$F$119:$F$120</definedName>
    <definedName name="OSRRefE21_19x_1" localSheetId="50">'301'!$F$84</definedName>
    <definedName name="OSRRefE21_19x_1" localSheetId="70">'310 &amp; 491'!$F$100</definedName>
    <definedName name="OSRRefE21_19x_1" localSheetId="56">'331'!$F$104</definedName>
    <definedName name="OSRRefE21_19x_1" localSheetId="71">'491'!$F$98</definedName>
    <definedName name="OSRRefE21_19x_1" localSheetId="39">'Div 2'!$F$90:$F$91</definedName>
    <definedName name="OSRRefE21_19x_1" localSheetId="41">'Div 3'!$F$112:$F$115</definedName>
    <definedName name="OSRRefE21_19x_1" localSheetId="69">'Div 4'!$F$104</definedName>
    <definedName name="OSRRefE21_19x_1" localSheetId="2">Summary!$F$121:$F$124</definedName>
    <definedName name="OSRRefE21_19x_10" localSheetId="48">'300'!$O$113:$O$114</definedName>
    <definedName name="OSRRefE21_19x_10" localSheetId="49">'300 &amp; 317'!$O$119:$O$120</definedName>
    <definedName name="OSRRefE21_19x_10" localSheetId="50">'301'!$O$84</definedName>
    <definedName name="OSRRefE21_19x_10" localSheetId="70">'310 &amp; 491'!$O$100</definedName>
    <definedName name="OSRRefE21_19x_10" localSheetId="56">'331'!$O$104</definedName>
    <definedName name="OSRRefE21_19x_10" localSheetId="71">'491'!$O$98</definedName>
    <definedName name="OSRRefE21_19x_10" localSheetId="39">'Div 2'!$O$90:$O$91</definedName>
    <definedName name="OSRRefE21_19x_10" localSheetId="41">'Div 3'!$O$112:$O$115</definedName>
    <definedName name="OSRRefE21_19x_10" localSheetId="69">'Div 4'!$O$104</definedName>
    <definedName name="OSRRefE21_19x_10" localSheetId="2">Summary!$O$121:$O$124</definedName>
    <definedName name="OSRRefE21_19x_2" localSheetId="48">'300'!$G$113:$G$114</definedName>
    <definedName name="OSRRefE21_19x_2" localSheetId="49">'300 &amp; 317'!$G$119:$G$120</definedName>
    <definedName name="OSRRefE21_19x_2" localSheetId="50">'301'!$G$84</definedName>
    <definedName name="OSRRefE21_19x_2" localSheetId="70">'310 &amp; 491'!$G$100</definedName>
    <definedName name="OSRRefE21_19x_2" localSheetId="56">'331'!$G$104</definedName>
    <definedName name="OSRRefE21_19x_2" localSheetId="71">'491'!$G$98</definedName>
    <definedName name="OSRRefE21_19x_2" localSheetId="39">'Div 2'!$G$90:$G$91</definedName>
    <definedName name="OSRRefE21_19x_2" localSheetId="41">'Div 3'!$G$112:$G$115</definedName>
    <definedName name="OSRRefE21_19x_2" localSheetId="69">'Div 4'!$G$104</definedName>
    <definedName name="OSRRefE21_19x_2" localSheetId="2">Summary!$G$121:$G$124</definedName>
    <definedName name="OSRRefE21_19x_3" localSheetId="48">'300'!$H$113:$H$114</definedName>
    <definedName name="OSRRefE21_19x_3" localSheetId="49">'300 &amp; 317'!$H$119:$H$120</definedName>
    <definedName name="OSRRefE21_19x_3" localSheetId="50">'301'!$H$84</definedName>
    <definedName name="OSRRefE21_19x_3" localSheetId="70">'310 &amp; 491'!$H$100</definedName>
    <definedName name="OSRRefE21_19x_3" localSheetId="56">'331'!$H$104</definedName>
    <definedName name="OSRRefE21_19x_3" localSheetId="71">'491'!$H$98</definedName>
    <definedName name="OSRRefE21_19x_3" localSheetId="39">'Div 2'!$H$90:$H$91</definedName>
    <definedName name="OSRRefE21_19x_3" localSheetId="41">'Div 3'!$H$112:$H$115</definedName>
    <definedName name="OSRRefE21_19x_3" localSheetId="69">'Div 4'!$H$104</definedName>
    <definedName name="OSRRefE21_19x_3" localSheetId="2">Summary!$H$121:$H$124</definedName>
    <definedName name="OSRRefE21_19x_4" localSheetId="48">'300'!$I$113:$I$114</definedName>
    <definedName name="OSRRefE21_19x_4" localSheetId="49">'300 &amp; 317'!$I$119:$I$120</definedName>
    <definedName name="OSRRefE21_19x_4" localSheetId="50">'301'!$I$84</definedName>
    <definedName name="OSRRefE21_19x_4" localSheetId="70">'310 &amp; 491'!$I$100</definedName>
    <definedName name="OSRRefE21_19x_4" localSheetId="56">'331'!$I$104</definedName>
    <definedName name="OSRRefE21_19x_4" localSheetId="71">'491'!$I$98</definedName>
    <definedName name="OSRRefE21_19x_4" localSheetId="39">'Div 2'!$I$90:$I$91</definedName>
    <definedName name="OSRRefE21_19x_4" localSheetId="41">'Div 3'!$I$112:$I$115</definedName>
    <definedName name="OSRRefE21_19x_4" localSheetId="69">'Div 4'!$I$104</definedName>
    <definedName name="OSRRefE21_19x_4" localSheetId="2">Summary!$I$121:$I$124</definedName>
    <definedName name="OSRRefE21_19x_5" localSheetId="48">'300'!$J$113:$J$114</definedName>
    <definedName name="OSRRefE21_19x_5" localSheetId="49">'300 &amp; 317'!$J$119:$J$120</definedName>
    <definedName name="OSRRefE21_19x_5" localSheetId="50">'301'!$J$84</definedName>
    <definedName name="OSRRefE21_19x_5" localSheetId="70">'310 &amp; 491'!$J$100</definedName>
    <definedName name="OSRRefE21_19x_5" localSheetId="56">'331'!$J$104</definedName>
    <definedName name="OSRRefE21_19x_5" localSheetId="71">'491'!$J$98</definedName>
    <definedName name="OSRRefE21_19x_5" localSheetId="39">'Div 2'!$J$90:$J$91</definedName>
    <definedName name="OSRRefE21_19x_5" localSheetId="41">'Div 3'!$J$112:$J$115</definedName>
    <definedName name="OSRRefE21_19x_5" localSheetId="69">'Div 4'!$J$104</definedName>
    <definedName name="OSRRefE21_19x_5" localSheetId="2">Summary!$J$121:$J$124</definedName>
    <definedName name="OSRRefE21_19x_6" localSheetId="48">'300'!$K$113:$K$114</definedName>
    <definedName name="OSRRefE21_19x_6" localSheetId="49">'300 &amp; 317'!$K$119:$K$120</definedName>
    <definedName name="OSRRefE21_19x_6" localSheetId="50">'301'!$K$84</definedName>
    <definedName name="OSRRefE21_19x_6" localSheetId="70">'310 &amp; 491'!$K$100</definedName>
    <definedName name="OSRRefE21_19x_6" localSheetId="56">'331'!$K$104</definedName>
    <definedName name="OSRRefE21_19x_6" localSheetId="71">'491'!$K$98</definedName>
    <definedName name="OSRRefE21_19x_6" localSheetId="39">'Div 2'!$K$90:$K$91</definedName>
    <definedName name="OSRRefE21_19x_6" localSheetId="41">'Div 3'!$K$112:$K$115</definedName>
    <definedName name="OSRRefE21_19x_6" localSheetId="69">'Div 4'!$K$104</definedName>
    <definedName name="OSRRefE21_19x_6" localSheetId="2">Summary!$K$121:$K$124</definedName>
    <definedName name="OSRRefE21_19x_7" localSheetId="48">'300'!$L$113:$L$114</definedName>
    <definedName name="OSRRefE21_19x_7" localSheetId="49">'300 &amp; 317'!$L$119:$L$120</definedName>
    <definedName name="OSRRefE21_19x_7" localSheetId="50">'301'!$L$84</definedName>
    <definedName name="OSRRefE21_19x_7" localSheetId="70">'310 &amp; 491'!$L$100</definedName>
    <definedName name="OSRRefE21_19x_7" localSheetId="56">'331'!$L$104</definedName>
    <definedName name="OSRRefE21_19x_7" localSheetId="71">'491'!$L$98</definedName>
    <definedName name="OSRRefE21_19x_7" localSheetId="39">'Div 2'!$L$90:$L$91</definedName>
    <definedName name="OSRRefE21_19x_7" localSheetId="41">'Div 3'!$L$112:$L$115</definedName>
    <definedName name="OSRRefE21_19x_7" localSheetId="69">'Div 4'!$L$104</definedName>
    <definedName name="OSRRefE21_19x_7" localSheetId="2">Summary!$L$121:$L$124</definedName>
    <definedName name="OSRRefE21_19x_8" localSheetId="48">'300'!$M$113:$M$114</definedName>
    <definedName name="OSRRefE21_19x_8" localSheetId="49">'300 &amp; 317'!$M$119:$M$120</definedName>
    <definedName name="OSRRefE21_19x_8" localSheetId="50">'301'!$M$84</definedName>
    <definedName name="OSRRefE21_19x_8" localSheetId="70">'310 &amp; 491'!$M$100</definedName>
    <definedName name="OSRRefE21_19x_8" localSheetId="56">'331'!$M$104</definedName>
    <definedName name="OSRRefE21_19x_8" localSheetId="71">'491'!$M$98</definedName>
    <definedName name="OSRRefE21_19x_8" localSheetId="39">'Div 2'!$M$90:$M$91</definedName>
    <definedName name="OSRRefE21_19x_8" localSheetId="41">'Div 3'!$M$112:$M$115</definedName>
    <definedName name="OSRRefE21_19x_8" localSheetId="69">'Div 4'!$M$104</definedName>
    <definedName name="OSRRefE21_19x_8" localSheetId="2">Summary!$M$121:$M$124</definedName>
    <definedName name="OSRRefE21_19x_9" localSheetId="48">'300'!$N$113:$N$114</definedName>
    <definedName name="OSRRefE21_19x_9" localSheetId="49">'300 &amp; 317'!$N$119:$N$120</definedName>
    <definedName name="OSRRefE21_19x_9" localSheetId="50">'301'!$N$84</definedName>
    <definedName name="OSRRefE21_19x_9" localSheetId="70">'310 &amp; 491'!$N$100</definedName>
    <definedName name="OSRRefE21_19x_9" localSheetId="56">'331'!$N$104</definedName>
    <definedName name="OSRRefE21_19x_9" localSheetId="71">'491'!$N$98</definedName>
    <definedName name="OSRRefE21_19x_9" localSheetId="39">'Div 2'!$N$90:$N$91</definedName>
    <definedName name="OSRRefE21_19x_9" localSheetId="41">'Div 3'!$N$112:$N$115</definedName>
    <definedName name="OSRRefE21_19x_9" localSheetId="69">'Div 4'!$N$104</definedName>
    <definedName name="OSRRefE21_19x_9" localSheetId="2">Summary!$N$121:$N$124</definedName>
    <definedName name="OSRRefE21_1x_0" localSheetId="40">'200'!$E$21</definedName>
    <definedName name="OSRRefE21_1x_0" localSheetId="42">'201'!$E$29:$E$38</definedName>
    <definedName name="OSRRefE21_1x_0" localSheetId="43">'202'!$E$29:$E$38</definedName>
    <definedName name="OSRRefE21_1x_0" localSheetId="44">'203'!$E$30:$E$39</definedName>
    <definedName name="OSRRefE21_1x_0" localSheetId="45">'204'!$E$29:$E$38</definedName>
    <definedName name="OSRRefE21_1x_0" localSheetId="46">'205'!$E$29:$E$38</definedName>
    <definedName name="OSRRefE21_1x_0" localSheetId="47">'206'!$E$29:$E$38</definedName>
    <definedName name="OSRRefE21_1x_0" localSheetId="48">'300'!$E$56:$E$65</definedName>
    <definedName name="OSRRefE21_1x_0" localSheetId="49">'300 &amp; 317'!$E$62:$E$71</definedName>
    <definedName name="OSRRefE21_1x_0" localSheetId="50">'301'!$E$30:$E$39</definedName>
    <definedName name="OSRRefE21_1x_0" localSheetId="52">'307'!$E$31:$E$40</definedName>
    <definedName name="OSRRefE21_1x_0" localSheetId="53">'308'!$E$44:$E$53</definedName>
    <definedName name="OSRRefE21_1x_0" localSheetId="64">'309'!$E$21</definedName>
    <definedName name="OSRRefE21_1x_0" localSheetId="63">'310'!$E$32:$E$41</definedName>
    <definedName name="OSRRefE21_1x_0" localSheetId="70">'310 &amp; 491'!$E$36:$E$45</definedName>
    <definedName name="OSRRefE21_1x_0" localSheetId="54">'311'!$E$44:$E$53</definedName>
    <definedName name="OSRRefE21_1x_0" localSheetId="57">'315'!$E$48:$E$57</definedName>
    <definedName name="OSRRefE21_1x_0" localSheetId="60">'316'!$E$33:$E$42</definedName>
    <definedName name="OSRRefE21_1x_0" localSheetId="62">'317'!$E$44:$E$53</definedName>
    <definedName name="OSRRefE21_1x_0" localSheetId="66">'321'!$E$31:$E$40</definedName>
    <definedName name="OSRRefE21_1x_0" localSheetId="67">'325'!$E$32:$E$41</definedName>
    <definedName name="OSRRefE21_1x_0" localSheetId="58">'326'!$E$34:$E$43</definedName>
    <definedName name="OSRRefE21_1x_0" localSheetId="51">'330'!$E$31:$E$40</definedName>
    <definedName name="OSRRefE21_1x_0" localSheetId="56">'331'!$E$48:$E$57</definedName>
    <definedName name="OSRRefE21_1x_0" localSheetId="59">'332'!$E$33:$E$42</definedName>
    <definedName name="OSRRefE21_1x_0" localSheetId="72">'405'!$E$32:$E$41</definedName>
    <definedName name="OSRRefE21_1x_0" localSheetId="73">'411'!$E$29:$E$38</definedName>
    <definedName name="OSRRefE21_1x_0" localSheetId="74">'412'!$E$21</definedName>
    <definedName name="OSRRefE21_1x_0" localSheetId="76">'415'!$E$36:$E$45</definedName>
    <definedName name="OSRRefE21_1x_0" localSheetId="77">'418'!$E$32:$E$41</definedName>
    <definedName name="OSRRefE21_1x_0" localSheetId="78">'423'!$E$28:$E$37</definedName>
    <definedName name="OSRRefE21_1x_0" localSheetId="83">'430'!$E$29:$E$38</definedName>
    <definedName name="OSRRefE21_1x_0" localSheetId="84">'433'!$E$32:$E$41</definedName>
    <definedName name="OSRRefE21_1x_0" localSheetId="85">'444'!$E$37:$E$46</definedName>
    <definedName name="OSRRefE21_1x_0" localSheetId="86">'450'!$E$32:$E$41</definedName>
    <definedName name="OSRRefE21_1x_0" localSheetId="71">'491'!$E$36:$E$45</definedName>
    <definedName name="OSRRefE21_1x_0" localSheetId="82">'492'!$E$37:$E$46</definedName>
    <definedName name="OSRRefE21_1x_0" localSheetId="88">'501'!$E$30:$E$39</definedName>
    <definedName name="OSRRefE21_1x_0" localSheetId="39">'Div 2'!$E$31:$E$40</definedName>
    <definedName name="OSRRefE21_1x_0" localSheetId="41">'Div 3'!$E$57:$E$66</definedName>
    <definedName name="OSRRefE21_1x_0" localSheetId="69">'Div 4'!$E$39:$E$48</definedName>
    <definedName name="OSRRefE21_1x_0" localSheetId="87">'Div 5'!$E$30:$E$39</definedName>
    <definedName name="OSRRefE21_1x_0" localSheetId="61">'Div 6'!$E$44:$E$53</definedName>
    <definedName name="OSRRefE21_1x_0" localSheetId="2">Summary!$E$68:$E$77</definedName>
    <definedName name="OSRRefE21_1x_1" localSheetId="40">'200'!$F$21</definedName>
    <definedName name="OSRRefE21_1x_1" localSheetId="42">'201'!$F$29:$F$38</definedName>
    <definedName name="OSRRefE21_1x_1" localSheetId="43">'202'!$F$29:$F$38</definedName>
    <definedName name="OSRRefE21_1x_1" localSheetId="44">'203'!$F$30:$F$39</definedName>
    <definedName name="OSRRefE21_1x_1" localSheetId="45">'204'!$F$29:$F$38</definedName>
    <definedName name="OSRRefE21_1x_1" localSheetId="46">'205'!$F$29:$F$38</definedName>
    <definedName name="OSRRefE21_1x_1" localSheetId="47">'206'!$F$29:$F$38</definedName>
    <definedName name="OSRRefE21_1x_1" localSheetId="48">'300'!$F$56:$F$65</definedName>
    <definedName name="OSRRefE21_1x_1" localSheetId="49">'300 &amp; 317'!$F$62:$F$71</definedName>
    <definedName name="OSRRefE21_1x_1" localSheetId="50">'301'!$F$30:$F$39</definedName>
    <definedName name="OSRRefE21_1x_1" localSheetId="52">'307'!$F$31:$F$40</definedName>
    <definedName name="OSRRefE21_1x_1" localSheetId="53">'308'!$F$44:$F$53</definedName>
    <definedName name="OSRRefE21_1x_1" localSheetId="64">'309'!$F$21</definedName>
    <definedName name="OSRRefE21_1x_1" localSheetId="63">'310'!$F$32:$F$41</definedName>
    <definedName name="OSRRefE21_1x_1" localSheetId="70">'310 &amp; 491'!$F$36:$F$45</definedName>
    <definedName name="OSRRefE21_1x_1" localSheetId="54">'311'!$F$44:$F$53</definedName>
    <definedName name="OSRRefE21_1x_1" localSheetId="57">'315'!$F$48:$F$57</definedName>
    <definedName name="OSRRefE21_1x_1" localSheetId="60">'316'!$F$33:$F$42</definedName>
    <definedName name="OSRRefE21_1x_1" localSheetId="62">'317'!$F$44:$F$53</definedName>
    <definedName name="OSRRefE21_1x_1" localSheetId="66">'321'!$F$31:$F$40</definedName>
    <definedName name="OSRRefE21_1x_1" localSheetId="67">'325'!$F$32:$F$41</definedName>
    <definedName name="OSRRefE21_1x_1" localSheetId="58">'326'!$F$34:$F$43</definedName>
    <definedName name="OSRRefE21_1x_1" localSheetId="51">'330'!$F$31:$F$40</definedName>
    <definedName name="OSRRefE21_1x_1" localSheetId="56">'331'!$F$48:$F$57</definedName>
    <definedName name="OSRRefE21_1x_1" localSheetId="59">'332'!$F$33:$F$42</definedName>
    <definedName name="OSRRefE21_1x_1" localSheetId="72">'405'!$F$32:$F$41</definedName>
    <definedName name="OSRRefE21_1x_1" localSheetId="73">'411'!$F$29:$F$38</definedName>
    <definedName name="OSRRefE21_1x_1" localSheetId="74">'412'!$F$21</definedName>
    <definedName name="OSRRefE21_1x_1" localSheetId="76">'415'!$F$36:$F$45</definedName>
    <definedName name="OSRRefE21_1x_1" localSheetId="77">'418'!$F$32:$F$41</definedName>
    <definedName name="OSRRefE21_1x_1" localSheetId="78">'423'!$F$28:$F$37</definedName>
    <definedName name="OSRRefE21_1x_1" localSheetId="83">'430'!$F$29:$F$38</definedName>
    <definedName name="OSRRefE21_1x_1" localSheetId="84">'433'!$F$32:$F$41</definedName>
    <definedName name="OSRRefE21_1x_1" localSheetId="85">'444'!$F$37:$F$46</definedName>
    <definedName name="OSRRefE21_1x_1" localSheetId="86">'450'!$F$32:$F$41</definedName>
    <definedName name="OSRRefE21_1x_1" localSheetId="71">'491'!$F$36:$F$45</definedName>
    <definedName name="OSRRefE21_1x_1" localSheetId="82">'492'!$F$37:$F$46</definedName>
    <definedName name="OSRRefE21_1x_1" localSheetId="88">'501'!$F$30:$F$39</definedName>
    <definedName name="OSRRefE21_1x_1" localSheetId="39">'Div 2'!$F$31:$F$40</definedName>
    <definedName name="OSRRefE21_1x_1" localSheetId="41">'Div 3'!$F$57:$F$66</definedName>
    <definedName name="OSRRefE21_1x_1" localSheetId="69">'Div 4'!$F$39:$F$48</definedName>
    <definedName name="OSRRefE21_1x_1" localSheetId="87">'Div 5'!$F$30:$F$39</definedName>
    <definedName name="OSRRefE21_1x_1" localSheetId="61">'Div 6'!$F$44:$F$53</definedName>
    <definedName name="OSRRefE21_1x_1" localSheetId="2">Summary!$F$68:$F$77</definedName>
    <definedName name="OSRRefE21_1x_10" localSheetId="40">'200'!$O$21</definedName>
    <definedName name="OSRRefE21_1x_10" localSheetId="42">'201'!$O$29:$O$38</definedName>
    <definedName name="OSRRefE21_1x_10" localSheetId="43">'202'!$O$29:$O$38</definedName>
    <definedName name="OSRRefE21_1x_10" localSheetId="44">'203'!$O$30:$O$39</definedName>
    <definedName name="OSRRefE21_1x_10" localSheetId="45">'204'!$O$29:$O$38</definedName>
    <definedName name="OSRRefE21_1x_10" localSheetId="46">'205'!$O$29:$O$38</definedName>
    <definedName name="OSRRefE21_1x_10" localSheetId="47">'206'!$O$29:$O$38</definedName>
    <definedName name="OSRRefE21_1x_10" localSheetId="48">'300'!$O$56:$O$65</definedName>
    <definedName name="OSRRefE21_1x_10" localSheetId="49">'300 &amp; 317'!$O$62:$O$71</definedName>
    <definedName name="OSRRefE21_1x_10" localSheetId="50">'301'!$O$30:$O$39</definedName>
    <definedName name="OSRRefE21_1x_10" localSheetId="52">'307'!$O$31:$O$40</definedName>
    <definedName name="OSRRefE21_1x_10" localSheetId="53">'308'!$O$44:$O$53</definedName>
    <definedName name="OSRRefE21_1x_10" localSheetId="64">'309'!$O$21</definedName>
    <definedName name="OSRRefE21_1x_10" localSheetId="63">'310'!$O$32:$O$41</definedName>
    <definedName name="OSRRefE21_1x_10" localSheetId="70">'310 &amp; 491'!$O$36:$O$45</definedName>
    <definedName name="OSRRefE21_1x_10" localSheetId="54">'311'!$O$44:$O$53</definedName>
    <definedName name="OSRRefE21_1x_10" localSheetId="57">'315'!$O$48:$O$57</definedName>
    <definedName name="OSRRefE21_1x_10" localSheetId="60">'316'!$O$33:$O$42</definedName>
    <definedName name="OSRRefE21_1x_10" localSheetId="62">'317'!$O$44:$O$53</definedName>
    <definedName name="OSRRefE21_1x_10" localSheetId="66">'321'!$O$31:$O$40</definedName>
    <definedName name="OSRRefE21_1x_10" localSheetId="67">'325'!$O$32:$O$41</definedName>
    <definedName name="OSRRefE21_1x_10" localSheetId="58">'326'!$O$34:$O$43</definedName>
    <definedName name="OSRRefE21_1x_10" localSheetId="51">'330'!$O$31:$O$40</definedName>
    <definedName name="OSRRefE21_1x_10" localSheetId="56">'331'!$O$48:$O$57</definedName>
    <definedName name="OSRRefE21_1x_10" localSheetId="59">'332'!$O$33:$O$42</definedName>
    <definedName name="OSRRefE21_1x_10" localSheetId="72">'405'!$O$32:$O$41</definedName>
    <definedName name="OSRRefE21_1x_10" localSheetId="73">'411'!$O$29:$O$38</definedName>
    <definedName name="OSRRefE21_1x_10" localSheetId="74">'412'!$O$21</definedName>
    <definedName name="OSRRefE21_1x_10" localSheetId="76">'415'!$O$36:$O$45</definedName>
    <definedName name="OSRRefE21_1x_10" localSheetId="77">'418'!$O$32:$O$41</definedName>
    <definedName name="OSRRefE21_1x_10" localSheetId="78">'423'!$O$28:$O$37</definedName>
    <definedName name="OSRRefE21_1x_10" localSheetId="83">'430'!$O$29:$O$38</definedName>
    <definedName name="OSRRefE21_1x_10" localSheetId="84">'433'!$O$32:$O$41</definedName>
    <definedName name="OSRRefE21_1x_10" localSheetId="85">'444'!$O$37:$O$46</definedName>
    <definedName name="OSRRefE21_1x_10" localSheetId="86">'450'!$O$32:$O$41</definedName>
    <definedName name="OSRRefE21_1x_10" localSheetId="71">'491'!$O$36:$O$45</definedName>
    <definedName name="OSRRefE21_1x_10" localSheetId="82">'492'!$O$37:$O$46</definedName>
    <definedName name="OSRRefE21_1x_10" localSheetId="88">'501'!$O$30:$O$39</definedName>
    <definedName name="OSRRefE21_1x_10" localSheetId="39">'Div 2'!$O$31:$O$40</definedName>
    <definedName name="OSRRefE21_1x_10" localSheetId="41">'Div 3'!$O$57:$O$66</definedName>
    <definedName name="OSRRefE21_1x_10" localSheetId="69">'Div 4'!$O$39:$O$48</definedName>
    <definedName name="OSRRefE21_1x_10" localSheetId="87">'Div 5'!$O$30:$O$39</definedName>
    <definedName name="OSRRefE21_1x_10" localSheetId="61">'Div 6'!$O$44:$O$53</definedName>
    <definedName name="OSRRefE21_1x_10" localSheetId="2">Summary!$O$68:$O$77</definedName>
    <definedName name="OSRRefE21_1x_2" localSheetId="40">'200'!$G$21</definedName>
    <definedName name="OSRRefE21_1x_2" localSheetId="42">'201'!$G$29:$G$38</definedName>
    <definedName name="OSRRefE21_1x_2" localSheetId="43">'202'!$G$29:$G$38</definedName>
    <definedName name="OSRRefE21_1x_2" localSheetId="44">'203'!$G$30:$G$39</definedName>
    <definedName name="OSRRefE21_1x_2" localSheetId="45">'204'!$G$29:$G$38</definedName>
    <definedName name="OSRRefE21_1x_2" localSheetId="46">'205'!$G$29:$G$38</definedName>
    <definedName name="OSRRefE21_1x_2" localSheetId="47">'206'!$G$29:$G$38</definedName>
    <definedName name="OSRRefE21_1x_2" localSheetId="48">'300'!$G$56:$G$65</definedName>
    <definedName name="OSRRefE21_1x_2" localSheetId="49">'300 &amp; 317'!$G$62:$G$71</definedName>
    <definedName name="OSRRefE21_1x_2" localSheetId="50">'301'!$G$30:$G$39</definedName>
    <definedName name="OSRRefE21_1x_2" localSheetId="52">'307'!$G$31:$G$40</definedName>
    <definedName name="OSRRefE21_1x_2" localSheetId="53">'308'!$G$44:$G$53</definedName>
    <definedName name="OSRRefE21_1x_2" localSheetId="64">'309'!$G$21</definedName>
    <definedName name="OSRRefE21_1x_2" localSheetId="63">'310'!$G$32:$G$41</definedName>
    <definedName name="OSRRefE21_1x_2" localSheetId="70">'310 &amp; 491'!$G$36:$G$45</definedName>
    <definedName name="OSRRefE21_1x_2" localSheetId="54">'311'!$G$44:$G$53</definedName>
    <definedName name="OSRRefE21_1x_2" localSheetId="57">'315'!$G$48:$G$57</definedName>
    <definedName name="OSRRefE21_1x_2" localSheetId="60">'316'!$G$33:$G$42</definedName>
    <definedName name="OSRRefE21_1x_2" localSheetId="62">'317'!$G$44:$G$53</definedName>
    <definedName name="OSRRefE21_1x_2" localSheetId="66">'321'!$G$31:$G$40</definedName>
    <definedName name="OSRRefE21_1x_2" localSheetId="67">'325'!$G$32:$G$41</definedName>
    <definedName name="OSRRefE21_1x_2" localSheetId="58">'326'!$G$34:$G$43</definedName>
    <definedName name="OSRRefE21_1x_2" localSheetId="51">'330'!$G$31:$G$40</definedName>
    <definedName name="OSRRefE21_1x_2" localSheetId="56">'331'!$G$48:$G$57</definedName>
    <definedName name="OSRRefE21_1x_2" localSheetId="59">'332'!$G$33:$G$42</definedName>
    <definedName name="OSRRefE21_1x_2" localSheetId="72">'405'!$G$32:$G$41</definedName>
    <definedName name="OSRRefE21_1x_2" localSheetId="73">'411'!$G$29:$G$38</definedName>
    <definedName name="OSRRefE21_1x_2" localSheetId="74">'412'!$G$21</definedName>
    <definedName name="OSRRefE21_1x_2" localSheetId="76">'415'!$G$36:$G$45</definedName>
    <definedName name="OSRRefE21_1x_2" localSheetId="77">'418'!$G$32:$G$41</definedName>
    <definedName name="OSRRefE21_1x_2" localSheetId="78">'423'!$G$28:$G$37</definedName>
    <definedName name="OSRRefE21_1x_2" localSheetId="83">'430'!$G$29:$G$38</definedName>
    <definedName name="OSRRefE21_1x_2" localSheetId="84">'433'!$G$32:$G$41</definedName>
    <definedName name="OSRRefE21_1x_2" localSheetId="85">'444'!$G$37:$G$46</definedName>
    <definedName name="OSRRefE21_1x_2" localSheetId="86">'450'!$G$32:$G$41</definedName>
    <definedName name="OSRRefE21_1x_2" localSheetId="71">'491'!$G$36:$G$45</definedName>
    <definedName name="OSRRefE21_1x_2" localSheetId="82">'492'!$G$37:$G$46</definedName>
    <definedName name="OSRRefE21_1x_2" localSheetId="88">'501'!$G$30:$G$39</definedName>
    <definedName name="OSRRefE21_1x_2" localSheetId="39">'Div 2'!$G$31:$G$40</definedName>
    <definedName name="OSRRefE21_1x_2" localSheetId="41">'Div 3'!$G$57:$G$66</definedName>
    <definedName name="OSRRefE21_1x_2" localSheetId="69">'Div 4'!$G$39:$G$48</definedName>
    <definedName name="OSRRefE21_1x_2" localSheetId="87">'Div 5'!$G$30:$G$39</definedName>
    <definedName name="OSRRefE21_1x_2" localSheetId="61">'Div 6'!$G$44:$G$53</definedName>
    <definedName name="OSRRefE21_1x_2" localSheetId="2">Summary!$G$68:$G$77</definedName>
    <definedName name="OSRRefE21_1x_3" localSheetId="40">'200'!$H$21</definedName>
    <definedName name="OSRRefE21_1x_3" localSheetId="42">'201'!$H$29:$H$38</definedName>
    <definedName name="OSRRefE21_1x_3" localSheetId="43">'202'!$H$29:$H$38</definedName>
    <definedName name="OSRRefE21_1x_3" localSheetId="44">'203'!$H$30:$H$39</definedName>
    <definedName name="OSRRefE21_1x_3" localSheetId="45">'204'!$H$29:$H$38</definedName>
    <definedName name="OSRRefE21_1x_3" localSheetId="46">'205'!$H$29:$H$38</definedName>
    <definedName name="OSRRefE21_1x_3" localSheetId="47">'206'!$H$29:$H$38</definedName>
    <definedName name="OSRRefE21_1x_3" localSheetId="48">'300'!$H$56:$H$65</definedName>
    <definedName name="OSRRefE21_1x_3" localSheetId="49">'300 &amp; 317'!$H$62:$H$71</definedName>
    <definedName name="OSRRefE21_1x_3" localSheetId="50">'301'!$H$30:$H$39</definedName>
    <definedName name="OSRRefE21_1x_3" localSheetId="52">'307'!$H$31:$H$40</definedName>
    <definedName name="OSRRefE21_1x_3" localSheetId="53">'308'!$H$44:$H$53</definedName>
    <definedName name="OSRRefE21_1x_3" localSheetId="64">'309'!$H$21</definedName>
    <definedName name="OSRRefE21_1x_3" localSheetId="63">'310'!$H$32:$H$41</definedName>
    <definedName name="OSRRefE21_1x_3" localSheetId="70">'310 &amp; 491'!$H$36:$H$45</definedName>
    <definedName name="OSRRefE21_1x_3" localSheetId="54">'311'!$H$44:$H$53</definedName>
    <definedName name="OSRRefE21_1x_3" localSheetId="57">'315'!$H$48:$H$57</definedName>
    <definedName name="OSRRefE21_1x_3" localSheetId="60">'316'!$H$33:$H$42</definedName>
    <definedName name="OSRRefE21_1x_3" localSheetId="62">'317'!$H$44:$H$53</definedName>
    <definedName name="OSRRefE21_1x_3" localSheetId="66">'321'!$H$31:$H$40</definedName>
    <definedName name="OSRRefE21_1x_3" localSheetId="67">'325'!$H$32:$H$41</definedName>
    <definedName name="OSRRefE21_1x_3" localSheetId="58">'326'!$H$34:$H$43</definedName>
    <definedName name="OSRRefE21_1x_3" localSheetId="51">'330'!$H$31:$H$40</definedName>
    <definedName name="OSRRefE21_1x_3" localSheetId="56">'331'!$H$48:$H$57</definedName>
    <definedName name="OSRRefE21_1x_3" localSheetId="59">'332'!$H$33:$H$42</definedName>
    <definedName name="OSRRefE21_1x_3" localSheetId="72">'405'!$H$32:$H$41</definedName>
    <definedName name="OSRRefE21_1x_3" localSheetId="73">'411'!$H$29:$H$38</definedName>
    <definedName name="OSRRefE21_1x_3" localSheetId="74">'412'!$H$21</definedName>
    <definedName name="OSRRefE21_1x_3" localSheetId="76">'415'!$H$36:$H$45</definedName>
    <definedName name="OSRRefE21_1x_3" localSheetId="77">'418'!$H$32:$H$41</definedName>
    <definedName name="OSRRefE21_1x_3" localSheetId="78">'423'!$H$28:$H$37</definedName>
    <definedName name="OSRRefE21_1x_3" localSheetId="83">'430'!$H$29:$H$38</definedName>
    <definedName name="OSRRefE21_1x_3" localSheetId="84">'433'!$H$32:$H$41</definedName>
    <definedName name="OSRRefE21_1x_3" localSheetId="85">'444'!$H$37:$H$46</definedName>
    <definedName name="OSRRefE21_1x_3" localSheetId="86">'450'!$H$32:$H$41</definedName>
    <definedName name="OSRRefE21_1x_3" localSheetId="71">'491'!$H$36:$H$45</definedName>
    <definedName name="OSRRefE21_1x_3" localSheetId="82">'492'!$H$37:$H$46</definedName>
    <definedName name="OSRRefE21_1x_3" localSheetId="88">'501'!$H$30:$H$39</definedName>
    <definedName name="OSRRefE21_1x_3" localSheetId="39">'Div 2'!$H$31:$H$40</definedName>
    <definedName name="OSRRefE21_1x_3" localSheetId="41">'Div 3'!$H$57:$H$66</definedName>
    <definedName name="OSRRefE21_1x_3" localSheetId="69">'Div 4'!$H$39:$H$48</definedName>
    <definedName name="OSRRefE21_1x_3" localSheetId="87">'Div 5'!$H$30:$H$39</definedName>
    <definedName name="OSRRefE21_1x_3" localSheetId="61">'Div 6'!$H$44:$H$53</definedName>
    <definedName name="OSRRefE21_1x_3" localSheetId="2">Summary!$H$68:$H$77</definedName>
    <definedName name="OSRRefE21_1x_4" localSheetId="40">'200'!$I$21</definedName>
    <definedName name="OSRRefE21_1x_4" localSheetId="42">'201'!$I$29:$I$38</definedName>
    <definedName name="OSRRefE21_1x_4" localSheetId="43">'202'!$I$29:$I$38</definedName>
    <definedName name="OSRRefE21_1x_4" localSheetId="44">'203'!$I$30:$I$39</definedName>
    <definedName name="OSRRefE21_1x_4" localSheetId="45">'204'!$I$29:$I$38</definedName>
    <definedName name="OSRRefE21_1x_4" localSheetId="46">'205'!$I$29:$I$38</definedName>
    <definedName name="OSRRefE21_1x_4" localSheetId="47">'206'!$I$29:$I$38</definedName>
    <definedName name="OSRRefE21_1x_4" localSheetId="48">'300'!$I$56:$I$65</definedName>
    <definedName name="OSRRefE21_1x_4" localSheetId="49">'300 &amp; 317'!$I$62:$I$71</definedName>
    <definedName name="OSRRefE21_1x_4" localSheetId="50">'301'!$I$30:$I$39</definedName>
    <definedName name="OSRRefE21_1x_4" localSheetId="52">'307'!$I$31:$I$40</definedName>
    <definedName name="OSRRefE21_1x_4" localSheetId="53">'308'!$I$44:$I$53</definedName>
    <definedName name="OSRRefE21_1x_4" localSheetId="64">'309'!$I$21</definedName>
    <definedName name="OSRRefE21_1x_4" localSheetId="63">'310'!$I$32:$I$41</definedName>
    <definedName name="OSRRefE21_1x_4" localSheetId="70">'310 &amp; 491'!$I$36:$I$45</definedName>
    <definedName name="OSRRefE21_1x_4" localSheetId="54">'311'!$I$44:$I$53</definedName>
    <definedName name="OSRRefE21_1x_4" localSheetId="57">'315'!$I$48:$I$57</definedName>
    <definedName name="OSRRefE21_1x_4" localSheetId="60">'316'!$I$33:$I$42</definedName>
    <definedName name="OSRRefE21_1x_4" localSheetId="62">'317'!$I$44:$I$53</definedName>
    <definedName name="OSRRefE21_1x_4" localSheetId="66">'321'!$I$31:$I$40</definedName>
    <definedName name="OSRRefE21_1x_4" localSheetId="67">'325'!$I$32:$I$41</definedName>
    <definedName name="OSRRefE21_1x_4" localSheetId="58">'326'!$I$34:$I$43</definedName>
    <definedName name="OSRRefE21_1x_4" localSheetId="51">'330'!$I$31:$I$40</definedName>
    <definedName name="OSRRefE21_1x_4" localSheetId="56">'331'!$I$48:$I$57</definedName>
    <definedName name="OSRRefE21_1x_4" localSheetId="59">'332'!$I$33:$I$42</definedName>
    <definedName name="OSRRefE21_1x_4" localSheetId="72">'405'!$I$32:$I$41</definedName>
    <definedName name="OSRRefE21_1x_4" localSheetId="73">'411'!$I$29:$I$38</definedName>
    <definedName name="OSRRefE21_1x_4" localSheetId="74">'412'!$I$21</definedName>
    <definedName name="OSRRefE21_1x_4" localSheetId="76">'415'!$I$36:$I$45</definedName>
    <definedName name="OSRRefE21_1x_4" localSheetId="77">'418'!$I$32:$I$41</definedName>
    <definedName name="OSRRefE21_1x_4" localSheetId="78">'423'!$I$28:$I$37</definedName>
    <definedName name="OSRRefE21_1x_4" localSheetId="83">'430'!$I$29:$I$38</definedName>
    <definedName name="OSRRefE21_1x_4" localSheetId="84">'433'!$I$32:$I$41</definedName>
    <definedName name="OSRRefE21_1x_4" localSheetId="85">'444'!$I$37:$I$46</definedName>
    <definedName name="OSRRefE21_1x_4" localSheetId="86">'450'!$I$32:$I$41</definedName>
    <definedName name="OSRRefE21_1x_4" localSheetId="71">'491'!$I$36:$I$45</definedName>
    <definedName name="OSRRefE21_1x_4" localSheetId="82">'492'!$I$37:$I$46</definedName>
    <definedName name="OSRRefE21_1x_4" localSheetId="88">'501'!$I$30:$I$39</definedName>
    <definedName name="OSRRefE21_1x_4" localSheetId="39">'Div 2'!$I$31:$I$40</definedName>
    <definedName name="OSRRefE21_1x_4" localSheetId="41">'Div 3'!$I$57:$I$66</definedName>
    <definedName name="OSRRefE21_1x_4" localSheetId="69">'Div 4'!$I$39:$I$48</definedName>
    <definedName name="OSRRefE21_1x_4" localSheetId="87">'Div 5'!$I$30:$I$39</definedName>
    <definedName name="OSRRefE21_1x_4" localSheetId="61">'Div 6'!$I$44:$I$53</definedName>
    <definedName name="OSRRefE21_1x_4" localSheetId="2">Summary!$I$68:$I$77</definedName>
    <definedName name="OSRRefE21_1x_5" localSheetId="40">'200'!$J$21</definedName>
    <definedName name="OSRRefE21_1x_5" localSheetId="42">'201'!$J$29:$J$38</definedName>
    <definedName name="OSRRefE21_1x_5" localSheetId="43">'202'!$J$29:$J$38</definedName>
    <definedName name="OSRRefE21_1x_5" localSheetId="44">'203'!$J$30:$J$39</definedName>
    <definedName name="OSRRefE21_1x_5" localSheetId="45">'204'!$J$29:$J$38</definedName>
    <definedName name="OSRRefE21_1x_5" localSheetId="46">'205'!$J$29:$J$38</definedName>
    <definedName name="OSRRefE21_1x_5" localSheetId="47">'206'!$J$29:$J$38</definedName>
    <definedName name="OSRRefE21_1x_5" localSheetId="48">'300'!$J$56:$J$65</definedName>
    <definedName name="OSRRefE21_1x_5" localSheetId="49">'300 &amp; 317'!$J$62:$J$71</definedName>
    <definedName name="OSRRefE21_1x_5" localSheetId="50">'301'!$J$30:$J$39</definedName>
    <definedName name="OSRRefE21_1x_5" localSheetId="52">'307'!$J$31:$J$40</definedName>
    <definedName name="OSRRefE21_1x_5" localSheetId="53">'308'!$J$44:$J$53</definedName>
    <definedName name="OSRRefE21_1x_5" localSheetId="64">'309'!$J$21</definedName>
    <definedName name="OSRRefE21_1x_5" localSheetId="63">'310'!$J$32:$J$41</definedName>
    <definedName name="OSRRefE21_1x_5" localSheetId="70">'310 &amp; 491'!$J$36:$J$45</definedName>
    <definedName name="OSRRefE21_1x_5" localSheetId="54">'311'!$J$44:$J$53</definedName>
    <definedName name="OSRRefE21_1x_5" localSheetId="57">'315'!$J$48:$J$57</definedName>
    <definedName name="OSRRefE21_1x_5" localSheetId="60">'316'!$J$33:$J$42</definedName>
    <definedName name="OSRRefE21_1x_5" localSheetId="62">'317'!$J$44:$J$53</definedName>
    <definedName name="OSRRefE21_1x_5" localSheetId="66">'321'!$J$31:$J$40</definedName>
    <definedName name="OSRRefE21_1x_5" localSheetId="67">'325'!$J$32:$J$41</definedName>
    <definedName name="OSRRefE21_1x_5" localSheetId="58">'326'!$J$34:$J$43</definedName>
    <definedName name="OSRRefE21_1x_5" localSheetId="51">'330'!$J$31:$J$40</definedName>
    <definedName name="OSRRefE21_1x_5" localSheetId="56">'331'!$J$48:$J$57</definedName>
    <definedName name="OSRRefE21_1x_5" localSheetId="59">'332'!$J$33:$J$42</definedName>
    <definedName name="OSRRefE21_1x_5" localSheetId="72">'405'!$J$32:$J$41</definedName>
    <definedName name="OSRRefE21_1x_5" localSheetId="73">'411'!$J$29:$J$38</definedName>
    <definedName name="OSRRefE21_1x_5" localSheetId="74">'412'!$J$21</definedName>
    <definedName name="OSRRefE21_1x_5" localSheetId="76">'415'!$J$36:$J$45</definedName>
    <definedName name="OSRRefE21_1x_5" localSheetId="77">'418'!$J$32:$J$41</definedName>
    <definedName name="OSRRefE21_1x_5" localSheetId="78">'423'!$J$28:$J$37</definedName>
    <definedName name="OSRRefE21_1x_5" localSheetId="83">'430'!$J$29:$J$38</definedName>
    <definedName name="OSRRefE21_1x_5" localSheetId="84">'433'!$J$32:$J$41</definedName>
    <definedName name="OSRRefE21_1x_5" localSheetId="85">'444'!$J$37:$J$46</definedName>
    <definedName name="OSRRefE21_1x_5" localSheetId="86">'450'!$J$32:$J$41</definedName>
    <definedName name="OSRRefE21_1x_5" localSheetId="71">'491'!$J$36:$J$45</definedName>
    <definedName name="OSRRefE21_1x_5" localSheetId="82">'492'!$J$37:$J$46</definedName>
    <definedName name="OSRRefE21_1x_5" localSheetId="88">'501'!$J$30:$J$39</definedName>
    <definedName name="OSRRefE21_1x_5" localSheetId="39">'Div 2'!$J$31:$J$40</definedName>
    <definedName name="OSRRefE21_1x_5" localSheetId="41">'Div 3'!$J$57:$J$66</definedName>
    <definedName name="OSRRefE21_1x_5" localSheetId="69">'Div 4'!$J$39:$J$48</definedName>
    <definedName name="OSRRefE21_1x_5" localSheetId="87">'Div 5'!$J$30:$J$39</definedName>
    <definedName name="OSRRefE21_1x_5" localSheetId="61">'Div 6'!$J$44:$J$53</definedName>
    <definedName name="OSRRefE21_1x_5" localSheetId="2">Summary!$J$68:$J$77</definedName>
    <definedName name="OSRRefE21_1x_6" localSheetId="40">'200'!$K$21</definedName>
    <definedName name="OSRRefE21_1x_6" localSheetId="42">'201'!$K$29:$K$38</definedName>
    <definedName name="OSRRefE21_1x_6" localSheetId="43">'202'!$K$29:$K$38</definedName>
    <definedName name="OSRRefE21_1x_6" localSheetId="44">'203'!$K$30:$K$39</definedName>
    <definedName name="OSRRefE21_1x_6" localSheetId="45">'204'!$K$29:$K$38</definedName>
    <definedName name="OSRRefE21_1x_6" localSheetId="46">'205'!$K$29:$K$38</definedName>
    <definedName name="OSRRefE21_1x_6" localSheetId="47">'206'!$K$29:$K$38</definedName>
    <definedName name="OSRRefE21_1x_6" localSheetId="48">'300'!$K$56:$K$65</definedName>
    <definedName name="OSRRefE21_1x_6" localSheetId="49">'300 &amp; 317'!$K$62:$K$71</definedName>
    <definedName name="OSRRefE21_1x_6" localSheetId="50">'301'!$K$30:$K$39</definedName>
    <definedName name="OSRRefE21_1x_6" localSheetId="52">'307'!$K$31:$K$40</definedName>
    <definedName name="OSRRefE21_1x_6" localSheetId="53">'308'!$K$44:$K$53</definedName>
    <definedName name="OSRRefE21_1x_6" localSheetId="64">'309'!$K$21</definedName>
    <definedName name="OSRRefE21_1x_6" localSheetId="63">'310'!$K$32:$K$41</definedName>
    <definedName name="OSRRefE21_1x_6" localSheetId="70">'310 &amp; 491'!$K$36:$K$45</definedName>
    <definedName name="OSRRefE21_1x_6" localSheetId="54">'311'!$K$44:$K$53</definedName>
    <definedName name="OSRRefE21_1x_6" localSheetId="57">'315'!$K$48:$K$57</definedName>
    <definedName name="OSRRefE21_1x_6" localSheetId="60">'316'!$K$33:$K$42</definedName>
    <definedName name="OSRRefE21_1x_6" localSheetId="62">'317'!$K$44:$K$53</definedName>
    <definedName name="OSRRefE21_1x_6" localSheetId="66">'321'!$K$31:$K$40</definedName>
    <definedName name="OSRRefE21_1x_6" localSheetId="67">'325'!$K$32:$K$41</definedName>
    <definedName name="OSRRefE21_1x_6" localSheetId="58">'326'!$K$34:$K$43</definedName>
    <definedName name="OSRRefE21_1x_6" localSheetId="51">'330'!$K$31:$K$40</definedName>
    <definedName name="OSRRefE21_1x_6" localSheetId="56">'331'!$K$48:$K$57</definedName>
    <definedName name="OSRRefE21_1x_6" localSheetId="59">'332'!$K$33:$K$42</definedName>
    <definedName name="OSRRefE21_1x_6" localSheetId="72">'405'!$K$32:$K$41</definedName>
    <definedName name="OSRRefE21_1x_6" localSheetId="73">'411'!$K$29:$K$38</definedName>
    <definedName name="OSRRefE21_1x_6" localSheetId="74">'412'!$K$21</definedName>
    <definedName name="OSRRefE21_1x_6" localSheetId="76">'415'!$K$36:$K$45</definedName>
    <definedName name="OSRRefE21_1x_6" localSheetId="77">'418'!$K$32:$K$41</definedName>
    <definedName name="OSRRefE21_1x_6" localSheetId="78">'423'!$K$28:$K$37</definedName>
    <definedName name="OSRRefE21_1x_6" localSheetId="83">'430'!$K$29:$K$38</definedName>
    <definedName name="OSRRefE21_1x_6" localSheetId="84">'433'!$K$32:$K$41</definedName>
    <definedName name="OSRRefE21_1x_6" localSheetId="85">'444'!$K$37:$K$46</definedName>
    <definedName name="OSRRefE21_1x_6" localSheetId="86">'450'!$K$32:$K$41</definedName>
    <definedName name="OSRRefE21_1x_6" localSheetId="71">'491'!$K$36:$K$45</definedName>
    <definedName name="OSRRefE21_1x_6" localSheetId="82">'492'!$K$37:$K$46</definedName>
    <definedName name="OSRRefE21_1x_6" localSheetId="88">'501'!$K$30:$K$39</definedName>
    <definedName name="OSRRefE21_1x_6" localSheetId="39">'Div 2'!$K$31:$K$40</definedName>
    <definedName name="OSRRefE21_1x_6" localSheetId="41">'Div 3'!$K$57:$K$66</definedName>
    <definedName name="OSRRefE21_1x_6" localSheetId="69">'Div 4'!$K$39:$K$48</definedName>
    <definedName name="OSRRefE21_1x_6" localSheetId="87">'Div 5'!$K$30:$K$39</definedName>
    <definedName name="OSRRefE21_1x_6" localSheetId="61">'Div 6'!$K$44:$K$53</definedName>
    <definedName name="OSRRefE21_1x_6" localSheetId="2">Summary!$K$68:$K$77</definedName>
    <definedName name="OSRRefE21_1x_7" localSheetId="40">'200'!$L$21</definedName>
    <definedName name="OSRRefE21_1x_7" localSheetId="42">'201'!$L$29:$L$38</definedName>
    <definedName name="OSRRefE21_1x_7" localSheetId="43">'202'!$L$29:$L$38</definedName>
    <definedName name="OSRRefE21_1x_7" localSheetId="44">'203'!$L$30:$L$39</definedName>
    <definedName name="OSRRefE21_1x_7" localSheetId="45">'204'!$L$29:$L$38</definedName>
    <definedName name="OSRRefE21_1x_7" localSheetId="46">'205'!$L$29:$L$38</definedName>
    <definedName name="OSRRefE21_1x_7" localSheetId="47">'206'!$L$29:$L$38</definedName>
    <definedName name="OSRRefE21_1x_7" localSheetId="48">'300'!$L$56:$L$65</definedName>
    <definedName name="OSRRefE21_1x_7" localSheetId="49">'300 &amp; 317'!$L$62:$L$71</definedName>
    <definedName name="OSRRefE21_1x_7" localSheetId="50">'301'!$L$30:$L$39</definedName>
    <definedName name="OSRRefE21_1x_7" localSheetId="52">'307'!$L$31:$L$40</definedName>
    <definedName name="OSRRefE21_1x_7" localSheetId="53">'308'!$L$44:$L$53</definedName>
    <definedName name="OSRRefE21_1x_7" localSheetId="64">'309'!$L$21</definedName>
    <definedName name="OSRRefE21_1x_7" localSheetId="63">'310'!$L$32:$L$41</definedName>
    <definedName name="OSRRefE21_1x_7" localSheetId="70">'310 &amp; 491'!$L$36:$L$45</definedName>
    <definedName name="OSRRefE21_1x_7" localSheetId="54">'311'!$L$44:$L$53</definedName>
    <definedName name="OSRRefE21_1x_7" localSheetId="57">'315'!$L$48:$L$57</definedName>
    <definedName name="OSRRefE21_1x_7" localSheetId="60">'316'!$L$33:$L$42</definedName>
    <definedName name="OSRRefE21_1x_7" localSheetId="62">'317'!$L$44:$L$53</definedName>
    <definedName name="OSRRefE21_1x_7" localSheetId="66">'321'!$L$31:$L$40</definedName>
    <definedName name="OSRRefE21_1x_7" localSheetId="67">'325'!$L$32:$L$41</definedName>
    <definedName name="OSRRefE21_1x_7" localSheetId="58">'326'!$L$34:$L$43</definedName>
    <definedName name="OSRRefE21_1x_7" localSheetId="51">'330'!$L$31:$L$40</definedName>
    <definedName name="OSRRefE21_1x_7" localSheetId="56">'331'!$L$48:$L$57</definedName>
    <definedName name="OSRRefE21_1x_7" localSheetId="59">'332'!$L$33:$L$42</definedName>
    <definedName name="OSRRefE21_1x_7" localSheetId="72">'405'!$L$32:$L$41</definedName>
    <definedName name="OSRRefE21_1x_7" localSheetId="73">'411'!$L$29:$L$38</definedName>
    <definedName name="OSRRefE21_1x_7" localSheetId="74">'412'!$L$21</definedName>
    <definedName name="OSRRefE21_1x_7" localSheetId="76">'415'!$L$36:$L$45</definedName>
    <definedName name="OSRRefE21_1x_7" localSheetId="77">'418'!$L$32:$L$41</definedName>
    <definedName name="OSRRefE21_1x_7" localSheetId="78">'423'!$L$28:$L$37</definedName>
    <definedName name="OSRRefE21_1x_7" localSheetId="83">'430'!$L$29:$L$38</definedName>
    <definedName name="OSRRefE21_1x_7" localSheetId="84">'433'!$L$32:$L$41</definedName>
    <definedName name="OSRRefE21_1x_7" localSheetId="85">'444'!$L$37:$L$46</definedName>
    <definedName name="OSRRefE21_1x_7" localSheetId="86">'450'!$L$32:$L$41</definedName>
    <definedName name="OSRRefE21_1x_7" localSheetId="71">'491'!$L$36:$L$45</definedName>
    <definedName name="OSRRefE21_1x_7" localSheetId="82">'492'!$L$37:$L$46</definedName>
    <definedName name="OSRRefE21_1x_7" localSheetId="88">'501'!$L$30:$L$39</definedName>
    <definedName name="OSRRefE21_1x_7" localSheetId="39">'Div 2'!$L$31:$L$40</definedName>
    <definedName name="OSRRefE21_1x_7" localSheetId="41">'Div 3'!$L$57:$L$66</definedName>
    <definedName name="OSRRefE21_1x_7" localSheetId="69">'Div 4'!$L$39:$L$48</definedName>
    <definedName name="OSRRefE21_1x_7" localSheetId="87">'Div 5'!$L$30:$L$39</definedName>
    <definedName name="OSRRefE21_1x_7" localSheetId="61">'Div 6'!$L$44:$L$53</definedName>
    <definedName name="OSRRefE21_1x_7" localSheetId="2">Summary!$L$68:$L$77</definedName>
    <definedName name="OSRRefE21_1x_8" localSheetId="40">'200'!$M$21</definedName>
    <definedName name="OSRRefE21_1x_8" localSheetId="42">'201'!$M$29:$M$38</definedName>
    <definedName name="OSRRefE21_1x_8" localSheetId="43">'202'!$M$29:$M$38</definedName>
    <definedName name="OSRRefE21_1x_8" localSheetId="44">'203'!$M$30:$M$39</definedName>
    <definedName name="OSRRefE21_1x_8" localSheetId="45">'204'!$M$29:$M$38</definedName>
    <definedName name="OSRRefE21_1x_8" localSheetId="46">'205'!$M$29:$M$38</definedName>
    <definedName name="OSRRefE21_1x_8" localSheetId="47">'206'!$M$29:$M$38</definedName>
    <definedName name="OSRRefE21_1x_8" localSheetId="48">'300'!$M$56:$M$65</definedName>
    <definedName name="OSRRefE21_1x_8" localSheetId="49">'300 &amp; 317'!$M$62:$M$71</definedName>
    <definedName name="OSRRefE21_1x_8" localSheetId="50">'301'!$M$30:$M$39</definedName>
    <definedName name="OSRRefE21_1x_8" localSheetId="52">'307'!$M$31:$M$40</definedName>
    <definedName name="OSRRefE21_1x_8" localSheetId="53">'308'!$M$44:$M$53</definedName>
    <definedName name="OSRRefE21_1x_8" localSheetId="64">'309'!$M$21</definedName>
    <definedName name="OSRRefE21_1x_8" localSheetId="63">'310'!$M$32:$M$41</definedName>
    <definedName name="OSRRefE21_1x_8" localSheetId="70">'310 &amp; 491'!$M$36:$M$45</definedName>
    <definedName name="OSRRefE21_1x_8" localSheetId="54">'311'!$M$44:$M$53</definedName>
    <definedName name="OSRRefE21_1x_8" localSheetId="57">'315'!$M$48:$M$57</definedName>
    <definedName name="OSRRefE21_1x_8" localSheetId="60">'316'!$M$33:$M$42</definedName>
    <definedName name="OSRRefE21_1x_8" localSheetId="62">'317'!$M$44:$M$53</definedName>
    <definedName name="OSRRefE21_1x_8" localSheetId="66">'321'!$M$31:$M$40</definedName>
    <definedName name="OSRRefE21_1x_8" localSheetId="67">'325'!$M$32:$M$41</definedName>
    <definedName name="OSRRefE21_1x_8" localSheetId="58">'326'!$M$34:$M$43</definedName>
    <definedName name="OSRRefE21_1x_8" localSheetId="51">'330'!$M$31:$M$40</definedName>
    <definedName name="OSRRefE21_1x_8" localSheetId="56">'331'!$M$48:$M$57</definedName>
    <definedName name="OSRRefE21_1x_8" localSheetId="59">'332'!$M$33:$M$42</definedName>
    <definedName name="OSRRefE21_1x_8" localSheetId="72">'405'!$M$32:$M$41</definedName>
    <definedName name="OSRRefE21_1x_8" localSheetId="73">'411'!$M$29:$M$38</definedName>
    <definedName name="OSRRefE21_1x_8" localSheetId="74">'412'!$M$21</definedName>
    <definedName name="OSRRefE21_1x_8" localSheetId="76">'415'!$M$36:$M$45</definedName>
    <definedName name="OSRRefE21_1x_8" localSheetId="77">'418'!$M$32:$M$41</definedName>
    <definedName name="OSRRefE21_1x_8" localSheetId="78">'423'!$M$28:$M$37</definedName>
    <definedName name="OSRRefE21_1x_8" localSheetId="83">'430'!$M$29:$M$38</definedName>
    <definedName name="OSRRefE21_1x_8" localSheetId="84">'433'!$M$32:$M$41</definedName>
    <definedName name="OSRRefE21_1x_8" localSheetId="85">'444'!$M$37:$M$46</definedName>
    <definedName name="OSRRefE21_1x_8" localSheetId="86">'450'!$M$32:$M$41</definedName>
    <definedName name="OSRRefE21_1x_8" localSheetId="71">'491'!$M$36:$M$45</definedName>
    <definedName name="OSRRefE21_1x_8" localSheetId="82">'492'!$M$37:$M$46</definedName>
    <definedName name="OSRRefE21_1x_8" localSheetId="88">'501'!$M$30:$M$39</definedName>
    <definedName name="OSRRefE21_1x_8" localSheetId="39">'Div 2'!$M$31:$M$40</definedName>
    <definedName name="OSRRefE21_1x_8" localSheetId="41">'Div 3'!$M$57:$M$66</definedName>
    <definedName name="OSRRefE21_1x_8" localSheetId="69">'Div 4'!$M$39:$M$48</definedName>
    <definedName name="OSRRefE21_1x_8" localSheetId="87">'Div 5'!$M$30:$M$39</definedName>
    <definedName name="OSRRefE21_1x_8" localSheetId="61">'Div 6'!$M$44:$M$53</definedName>
    <definedName name="OSRRefE21_1x_8" localSheetId="2">Summary!$M$68:$M$77</definedName>
    <definedName name="OSRRefE21_1x_9" localSheetId="40">'200'!$N$21</definedName>
    <definedName name="OSRRefE21_1x_9" localSheetId="42">'201'!$N$29:$N$38</definedName>
    <definedName name="OSRRefE21_1x_9" localSheetId="43">'202'!$N$29:$N$38</definedName>
    <definedName name="OSRRefE21_1x_9" localSheetId="44">'203'!$N$30:$N$39</definedName>
    <definedName name="OSRRefE21_1x_9" localSheetId="45">'204'!$N$29:$N$38</definedName>
    <definedName name="OSRRefE21_1x_9" localSheetId="46">'205'!$N$29:$N$38</definedName>
    <definedName name="OSRRefE21_1x_9" localSheetId="47">'206'!$N$29:$N$38</definedName>
    <definedName name="OSRRefE21_1x_9" localSheetId="48">'300'!$N$56:$N$65</definedName>
    <definedName name="OSRRefE21_1x_9" localSheetId="49">'300 &amp; 317'!$N$62:$N$71</definedName>
    <definedName name="OSRRefE21_1x_9" localSheetId="50">'301'!$N$30:$N$39</definedName>
    <definedName name="OSRRefE21_1x_9" localSheetId="52">'307'!$N$31:$N$40</definedName>
    <definedName name="OSRRefE21_1x_9" localSheetId="53">'308'!$N$44:$N$53</definedName>
    <definedName name="OSRRefE21_1x_9" localSheetId="64">'309'!$N$21</definedName>
    <definedName name="OSRRefE21_1x_9" localSheetId="63">'310'!$N$32:$N$41</definedName>
    <definedName name="OSRRefE21_1x_9" localSheetId="70">'310 &amp; 491'!$N$36:$N$45</definedName>
    <definedName name="OSRRefE21_1x_9" localSheetId="54">'311'!$N$44:$N$53</definedName>
    <definedName name="OSRRefE21_1x_9" localSheetId="57">'315'!$N$48:$N$57</definedName>
    <definedName name="OSRRefE21_1x_9" localSheetId="60">'316'!$N$33:$N$42</definedName>
    <definedName name="OSRRefE21_1x_9" localSheetId="62">'317'!$N$44:$N$53</definedName>
    <definedName name="OSRRefE21_1x_9" localSheetId="66">'321'!$N$31:$N$40</definedName>
    <definedName name="OSRRefE21_1x_9" localSheetId="67">'325'!$N$32:$N$41</definedName>
    <definedName name="OSRRefE21_1x_9" localSheetId="58">'326'!$N$34:$N$43</definedName>
    <definedName name="OSRRefE21_1x_9" localSheetId="51">'330'!$N$31:$N$40</definedName>
    <definedName name="OSRRefE21_1x_9" localSheetId="56">'331'!$N$48:$N$57</definedName>
    <definedName name="OSRRefE21_1x_9" localSheetId="59">'332'!$N$33:$N$42</definedName>
    <definedName name="OSRRefE21_1x_9" localSheetId="72">'405'!$N$32:$N$41</definedName>
    <definedName name="OSRRefE21_1x_9" localSheetId="73">'411'!$N$29:$N$38</definedName>
    <definedName name="OSRRefE21_1x_9" localSheetId="74">'412'!$N$21</definedName>
    <definedName name="OSRRefE21_1x_9" localSheetId="76">'415'!$N$36:$N$45</definedName>
    <definedName name="OSRRefE21_1x_9" localSheetId="77">'418'!$N$32:$N$41</definedName>
    <definedName name="OSRRefE21_1x_9" localSheetId="78">'423'!$N$28:$N$37</definedName>
    <definedName name="OSRRefE21_1x_9" localSheetId="83">'430'!$N$29:$N$38</definedName>
    <definedName name="OSRRefE21_1x_9" localSheetId="84">'433'!$N$32:$N$41</definedName>
    <definedName name="OSRRefE21_1x_9" localSheetId="85">'444'!$N$37:$N$46</definedName>
    <definedName name="OSRRefE21_1x_9" localSheetId="86">'450'!$N$32:$N$41</definedName>
    <definedName name="OSRRefE21_1x_9" localSheetId="71">'491'!$N$36:$N$45</definedName>
    <definedName name="OSRRefE21_1x_9" localSheetId="82">'492'!$N$37:$N$46</definedName>
    <definedName name="OSRRefE21_1x_9" localSheetId="88">'501'!$N$30:$N$39</definedName>
    <definedName name="OSRRefE21_1x_9" localSheetId="39">'Div 2'!$N$31:$N$40</definedName>
    <definedName name="OSRRefE21_1x_9" localSheetId="41">'Div 3'!$N$57:$N$66</definedName>
    <definedName name="OSRRefE21_1x_9" localSheetId="69">'Div 4'!$N$39:$N$48</definedName>
    <definedName name="OSRRefE21_1x_9" localSheetId="87">'Div 5'!$N$30:$N$39</definedName>
    <definedName name="OSRRefE21_1x_9" localSheetId="61">'Div 6'!$N$44:$N$53</definedName>
    <definedName name="OSRRefE21_1x_9" localSheetId="2">Summary!$N$68:$N$77</definedName>
    <definedName name="OSRRefE21_2_0x" localSheetId="40">'200'!$E$23:$O$23</definedName>
    <definedName name="OSRRefE21_2_0x" localSheetId="42">'201'!$E$40:$O$40</definedName>
    <definedName name="OSRRefE21_2_0x" localSheetId="43">'202'!$E$40:$O$40</definedName>
    <definedName name="OSRRefE21_2_0x" localSheetId="44">'203'!$E$41:$O$41</definedName>
    <definedName name="OSRRefE21_2_0x" localSheetId="45">'204'!$E$40:$O$40</definedName>
    <definedName name="OSRRefE21_2_0x" localSheetId="46">'205'!$E$40:$O$40</definedName>
    <definedName name="OSRRefE21_2_0x" localSheetId="47">'206'!$E$40:$O$40</definedName>
    <definedName name="OSRRefE21_2_0x" localSheetId="48">'300'!$E$67:$O$67</definedName>
    <definedName name="OSRRefE21_2_0x" localSheetId="49">'300 &amp; 317'!$E$73:$O$73</definedName>
    <definedName name="OSRRefE21_2_0x" localSheetId="50">'301'!$E$41:$O$41</definedName>
    <definedName name="OSRRefE21_2_0x" localSheetId="52">'307'!$E$42:$O$42</definedName>
    <definedName name="OSRRefE21_2_0x" localSheetId="53">'308'!$E$55:$O$55</definedName>
    <definedName name="OSRRefE21_2_0x" localSheetId="64">'309'!$E$23:$O$23</definedName>
    <definedName name="OSRRefE21_2_0x" localSheetId="63">'310'!$E$43:$O$43</definedName>
    <definedName name="OSRRefE21_2_0x" localSheetId="70">'310 &amp; 491'!$E$47:$O$47</definedName>
    <definedName name="OSRRefE21_2_0x" localSheetId="54">'311'!$E$55:$O$55</definedName>
    <definedName name="OSRRefE21_2_0x" localSheetId="57">'315'!$E$59:$O$59</definedName>
    <definedName name="OSRRefE21_2_0x" localSheetId="60">'316'!$E$44:$O$44</definedName>
    <definedName name="OSRRefE21_2_0x" localSheetId="62">'317'!$E$55:$O$55</definedName>
    <definedName name="OSRRefE21_2_0x" localSheetId="66">'321'!$E$42:$O$42</definedName>
    <definedName name="OSRRefE21_2_0x" localSheetId="67">'325'!$E$43:$O$43</definedName>
    <definedName name="OSRRefE21_2_0x" localSheetId="58">'326'!$E$45:$O$45</definedName>
    <definedName name="OSRRefE21_2_0x" localSheetId="51">'330'!$E$42:$O$42</definedName>
    <definedName name="OSRRefE21_2_0x" localSheetId="56">'331'!$E$59:$O$59</definedName>
    <definedName name="OSRRefE21_2_0x" localSheetId="59">'332'!$E$44:$O$44</definedName>
    <definedName name="OSRRefE21_2_0x" localSheetId="72">'405'!$E$43:$O$43</definedName>
    <definedName name="OSRRefE21_2_0x" localSheetId="73">'411'!$E$40:$O$40</definedName>
    <definedName name="OSRRefE21_2_0x" localSheetId="76">'415'!$E$47:$O$47</definedName>
    <definedName name="OSRRefE21_2_0x" localSheetId="77">'418'!$E$43:$O$43</definedName>
    <definedName name="OSRRefE21_2_0x" localSheetId="78">'423'!$E$39:$O$39</definedName>
    <definedName name="OSRRefE21_2_0x" localSheetId="83">'430'!$E$40:$O$40</definedName>
    <definedName name="OSRRefE21_2_0x" localSheetId="84">'433'!$E$43:$O$43</definedName>
    <definedName name="OSRRefE21_2_0x" localSheetId="85">'444'!$E$48:$O$48</definedName>
    <definedName name="OSRRefE21_2_0x" localSheetId="86">'450'!$E$43:$O$43</definedName>
    <definedName name="OSRRefE21_2_0x" localSheetId="71">'491'!$E$47:$O$47</definedName>
    <definedName name="OSRRefE21_2_0x" localSheetId="82">'492'!$E$48:$O$48</definedName>
    <definedName name="OSRRefE21_2_0x" localSheetId="88">'501'!$E$41:$O$41</definedName>
    <definedName name="OSRRefE21_2_0x" localSheetId="39">'Div 2'!$E$42:$O$42</definedName>
    <definedName name="OSRRefE21_2_0x" localSheetId="41">'Div 3'!$E$68:$O$68</definedName>
    <definedName name="OSRRefE21_2_0x" localSheetId="69">'Div 4'!$E$50:$O$50</definedName>
    <definedName name="OSRRefE21_2_0x" localSheetId="87">'Div 5'!$E$41:$O$41</definedName>
    <definedName name="OSRRefE21_2_0x" localSheetId="61">'Div 6'!$E$55:$O$55</definedName>
    <definedName name="OSRRefE21_2_0x" localSheetId="2">Summary!$E$79:$O$79</definedName>
    <definedName name="OSRRefE21_2_1x" localSheetId="45">'204'!$E$41:$O$41</definedName>
    <definedName name="OSRRefE21_20_0x" localSheetId="48">'300'!$E$116:$O$116</definedName>
    <definedName name="OSRRefE21_20_0x" localSheetId="49">'300 &amp; 317'!$E$122:$O$122</definedName>
    <definedName name="OSRRefE21_20_0x" localSheetId="50">'301'!$E$86:$O$86</definedName>
    <definedName name="OSRRefE21_20_0x" localSheetId="70">'310 &amp; 491'!$E$102:$O$102</definedName>
    <definedName name="OSRRefE21_20_0x" localSheetId="41">'Div 3'!$E$117:$O$117</definedName>
    <definedName name="OSRRefE21_20_0x" localSheetId="69">'Div 4'!$E$106:$O$106</definedName>
    <definedName name="OSRRefE21_20_0x" localSheetId="2">Summary!$E$126:$O$126</definedName>
    <definedName name="OSRRefE21_20_1x" localSheetId="48">'300'!$E$117:$O$117</definedName>
    <definedName name="OSRRefE21_20_1x" localSheetId="49">'300 &amp; 317'!$E$123:$O$123</definedName>
    <definedName name="OSRRefE21_20_1x" localSheetId="41">'Div 3'!$E$118:$O$118</definedName>
    <definedName name="OSRRefE21_20_1x" localSheetId="2">Summary!$E$127:$O$127</definedName>
    <definedName name="OSRRefE21_20_2x" localSheetId="48">'300'!$E$118:$O$118</definedName>
    <definedName name="OSRRefE21_20_2x" localSheetId="49">'300 &amp; 317'!$E$124:$O$124</definedName>
    <definedName name="OSRRefE21_20_2x" localSheetId="2">Summary!$E$128:$O$128</definedName>
    <definedName name="OSRRefE21_20_3x" localSheetId="48">'300'!$E$119:$O$119</definedName>
    <definedName name="OSRRefE21_20_3x" localSheetId="49">'300 &amp; 317'!$E$125:$O$125</definedName>
    <definedName name="OSRRefE21_20_3x" localSheetId="2">Summary!$E$129:$O$129</definedName>
    <definedName name="OSRRefE21_20_4x" localSheetId="48">'300'!$E$120:$O$120</definedName>
    <definedName name="OSRRefE21_20_4x" localSheetId="49">'300 &amp; 317'!$E$126:$O$126</definedName>
    <definedName name="OSRRefE21_20_4x" localSheetId="2">Summary!$E$130:$O$130</definedName>
    <definedName name="OSRRefE21_20_5x" localSheetId="48">'300'!$E$121:$O$121</definedName>
    <definedName name="OSRRefE21_20_5x" localSheetId="49">'300 &amp; 317'!$E$127:$O$127</definedName>
    <definedName name="OSRRefE21_20_6x" localSheetId="48">'300'!$E$122:$O$122</definedName>
    <definedName name="OSRRefE21_20_6x" localSheetId="49">'300 &amp; 317'!$E$128:$O$128</definedName>
    <definedName name="OSRRefE21_20x_0" localSheetId="48">'300'!$E$116:$E$122</definedName>
    <definedName name="OSRRefE21_20x_0" localSheetId="49">'300 &amp; 317'!$E$122:$E$128</definedName>
    <definedName name="OSRRefE21_20x_0" localSheetId="50">'301'!$E$86</definedName>
    <definedName name="OSRRefE21_20x_0" localSheetId="70">'310 &amp; 491'!$E$102</definedName>
    <definedName name="OSRRefE21_20x_0" localSheetId="41">'Div 3'!$E$117:$E$118</definedName>
    <definedName name="OSRRefE21_20x_0" localSheetId="69">'Div 4'!$E$106</definedName>
    <definedName name="OSRRefE21_20x_0" localSheetId="2">Summary!$E$126:$E$130</definedName>
    <definedName name="OSRRefE21_20x_1" localSheetId="48">'300'!$F$116:$F$122</definedName>
    <definedName name="OSRRefE21_20x_1" localSheetId="49">'300 &amp; 317'!$F$122:$F$128</definedName>
    <definedName name="OSRRefE21_20x_1" localSheetId="50">'301'!$F$86</definedName>
    <definedName name="OSRRefE21_20x_1" localSheetId="70">'310 &amp; 491'!$F$102</definedName>
    <definedName name="OSRRefE21_20x_1" localSheetId="41">'Div 3'!$F$117:$F$118</definedName>
    <definedName name="OSRRefE21_20x_1" localSheetId="69">'Div 4'!$F$106</definedName>
    <definedName name="OSRRefE21_20x_1" localSheetId="2">Summary!$F$126:$F$130</definedName>
    <definedName name="OSRRefE21_20x_10" localSheetId="48">'300'!$O$116:$O$122</definedName>
    <definedName name="OSRRefE21_20x_10" localSheetId="49">'300 &amp; 317'!$O$122:$O$128</definedName>
    <definedName name="OSRRefE21_20x_10" localSheetId="50">'301'!$O$86</definedName>
    <definedName name="OSRRefE21_20x_10" localSheetId="70">'310 &amp; 491'!$O$102</definedName>
    <definedName name="OSRRefE21_20x_10" localSheetId="41">'Div 3'!$O$117:$O$118</definedName>
    <definedName name="OSRRefE21_20x_10" localSheetId="69">'Div 4'!$O$106</definedName>
    <definedName name="OSRRefE21_20x_10" localSheetId="2">Summary!$O$126:$O$130</definedName>
    <definedName name="OSRRefE21_20x_2" localSheetId="48">'300'!$G$116:$G$122</definedName>
    <definedName name="OSRRefE21_20x_2" localSheetId="49">'300 &amp; 317'!$G$122:$G$128</definedName>
    <definedName name="OSRRefE21_20x_2" localSheetId="50">'301'!$G$86</definedName>
    <definedName name="OSRRefE21_20x_2" localSheetId="70">'310 &amp; 491'!$G$102</definedName>
    <definedName name="OSRRefE21_20x_2" localSheetId="41">'Div 3'!$G$117:$G$118</definedName>
    <definedName name="OSRRefE21_20x_2" localSheetId="69">'Div 4'!$G$106</definedName>
    <definedName name="OSRRefE21_20x_2" localSheetId="2">Summary!$G$126:$G$130</definedName>
    <definedName name="OSRRefE21_20x_3" localSheetId="48">'300'!$H$116:$H$122</definedName>
    <definedName name="OSRRefE21_20x_3" localSheetId="49">'300 &amp; 317'!$H$122:$H$128</definedName>
    <definedName name="OSRRefE21_20x_3" localSheetId="50">'301'!$H$86</definedName>
    <definedName name="OSRRefE21_20x_3" localSheetId="70">'310 &amp; 491'!$H$102</definedName>
    <definedName name="OSRRefE21_20x_3" localSheetId="41">'Div 3'!$H$117:$H$118</definedName>
    <definedName name="OSRRefE21_20x_3" localSheetId="69">'Div 4'!$H$106</definedName>
    <definedName name="OSRRefE21_20x_3" localSheetId="2">Summary!$H$126:$H$130</definedName>
    <definedName name="OSRRefE21_20x_4" localSheetId="48">'300'!$I$116:$I$122</definedName>
    <definedName name="OSRRefE21_20x_4" localSheetId="49">'300 &amp; 317'!$I$122:$I$128</definedName>
    <definedName name="OSRRefE21_20x_4" localSheetId="50">'301'!$I$86</definedName>
    <definedName name="OSRRefE21_20x_4" localSheetId="70">'310 &amp; 491'!$I$102</definedName>
    <definedName name="OSRRefE21_20x_4" localSheetId="41">'Div 3'!$I$117:$I$118</definedName>
    <definedName name="OSRRefE21_20x_4" localSheetId="69">'Div 4'!$I$106</definedName>
    <definedName name="OSRRefE21_20x_4" localSheetId="2">Summary!$I$126:$I$130</definedName>
    <definedName name="OSRRefE21_20x_5" localSheetId="48">'300'!$J$116:$J$122</definedName>
    <definedName name="OSRRefE21_20x_5" localSheetId="49">'300 &amp; 317'!$J$122:$J$128</definedName>
    <definedName name="OSRRefE21_20x_5" localSheetId="50">'301'!$J$86</definedName>
    <definedName name="OSRRefE21_20x_5" localSheetId="70">'310 &amp; 491'!$J$102</definedName>
    <definedName name="OSRRefE21_20x_5" localSheetId="41">'Div 3'!$J$117:$J$118</definedName>
    <definedName name="OSRRefE21_20x_5" localSheetId="69">'Div 4'!$J$106</definedName>
    <definedName name="OSRRefE21_20x_5" localSheetId="2">Summary!$J$126:$J$130</definedName>
    <definedName name="OSRRefE21_20x_6" localSheetId="48">'300'!$K$116:$K$122</definedName>
    <definedName name="OSRRefE21_20x_6" localSheetId="49">'300 &amp; 317'!$K$122:$K$128</definedName>
    <definedName name="OSRRefE21_20x_6" localSheetId="50">'301'!$K$86</definedName>
    <definedName name="OSRRefE21_20x_6" localSheetId="70">'310 &amp; 491'!$K$102</definedName>
    <definedName name="OSRRefE21_20x_6" localSheetId="41">'Div 3'!$K$117:$K$118</definedName>
    <definedName name="OSRRefE21_20x_6" localSheetId="69">'Div 4'!$K$106</definedName>
    <definedName name="OSRRefE21_20x_6" localSheetId="2">Summary!$K$126:$K$130</definedName>
    <definedName name="OSRRefE21_20x_7" localSheetId="48">'300'!$L$116:$L$122</definedName>
    <definedName name="OSRRefE21_20x_7" localSheetId="49">'300 &amp; 317'!$L$122:$L$128</definedName>
    <definedName name="OSRRefE21_20x_7" localSheetId="50">'301'!$L$86</definedName>
    <definedName name="OSRRefE21_20x_7" localSheetId="70">'310 &amp; 491'!$L$102</definedName>
    <definedName name="OSRRefE21_20x_7" localSheetId="41">'Div 3'!$L$117:$L$118</definedName>
    <definedName name="OSRRefE21_20x_7" localSheetId="69">'Div 4'!$L$106</definedName>
    <definedName name="OSRRefE21_20x_7" localSheetId="2">Summary!$L$126:$L$130</definedName>
    <definedName name="OSRRefE21_20x_8" localSheetId="48">'300'!$M$116:$M$122</definedName>
    <definedName name="OSRRefE21_20x_8" localSheetId="49">'300 &amp; 317'!$M$122:$M$128</definedName>
    <definedName name="OSRRefE21_20x_8" localSheetId="50">'301'!$M$86</definedName>
    <definedName name="OSRRefE21_20x_8" localSheetId="70">'310 &amp; 491'!$M$102</definedName>
    <definedName name="OSRRefE21_20x_8" localSheetId="41">'Div 3'!$M$117:$M$118</definedName>
    <definedName name="OSRRefE21_20x_8" localSheetId="69">'Div 4'!$M$106</definedName>
    <definedName name="OSRRefE21_20x_8" localSheetId="2">Summary!$M$126:$M$130</definedName>
    <definedName name="OSRRefE21_20x_9" localSheetId="48">'300'!$N$116:$N$122</definedName>
    <definedName name="OSRRefE21_20x_9" localSheetId="49">'300 &amp; 317'!$N$122:$N$128</definedName>
    <definedName name="OSRRefE21_20x_9" localSheetId="50">'301'!$N$86</definedName>
    <definedName name="OSRRefE21_20x_9" localSheetId="70">'310 &amp; 491'!$N$102</definedName>
    <definedName name="OSRRefE21_20x_9" localSheetId="41">'Div 3'!$N$117:$N$118</definedName>
    <definedName name="OSRRefE21_20x_9" localSheetId="69">'Div 4'!$N$106</definedName>
    <definedName name="OSRRefE21_20x_9" localSheetId="2">Summary!$N$126:$N$130</definedName>
    <definedName name="OSRRefE21_21_0x" localSheetId="48">'300'!$E$124:$O$124</definedName>
    <definedName name="OSRRefE21_21_0x" localSheetId="49">'300 &amp; 317'!$E$130:$O$130</definedName>
    <definedName name="OSRRefE21_21_0x" localSheetId="41">'Div 3'!$E$120:$O$120</definedName>
    <definedName name="OSRRefE21_21_0x" localSheetId="69">'Div 4'!$E$108:$O$108</definedName>
    <definedName name="OSRRefE21_21_0x" localSheetId="2">Summary!$E$132:$O$132</definedName>
    <definedName name="OSRRefE21_21_1x" localSheetId="48">'300'!$E$125:$O$125</definedName>
    <definedName name="OSRRefE21_21_1x" localSheetId="49">'300 &amp; 317'!$E$131:$O$131</definedName>
    <definedName name="OSRRefE21_21_1x" localSheetId="41">'Div 3'!$E$121:$O$121</definedName>
    <definedName name="OSRRefE21_21_1x" localSheetId="2">Summary!$E$133:$O$133</definedName>
    <definedName name="OSRRefE21_21_2x" localSheetId="41">'Div 3'!$E$122:$O$122</definedName>
    <definedName name="OSRRefE21_21_3x" localSheetId="41">'Div 3'!$E$123:$O$123</definedName>
    <definedName name="OSRRefE21_21_4x" localSheetId="41">'Div 3'!$E$124:$O$124</definedName>
    <definedName name="OSRRefE21_21_5x" localSheetId="41">'Div 3'!$E$125:$O$125</definedName>
    <definedName name="OSRRefE21_21_6x" localSheetId="41">'Div 3'!$E$126:$O$126</definedName>
    <definedName name="OSRRefE21_21x_0" localSheetId="48">'300'!$E$124:$E$125</definedName>
    <definedName name="OSRRefE21_21x_0" localSheetId="49">'300 &amp; 317'!$E$130:$E$131</definedName>
    <definedName name="OSRRefE21_21x_0" localSheetId="41">'Div 3'!$E$120:$E$126</definedName>
    <definedName name="OSRRefE21_21x_0" localSheetId="69">'Div 4'!$E$108</definedName>
    <definedName name="OSRRefE21_21x_0" localSheetId="2">Summary!$E$132:$E$133</definedName>
    <definedName name="OSRRefE21_21x_1" localSheetId="48">'300'!$F$124:$F$125</definedName>
    <definedName name="OSRRefE21_21x_1" localSheetId="49">'300 &amp; 317'!$F$130:$F$131</definedName>
    <definedName name="OSRRefE21_21x_1" localSheetId="41">'Div 3'!$F$120:$F$126</definedName>
    <definedName name="OSRRefE21_21x_1" localSheetId="69">'Div 4'!$F$108</definedName>
    <definedName name="OSRRefE21_21x_1" localSheetId="2">Summary!$F$132:$F$133</definedName>
    <definedName name="OSRRefE21_21x_10" localSheetId="48">'300'!$O$124:$O$125</definedName>
    <definedName name="OSRRefE21_21x_10" localSheetId="49">'300 &amp; 317'!$O$130:$O$131</definedName>
    <definedName name="OSRRefE21_21x_10" localSheetId="41">'Div 3'!$O$120:$O$126</definedName>
    <definedName name="OSRRefE21_21x_10" localSheetId="69">'Div 4'!$O$108</definedName>
    <definedName name="OSRRefE21_21x_10" localSheetId="2">Summary!$O$132:$O$133</definedName>
    <definedName name="OSRRefE21_21x_2" localSheetId="48">'300'!$G$124:$G$125</definedName>
    <definedName name="OSRRefE21_21x_2" localSheetId="49">'300 &amp; 317'!$G$130:$G$131</definedName>
    <definedName name="OSRRefE21_21x_2" localSheetId="41">'Div 3'!$G$120:$G$126</definedName>
    <definedName name="OSRRefE21_21x_2" localSheetId="69">'Div 4'!$G$108</definedName>
    <definedName name="OSRRefE21_21x_2" localSheetId="2">Summary!$G$132:$G$133</definedName>
    <definedName name="OSRRefE21_21x_3" localSheetId="48">'300'!$H$124:$H$125</definedName>
    <definedName name="OSRRefE21_21x_3" localSheetId="49">'300 &amp; 317'!$H$130:$H$131</definedName>
    <definedName name="OSRRefE21_21x_3" localSheetId="41">'Div 3'!$H$120:$H$126</definedName>
    <definedName name="OSRRefE21_21x_3" localSheetId="69">'Div 4'!$H$108</definedName>
    <definedName name="OSRRefE21_21x_3" localSheetId="2">Summary!$H$132:$H$133</definedName>
    <definedName name="OSRRefE21_21x_4" localSheetId="48">'300'!$I$124:$I$125</definedName>
    <definedName name="OSRRefE21_21x_4" localSheetId="49">'300 &amp; 317'!$I$130:$I$131</definedName>
    <definedName name="OSRRefE21_21x_4" localSheetId="41">'Div 3'!$I$120:$I$126</definedName>
    <definedName name="OSRRefE21_21x_4" localSheetId="69">'Div 4'!$I$108</definedName>
    <definedName name="OSRRefE21_21x_4" localSheetId="2">Summary!$I$132:$I$133</definedName>
    <definedName name="OSRRefE21_21x_5" localSheetId="48">'300'!$J$124:$J$125</definedName>
    <definedName name="OSRRefE21_21x_5" localSheetId="49">'300 &amp; 317'!$J$130:$J$131</definedName>
    <definedName name="OSRRefE21_21x_5" localSheetId="41">'Div 3'!$J$120:$J$126</definedName>
    <definedName name="OSRRefE21_21x_5" localSheetId="69">'Div 4'!$J$108</definedName>
    <definedName name="OSRRefE21_21x_5" localSheetId="2">Summary!$J$132:$J$133</definedName>
    <definedName name="OSRRefE21_21x_6" localSheetId="48">'300'!$K$124:$K$125</definedName>
    <definedName name="OSRRefE21_21x_6" localSheetId="49">'300 &amp; 317'!$K$130:$K$131</definedName>
    <definedName name="OSRRefE21_21x_6" localSheetId="41">'Div 3'!$K$120:$K$126</definedName>
    <definedName name="OSRRefE21_21x_6" localSheetId="69">'Div 4'!$K$108</definedName>
    <definedName name="OSRRefE21_21x_6" localSheetId="2">Summary!$K$132:$K$133</definedName>
    <definedName name="OSRRefE21_21x_7" localSheetId="48">'300'!$L$124:$L$125</definedName>
    <definedName name="OSRRefE21_21x_7" localSheetId="49">'300 &amp; 317'!$L$130:$L$131</definedName>
    <definedName name="OSRRefE21_21x_7" localSheetId="41">'Div 3'!$L$120:$L$126</definedName>
    <definedName name="OSRRefE21_21x_7" localSheetId="69">'Div 4'!$L$108</definedName>
    <definedName name="OSRRefE21_21x_7" localSheetId="2">Summary!$L$132:$L$133</definedName>
    <definedName name="OSRRefE21_21x_8" localSheetId="48">'300'!$M$124:$M$125</definedName>
    <definedName name="OSRRefE21_21x_8" localSheetId="49">'300 &amp; 317'!$M$130:$M$131</definedName>
    <definedName name="OSRRefE21_21x_8" localSheetId="41">'Div 3'!$M$120:$M$126</definedName>
    <definedName name="OSRRefE21_21x_8" localSheetId="69">'Div 4'!$M$108</definedName>
    <definedName name="OSRRefE21_21x_8" localSheetId="2">Summary!$M$132:$M$133</definedName>
    <definedName name="OSRRefE21_21x_9" localSheetId="48">'300'!$N$124:$N$125</definedName>
    <definedName name="OSRRefE21_21x_9" localSheetId="49">'300 &amp; 317'!$N$130:$N$131</definedName>
    <definedName name="OSRRefE21_21x_9" localSheetId="41">'Div 3'!$N$120:$N$126</definedName>
    <definedName name="OSRRefE21_21x_9" localSheetId="69">'Div 4'!$N$108</definedName>
    <definedName name="OSRRefE21_21x_9" localSheetId="2">Summary!$N$132:$N$133</definedName>
    <definedName name="OSRRefE21_22_0x" localSheetId="48">'300'!$E$127:$O$127</definedName>
    <definedName name="OSRRefE21_22_0x" localSheetId="49">'300 &amp; 317'!$E$133:$O$133</definedName>
    <definedName name="OSRRefE21_22_0x" localSheetId="41">'Div 3'!$E$128:$O$128</definedName>
    <definedName name="OSRRefE21_22_0x" localSheetId="2">Summary!$E$135:$O$135</definedName>
    <definedName name="OSRRefE21_22_1x" localSheetId="41">'Div 3'!$E$129:$O$129</definedName>
    <definedName name="OSRRefE21_22_1x" localSheetId="2">Summary!$E$136:$O$136</definedName>
    <definedName name="OSRRefE21_22_2x" localSheetId="2">Summary!$E$137:$O$137</definedName>
    <definedName name="OSRRefE21_22_3x" localSheetId="2">Summary!$E$138:$O$138</definedName>
    <definedName name="OSRRefE21_22_4x" localSheetId="2">Summary!$E$139:$O$139</definedName>
    <definedName name="OSRRefE21_22_5x" localSheetId="2">Summary!$E$140:$O$140</definedName>
    <definedName name="OSRRefE21_22_6x" localSheetId="2">Summary!$E$141:$O$141</definedName>
    <definedName name="OSRRefE21_22_7x" localSheetId="2">Summary!$E$142:$O$142</definedName>
    <definedName name="OSRRefE21_22_8x" localSheetId="2">Summary!$E$143:$O$143</definedName>
    <definedName name="OSRRefE21_22_9x" localSheetId="2">Summary!$E$144:$O$144</definedName>
    <definedName name="OSRRefE21_22x_0" localSheetId="48">'300'!$E$127</definedName>
    <definedName name="OSRRefE21_22x_0" localSheetId="49">'300 &amp; 317'!$E$133</definedName>
    <definedName name="OSRRefE21_22x_0" localSheetId="41">'Div 3'!$E$128:$E$129</definedName>
    <definedName name="OSRRefE21_22x_0" localSheetId="2">Summary!$E$135:$E$144</definedName>
    <definedName name="OSRRefE21_22x_1" localSheetId="48">'300'!$F$127</definedName>
    <definedName name="OSRRefE21_22x_1" localSheetId="49">'300 &amp; 317'!$F$133</definedName>
    <definedName name="OSRRefE21_22x_1" localSheetId="41">'Div 3'!$F$128:$F$129</definedName>
    <definedName name="OSRRefE21_22x_1" localSheetId="2">Summary!$F$135:$F$144</definedName>
    <definedName name="OSRRefE21_22x_10" localSheetId="48">'300'!$O$127</definedName>
    <definedName name="OSRRefE21_22x_10" localSheetId="49">'300 &amp; 317'!$O$133</definedName>
    <definedName name="OSRRefE21_22x_10" localSheetId="41">'Div 3'!$O$128:$O$129</definedName>
    <definedName name="OSRRefE21_22x_10" localSheetId="2">Summary!$O$135:$O$144</definedName>
    <definedName name="OSRRefE21_22x_2" localSheetId="48">'300'!$G$127</definedName>
    <definedName name="OSRRefE21_22x_2" localSheetId="49">'300 &amp; 317'!$G$133</definedName>
    <definedName name="OSRRefE21_22x_2" localSheetId="41">'Div 3'!$G$128:$G$129</definedName>
    <definedName name="OSRRefE21_22x_2" localSheetId="2">Summary!$G$135:$G$144</definedName>
    <definedName name="OSRRefE21_22x_3" localSheetId="48">'300'!$H$127</definedName>
    <definedName name="OSRRefE21_22x_3" localSheetId="49">'300 &amp; 317'!$H$133</definedName>
    <definedName name="OSRRefE21_22x_3" localSheetId="41">'Div 3'!$H$128:$H$129</definedName>
    <definedName name="OSRRefE21_22x_3" localSheetId="2">Summary!$H$135:$H$144</definedName>
    <definedName name="OSRRefE21_22x_4" localSheetId="48">'300'!$I$127</definedName>
    <definedName name="OSRRefE21_22x_4" localSheetId="49">'300 &amp; 317'!$I$133</definedName>
    <definedName name="OSRRefE21_22x_4" localSheetId="41">'Div 3'!$I$128:$I$129</definedName>
    <definedName name="OSRRefE21_22x_4" localSheetId="2">Summary!$I$135:$I$144</definedName>
    <definedName name="OSRRefE21_22x_5" localSheetId="48">'300'!$J$127</definedName>
    <definedName name="OSRRefE21_22x_5" localSheetId="49">'300 &amp; 317'!$J$133</definedName>
    <definedName name="OSRRefE21_22x_5" localSheetId="41">'Div 3'!$J$128:$J$129</definedName>
    <definedName name="OSRRefE21_22x_5" localSheetId="2">Summary!$J$135:$J$144</definedName>
    <definedName name="OSRRefE21_22x_6" localSheetId="48">'300'!$K$127</definedName>
    <definedName name="OSRRefE21_22x_6" localSheetId="49">'300 &amp; 317'!$K$133</definedName>
    <definedName name="OSRRefE21_22x_6" localSheetId="41">'Div 3'!$K$128:$K$129</definedName>
    <definedName name="OSRRefE21_22x_6" localSheetId="2">Summary!$K$135:$K$144</definedName>
    <definedName name="OSRRefE21_22x_7" localSheetId="48">'300'!$L$127</definedName>
    <definedName name="OSRRefE21_22x_7" localSheetId="49">'300 &amp; 317'!$L$133</definedName>
    <definedName name="OSRRefE21_22x_7" localSheetId="41">'Div 3'!$L$128:$L$129</definedName>
    <definedName name="OSRRefE21_22x_7" localSheetId="2">Summary!$L$135:$L$144</definedName>
    <definedName name="OSRRefE21_22x_8" localSheetId="48">'300'!$M$127</definedName>
    <definedName name="OSRRefE21_22x_8" localSheetId="49">'300 &amp; 317'!$M$133</definedName>
    <definedName name="OSRRefE21_22x_8" localSheetId="41">'Div 3'!$M$128:$M$129</definedName>
    <definedName name="OSRRefE21_22x_8" localSheetId="2">Summary!$M$135:$M$144</definedName>
    <definedName name="OSRRefE21_22x_9" localSheetId="48">'300'!$N$127</definedName>
    <definedName name="OSRRefE21_22x_9" localSheetId="49">'300 &amp; 317'!$N$133</definedName>
    <definedName name="OSRRefE21_22x_9" localSheetId="41">'Div 3'!$N$128:$N$129</definedName>
    <definedName name="OSRRefE21_22x_9" localSheetId="2">Summary!$N$135:$N$144</definedName>
    <definedName name="OSRRefE21_23_0x" localSheetId="48">'300'!$E$129:$O$129</definedName>
    <definedName name="OSRRefE21_23_0x" localSheetId="49">'300 &amp; 317'!$E$135:$O$135</definedName>
    <definedName name="OSRRefE21_23_0x" localSheetId="41">'Div 3'!$E$131:$O$131</definedName>
    <definedName name="OSRRefE21_23_0x" localSheetId="2">Summary!$E$146:$O$146</definedName>
    <definedName name="OSRRefE21_23_1x" localSheetId="48">'300'!$E$130:$O$130</definedName>
    <definedName name="OSRRefE21_23_1x" localSheetId="49">'300 &amp; 317'!$E$136:$O$136</definedName>
    <definedName name="OSRRefE21_23_1x" localSheetId="2">Summary!$E$147:$O$147</definedName>
    <definedName name="OSRRefE21_23_2x" localSheetId="48">'300'!$E$131:$O$131</definedName>
    <definedName name="OSRRefE21_23_2x" localSheetId="49">'300 &amp; 317'!$E$137:$O$137</definedName>
    <definedName name="OSRRefE21_23x_0" localSheetId="48">'300'!$E$129:$E$131</definedName>
    <definedName name="OSRRefE21_23x_0" localSheetId="49">'300 &amp; 317'!$E$135:$E$137</definedName>
    <definedName name="OSRRefE21_23x_0" localSheetId="41">'Div 3'!$E$131</definedName>
    <definedName name="OSRRefE21_23x_0" localSheetId="2">Summary!$E$146:$E$147</definedName>
    <definedName name="OSRRefE21_23x_1" localSheetId="48">'300'!$F$129:$F$131</definedName>
    <definedName name="OSRRefE21_23x_1" localSheetId="49">'300 &amp; 317'!$F$135:$F$137</definedName>
    <definedName name="OSRRefE21_23x_1" localSheetId="41">'Div 3'!$F$131</definedName>
    <definedName name="OSRRefE21_23x_1" localSheetId="2">Summary!$F$146:$F$147</definedName>
    <definedName name="OSRRefE21_23x_10" localSheetId="48">'300'!$O$129:$O$131</definedName>
    <definedName name="OSRRefE21_23x_10" localSheetId="49">'300 &amp; 317'!$O$135:$O$137</definedName>
    <definedName name="OSRRefE21_23x_10" localSheetId="41">'Div 3'!$O$131</definedName>
    <definedName name="OSRRefE21_23x_10" localSheetId="2">Summary!$O$146:$O$147</definedName>
    <definedName name="OSRRefE21_23x_2" localSheetId="48">'300'!$G$129:$G$131</definedName>
    <definedName name="OSRRefE21_23x_2" localSheetId="49">'300 &amp; 317'!$G$135:$G$137</definedName>
    <definedName name="OSRRefE21_23x_2" localSheetId="41">'Div 3'!$G$131</definedName>
    <definedName name="OSRRefE21_23x_2" localSheetId="2">Summary!$G$146:$G$147</definedName>
    <definedName name="OSRRefE21_23x_3" localSheetId="48">'300'!$H$129:$H$131</definedName>
    <definedName name="OSRRefE21_23x_3" localSheetId="49">'300 &amp; 317'!$H$135:$H$137</definedName>
    <definedName name="OSRRefE21_23x_3" localSheetId="41">'Div 3'!$H$131</definedName>
    <definedName name="OSRRefE21_23x_3" localSheetId="2">Summary!$H$146:$H$147</definedName>
    <definedName name="OSRRefE21_23x_4" localSheetId="48">'300'!$I$129:$I$131</definedName>
    <definedName name="OSRRefE21_23x_4" localSheetId="49">'300 &amp; 317'!$I$135:$I$137</definedName>
    <definedName name="OSRRefE21_23x_4" localSheetId="41">'Div 3'!$I$131</definedName>
    <definedName name="OSRRefE21_23x_4" localSheetId="2">Summary!$I$146:$I$147</definedName>
    <definedName name="OSRRefE21_23x_5" localSheetId="48">'300'!$J$129:$J$131</definedName>
    <definedName name="OSRRefE21_23x_5" localSheetId="49">'300 &amp; 317'!$J$135:$J$137</definedName>
    <definedName name="OSRRefE21_23x_5" localSheetId="41">'Div 3'!$J$131</definedName>
    <definedName name="OSRRefE21_23x_5" localSheetId="2">Summary!$J$146:$J$147</definedName>
    <definedName name="OSRRefE21_23x_6" localSheetId="48">'300'!$K$129:$K$131</definedName>
    <definedName name="OSRRefE21_23x_6" localSheetId="49">'300 &amp; 317'!$K$135:$K$137</definedName>
    <definedName name="OSRRefE21_23x_6" localSheetId="41">'Div 3'!$K$131</definedName>
    <definedName name="OSRRefE21_23x_6" localSheetId="2">Summary!$K$146:$K$147</definedName>
    <definedName name="OSRRefE21_23x_7" localSheetId="48">'300'!$L$129:$L$131</definedName>
    <definedName name="OSRRefE21_23x_7" localSheetId="49">'300 &amp; 317'!$L$135:$L$137</definedName>
    <definedName name="OSRRefE21_23x_7" localSheetId="41">'Div 3'!$L$131</definedName>
    <definedName name="OSRRefE21_23x_7" localSheetId="2">Summary!$L$146:$L$147</definedName>
    <definedName name="OSRRefE21_23x_8" localSheetId="48">'300'!$M$129:$M$131</definedName>
    <definedName name="OSRRefE21_23x_8" localSheetId="49">'300 &amp; 317'!$M$135:$M$137</definedName>
    <definedName name="OSRRefE21_23x_8" localSheetId="41">'Div 3'!$M$131</definedName>
    <definedName name="OSRRefE21_23x_8" localSheetId="2">Summary!$M$146:$M$147</definedName>
    <definedName name="OSRRefE21_23x_9" localSheetId="48">'300'!$N$129:$N$131</definedName>
    <definedName name="OSRRefE21_23x_9" localSheetId="49">'300 &amp; 317'!$N$135:$N$137</definedName>
    <definedName name="OSRRefE21_23x_9" localSheetId="41">'Div 3'!$N$131</definedName>
    <definedName name="OSRRefE21_23x_9" localSheetId="2">Summary!$N$146:$N$147</definedName>
    <definedName name="OSRRefE21_24_0x" localSheetId="48">'300'!$E$133:$O$133</definedName>
    <definedName name="OSRRefE21_24_0x" localSheetId="49">'300 &amp; 317'!$E$139:$O$139</definedName>
    <definedName name="OSRRefE21_24_0x" localSheetId="41">'Div 3'!$E$133:$O$133</definedName>
    <definedName name="OSRRefE21_24_0x" localSheetId="2">Summary!$E$149:$O$149</definedName>
    <definedName name="OSRRefE21_24_1x" localSheetId="41">'Div 3'!$E$134:$O$134</definedName>
    <definedName name="OSRRefE21_24_2x" localSheetId="41">'Div 3'!$E$135:$O$135</definedName>
    <definedName name="OSRRefE21_24x_0" localSheetId="48">'300'!$E$133</definedName>
    <definedName name="OSRRefE21_24x_0" localSheetId="49">'300 &amp; 317'!$E$139</definedName>
    <definedName name="OSRRefE21_24x_0" localSheetId="41">'Div 3'!$E$133:$E$135</definedName>
    <definedName name="OSRRefE21_24x_0" localSheetId="2">Summary!$E$149</definedName>
    <definedName name="OSRRefE21_24x_1" localSheetId="48">'300'!$F$133</definedName>
    <definedName name="OSRRefE21_24x_1" localSheetId="49">'300 &amp; 317'!$F$139</definedName>
    <definedName name="OSRRefE21_24x_1" localSheetId="41">'Div 3'!$F$133:$F$135</definedName>
    <definedName name="OSRRefE21_24x_1" localSheetId="2">Summary!$F$149</definedName>
    <definedName name="OSRRefE21_24x_10" localSheetId="48">'300'!$O$133</definedName>
    <definedName name="OSRRefE21_24x_10" localSheetId="49">'300 &amp; 317'!$O$139</definedName>
    <definedName name="OSRRefE21_24x_10" localSheetId="41">'Div 3'!$O$133:$O$135</definedName>
    <definedName name="OSRRefE21_24x_10" localSheetId="2">Summary!$O$149</definedName>
    <definedName name="OSRRefE21_24x_2" localSheetId="48">'300'!$G$133</definedName>
    <definedName name="OSRRefE21_24x_2" localSheetId="49">'300 &amp; 317'!$G$139</definedName>
    <definedName name="OSRRefE21_24x_2" localSheetId="41">'Div 3'!$G$133:$G$135</definedName>
    <definedName name="OSRRefE21_24x_2" localSheetId="2">Summary!$G$149</definedName>
    <definedName name="OSRRefE21_24x_3" localSheetId="48">'300'!$H$133</definedName>
    <definedName name="OSRRefE21_24x_3" localSheetId="49">'300 &amp; 317'!$H$139</definedName>
    <definedName name="OSRRefE21_24x_3" localSheetId="41">'Div 3'!$H$133:$H$135</definedName>
    <definedName name="OSRRefE21_24x_3" localSheetId="2">Summary!$H$149</definedName>
    <definedName name="OSRRefE21_24x_4" localSheetId="48">'300'!$I$133</definedName>
    <definedName name="OSRRefE21_24x_4" localSheetId="49">'300 &amp; 317'!$I$139</definedName>
    <definedName name="OSRRefE21_24x_4" localSheetId="41">'Div 3'!$I$133:$I$135</definedName>
    <definedName name="OSRRefE21_24x_4" localSheetId="2">Summary!$I$149</definedName>
    <definedName name="OSRRefE21_24x_5" localSheetId="48">'300'!$J$133</definedName>
    <definedName name="OSRRefE21_24x_5" localSheetId="49">'300 &amp; 317'!$J$139</definedName>
    <definedName name="OSRRefE21_24x_5" localSheetId="41">'Div 3'!$J$133:$J$135</definedName>
    <definedName name="OSRRefE21_24x_5" localSheetId="2">Summary!$J$149</definedName>
    <definedName name="OSRRefE21_24x_6" localSheetId="48">'300'!$K$133</definedName>
    <definedName name="OSRRefE21_24x_6" localSheetId="49">'300 &amp; 317'!$K$139</definedName>
    <definedName name="OSRRefE21_24x_6" localSheetId="41">'Div 3'!$K$133:$K$135</definedName>
    <definedName name="OSRRefE21_24x_6" localSheetId="2">Summary!$K$149</definedName>
    <definedName name="OSRRefE21_24x_7" localSheetId="48">'300'!$L$133</definedName>
    <definedName name="OSRRefE21_24x_7" localSheetId="49">'300 &amp; 317'!$L$139</definedName>
    <definedName name="OSRRefE21_24x_7" localSheetId="41">'Div 3'!$L$133:$L$135</definedName>
    <definedName name="OSRRefE21_24x_7" localSheetId="2">Summary!$L$149</definedName>
    <definedName name="OSRRefE21_24x_8" localSheetId="48">'300'!$M$133</definedName>
    <definedName name="OSRRefE21_24x_8" localSheetId="49">'300 &amp; 317'!$M$139</definedName>
    <definedName name="OSRRefE21_24x_8" localSheetId="41">'Div 3'!$M$133:$M$135</definedName>
    <definedName name="OSRRefE21_24x_8" localSheetId="2">Summary!$M$149</definedName>
    <definedName name="OSRRefE21_24x_9" localSheetId="48">'300'!$N$133</definedName>
    <definedName name="OSRRefE21_24x_9" localSheetId="49">'300 &amp; 317'!$N$139</definedName>
    <definedName name="OSRRefE21_24x_9" localSheetId="41">'Div 3'!$N$133:$N$135</definedName>
    <definedName name="OSRRefE21_24x_9" localSheetId="2">Summary!$N$149</definedName>
    <definedName name="OSRRefE21_25_0x" localSheetId="41">'Div 3'!$E$137:$O$137</definedName>
    <definedName name="OSRRefE21_25_0x" localSheetId="2">Summary!$E$151:$O$151</definedName>
    <definedName name="OSRRefE21_25_1x" localSheetId="2">Summary!$E$152:$O$152</definedName>
    <definedName name="OSRRefE21_25_2x" localSheetId="2">Summary!$E$153:$O$153</definedName>
    <definedName name="OSRRefE21_25x_0" localSheetId="41">'Div 3'!$E$137</definedName>
    <definedName name="OSRRefE21_25x_0" localSheetId="2">Summary!$E$151:$E$153</definedName>
    <definedName name="OSRRefE21_25x_1" localSheetId="41">'Div 3'!$F$137</definedName>
    <definedName name="OSRRefE21_25x_1" localSheetId="2">Summary!$F$151:$F$153</definedName>
    <definedName name="OSRRefE21_25x_10" localSheetId="41">'Div 3'!$O$137</definedName>
    <definedName name="OSRRefE21_25x_10" localSheetId="2">Summary!$O$151:$O$153</definedName>
    <definedName name="OSRRefE21_25x_2" localSheetId="41">'Div 3'!$G$137</definedName>
    <definedName name="OSRRefE21_25x_2" localSheetId="2">Summary!$G$151:$G$153</definedName>
    <definedName name="OSRRefE21_25x_3" localSheetId="41">'Div 3'!$H$137</definedName>
    <definedName name="OSRRefE21_25x_3" localSheetId="2">Summary!$H$151:$H$153</definedName>
    <definedName name="OSRRefE21_25x_4" localSheetId="41">'Div 3'!$I$137</definedName>
    <definedName name="OSRRefE21_25x_4" localSheetId="2">Summary!$I$151:$I$153</definedName>
    <definedName name="OSRRefE21_25x_5" localSheetId="41">'Div 3'!$J$137</definedName>
    <definedName name="OSRRefE21_25x_5" localSheetId="2">Summary!$J$151:$J$153</definedName>
    <definedName name="OSRRefE21_25x_6" localSheetId="41">'Div 3'!$K$137</definedName>
    <definedName name="OSRRefE21_25x_6" localSheetId="2">Summary!$K$151:$K$153</definedName>
    <definedName name="OSRRefE21_25x_7" localSheetId="41">'Div 3'!$L$137</definedName>
    <definedName name="OSRRefE21_25x_7" localSheetId="2">Summary!$L$151:$L$153</definedName>
    <definedName name="OSRRefE21_25x_8" localSheetId="41">'Div 3'!$M$137</definedName>
    <definedName name="OSRRefE21_25x_8" localSheetId="2">Summary!$M$151:$M$153</definedName>
    <definedName name="OSRRefE21_25x_9" localSheetId="41">'Div 3'!$N$137</definedName>
    <definedName name="OSRRefE21_25x_9" localSheetId="2">Summary!$N$151:$N$153</definedName>
    <definedName name="OSRRefE21_26_0x" localSheetId="2">Summary!$E$155:$O$155</definedName>
    <definedName name="OSRRefE21_26x_0" localSheetId="2">Summary!$E$155</definedName>
    <definedName name="OSRRefE21_26x_1" localSheetId="2">Summary!$F$155</definedName>
    <definedName name="OSRRefE21_26x_10" localSheetId="2">Summary!$O$155</definedName>
    <definedName name="OSRRefE21_26x_2" localSheetId="2">Summary!$G$155</definedName>
    <definedName name="OSRRefE21_26x_3" localSheetId="2">Summary!$H$155</definedName>
    <definedName name="OSRRefE21_26x_4" localSheetId="2">Summary!$I$155</definedName>
    <definedName name="OSRRefE21_26x_5" localSheetId="2">Summary!$J$155</definedName>
    <definedName name="OSRRefE21_26x_6" localSheetId="2">Summary!$K$155</definedName>
    <definedName name="OSRRefE21_26x_7" localSheetId="2">Summary!$L$155</definedName>
    <definedName name="OSRRefE21_26x_8" localSheetId="2">Summary!$M$155</definedName>
    <definedName name="OSRRefE21_26x_9" localSheetId="2">Summary!$N$155</definedName>
    <definedName name="OSRRefE21_2x_0" localSheetId="40">'200'!$E$23</definedName>
    <definedName name="OSRRefE21_2x_0" localSheetId="42">'201'!$E$40</definedName>
    <definedName name="OSRRefE21_2x_0" localSheetId="43">'202'!$E$40</definedName>
    <definedName name="OSRRefE21_2x_0" localSheetId="44">'203'!$E$41</definedName>
    <definedName name="OSRRefE21_2x_0" localSheetId="45">'204'!$E$40:$E$41</definedName>
    <definedName name="OSRRefE21_2x_0" localSheetId="46">'205'!$E$40</definedName>
    <definedName name="OSRRefE21_2x_0" localSheetId="47">'206'!$E$40</definedName>
    <definedName name="OSRRefE21_2x_0" localSheetId="48">'300'!$E$67</definedName>
    <definedName name="OSRRefE21_2x_0" localSheetId="49">'300 &amp; 317'!$E$73</definedName>
    <definedName name="OSRRefE21_2x_0" localSheetId="50">'301'!$E$41</definedName>
    <definedName name="OSRRefE21_2x_0" localSheetId="52">'307'!$E$42</definedName>
    <definedName name="OSRRefE21_2x_0" localSheetId="53">'308'!$E$55</definedName>
    <definedName name="OSRRefE21_2x_0" localSheetId="64">'309'!$E$23</definedName>
    <definedName name="OSRRefE21_2x_0" localSheetId="63">'310'!$E$43</definedName>
    <definedName name="OSRRefE21_2x_0" localSheetId="70">'310 &amp; 491'!$E$47</definedName>
    <definedName name="OSRRefE21_2x_0" localSheetId="54">'311'!$E$55</definedName>
    <definedName name="OSRRefE21_2x_0" localSheetId="57">'315'!$E$59</definedName>
    <definedName name="OSRRefE21_2x_0" localSheetId="60">'316'!$E$44</definedName>
    <definedName name="OSRRefE21_2x_0" localSheetId="62">'317'!$E$55</definedName>
    <definedName name="OSRRefE21_2x_0" localSheetId="66">'321'!$E$42</definedName>
    <definedName name="OSRRefE21_2x_0" localSheetId="67">'325'!$E$43</definedName>
    <definedName name="OSRRefE21_2x_0" localSheetId="58">'326'!$E$45</definedName>
    <definedName name="OSRRefE21_2x_0" localSheetId="51">'330'!$E$42</definedName>
    <definedName name="OSRRefE21_2x_0" localSheetId="56">'331'!$E$59</definedName>
    <definedName name="OSRRefE21_2x_0" localSheetId="59">'332'!$E$44</definedName>
    <definedName name="OSRRefE21_2x_0" localSheetId="72">'405'!$E$43</definedName>
    <definedName name="OSRRefE21_2x_0" localSheetId="73">'411'!$E$40</definedName>
    <definedName name="OSRRefE21_2x_0" localSheetId="76">'415'!$E$47</definedName>
    <definedName name="OSRRefE21_2x_0" localSheetId="77">'418'!$E$43</definedName>
    <definedName name="OSRRefE21_2x_0" localSheetId="78">'423'!$E$39</definedName>
    <definedName name="OSRRefE21_2x_0" localSheetId="83">'430'!$E$40</definedName>
    <definedName name="OSRRefE21_2x_0" localSheetId="84">'433'!$E$43</definedName>
    <definedName name="OSRRefE21_2x_0" localSheetId="85">'444'!$E$48</definedName>
    <definedName name="OSRRefE21_2x_0" localSheetId="86">'450'!$E$43</definedName>
    <definedName name="OSRRefE21_2x_0" localSheetId="71">'491'!$E$47</definedName>
    <definedName name="OSRRefE21_2x_0" localSheetId="82">'492'!$E$48</definedName>
    <definedName name="OSRRefE21_2x_0" localSheetId="88">'501'!$E$41</definedName>
    <definedName name="OSRRefE21_2x_0" localSheetId="39">'Div 2'!$E$42</definedName>
    <definedName name="OSRRefE21_2x_0" localSheetId="41">'Div 3'!$E$68</definedName>
    <definedName name="OSRRefE21_2x_0" localSheetId="69">'Div 4'!$E$50</definedName>
    <definedName name="OSRRefE21_2x_0" localSheetId="87">'Div 5'!$E$41</definedName>
    <definedName name="OSRRefE21_2x_0" localSheetId="61">'Div 6'!$E$55</definedName>
    <definedName name="OSRRefE21_2x_0" localSheetId="2">Summary!$E$79</definedName>
    <definedName name="OSRRefE21_2x_1" localSheetId="40">'200'!$F$23</definedName>
    <definedName name="OSRRefE21_2x_1" localSheetId="42">'201'!$F$40</definedName>
    <definedName name="OSRRefE21_2x_1" localSheetId="43">'202'!$F$40</definedName>
    <definedName name="OSRRefE21_2x_1" localSheetId="44">'203'!$F$41</definedName>
    <definedName name="OSRRefE21_2x_1" localSheetId="45">'204'!$F$40:$F$41</definedName>
    <definedName name="OSRRefE21_2x_1" localSheetId="46">'205'!$F$40</definedName>
    <definedName name="OSRRefE21_2x_1" localSheetId="47">'206'!$F$40</definedName>
    <definedName name="OSRRefE21_2x_1" localSheetId="48">'300'!$F$67</definedName>
    <definedName name="OSRRefE21_2x_1" localSheetId="49">'300 &amp; 317'!$F$73</definedName>
    <definedName name="OSRRefE21_2x_1" localSheetId="50">'301'!$F$41</definedName>
    <definedName name="OSRRefE21_2x_1" localSheetId="52">'307'!$F$42</definedName>
    <definedName name="OSRRefE21_2x_1" localSheetId="53">'308'!$F$55</definedName>
    <definedName name="OSRRefE21_2x_1" localSheetId="64">'309'!$F$23</definedName>
    <definedName name="OSRRefE21_2x_1" localSheetId="63">'310'!$F$43</definedName>
    <definedName name="OSRRefE21_2x_1" localSheetId="70">'310 &amp; 491'!$F$47</definedName>
    <definedName name="OSRRefE21_2x_1" localSheetId="54">'311'!$F$55</definedName>
    <definedName name="OSRRefE21_2x_1" localSheetId="57">'315'!$F$59</definedName>
    <definedName name="OSRRefE21_2x_1" localSheetId="60">'316'!$F$44</definedName>
    <definedName name="OSRRefE21_2x_1" localSheetId="62">'317'!$F$55</definedName>
    <definedName name="OSRRefE21_2x_1" localSheetId="66">'321'!$F$42</definedName>
    <definedName name="OSRRefE21_2x_1" localSheetId="67">'325'!$F$43</definedName>
    <definedName name="OSRRefE21_2x_1" localSheetId="58">'326'!$F$45</definedName>
    <definedName name="OSRRefE21_2x_1" localSheetId="51">'330'!$F$42</definedName>
    <definedName name="OSRRefE21_2x_1" localSheetId="56">'331'!$F$59</definedName>
    <definedName name="OSRRefE21_2x_1" localSheetId="59">'332'!$F$44</definedName>
    <definedName name="OSRRefE21_2x_1" localSheetId="72">'405'!$F$43</definedName>
    <definedName name="OSRRefE21_2x_1" localSheetId="73">'411'!$F$40</definedName>
    <definedName name="OSRRefE21_2x_1" localSheetId="76">'415'!$F$47</definedName>
    <definedName name="OSRRefE21_2x_1" localSheetId="77">'418'!$F$43</definedName>
    <definedName name="OSRRefE21_2x_1" localSheetId="78">'423'!$F$39</definedName>
    <definedName name="OSRRefE21_2x_1" localSheetId="83">'430'!$F$40</definedName>
    <definedName name="OSRRefE21_2x_1" localSheetId="84">'433'!$F$43</definedName>
    <definedName name="OSRRefE21_2x_1" localSheetId="85">'444'!$F$48</definedName>
    <definedName name="OSRRefE21_2x_1" localSheetId="86">'450'!$F$43</definedName>
    <definedName name="OSRRefE21_2x_1" localSheetId="71">'491'!$F$47</definedName>
    <definedName name="OSRRefE21_2x_1" localSheetId="82">'492'!$F$48</definedName>
    <definedName name="OSRRefE21_2x_1" localSheetId="88">'501'!$F$41</definedName>
    <definedName name="OSRRefE21_2x_1" localSheetId="39">'Div 2'!$F$42</definedName>
    <definedName name="OSRRefE21_2x_1" localSheetId="41">'Div 3'!$F$68</definedName>
    <definedName name="OSRRefE21_2x_1" localSheetId="69">'Div 4'!$F$50</definedName>
    <definedName name="OSRRefE21_2x_1" localSheetId="87">'Div 5'!$F$41</definedName>
    <definedName name="OSRRefE21_2x_1" localSheetId="61">'Div 6'!$F$55</definedName>
    <definedName name="OSRRefE21_2x_1" localSheetId="2">Summary!$F$79</definedName>
    <definedName name="OSRRefE21_2x_10" localSheetId="40">'200'!$O$23</definedName>
    <definedName name="OSRRefE21_2x_10" localSheetId="42">'201'!$O$40</definedName>
    <definedName name="OSRRefE21_2x_10" localSheetId="43">'202'!$O$40</definedName>
    <definedName name="OSRRefE21_2x_10" localSheetId="44">'203'!$O$41</definedName>
    <definedName name="OSRRefE21_2x_10" localSheetId="45">'204'!$O$40:$O$41</definedName>
    <definedName name="OSRRefE21_2x_10" localSheetId="46">'205'!$O$40</definedName>
    <definedName name="OSRRefE21_2x_10" localSheetId="47">'206'!$O$40</definedName>
    <definedName name="OSRRefE21_2x_10" localSheetId="48">'300'!$O$67</definedName>
    <definedName name="OSRRefE21_2x_10" localSheetId="49">'300 &amp; 317'!$O$73</definedName>
    <definedName name="OSRRefE21_2x_10" localSheetId="50">'301'!$O$41</definedName>
    <definedName name="OSRRefE21_2x_10" localSheetId="52">'307'!$O$42</definedName>
    <definedName name="OSRRefE21_2x_10" localSheetId="53">'308'!$O$55</definedName>
    <definedName name="OSRRefE21_2x_10" localSheetId="64">'309'!$O$23</definedName>
    <definedName name="OSRRefE21_2x_10" localSheetId="63">'310'!$O$43</definedName>
    <definedName name="OSRRefE21_2x_10" localSheetId="70">'310 &amp; 491'!$O$47</definedName>
    <definedName name="OSRRefE21_2x_10" localSheetId="54">'311'!$O$55</definedName>
    <definedName name="OSRRefE21_2x_10" localSheetId="57">'315'!$O$59</definedName>
    <definedName name="OSRRefE21_2x_10" localSheetId="60">'316'!$O$44</definedName>
    <definedName name="OSRRefE21_2x_10" localSheetId="62">'317'!$O$55</definedName>
    <definedName name="OSRRefE21_2x_10" localSheetId="66">'321'!$O$42</definedName>
    <definedName name="OSRRefE21_2x_10" localSheetId="67">'325'!$O$43</definedName>
    <definedName name="OSRRefE21_2x_10" localSheetId="58">'326'!$O$45</definedName>
    <definedName name="OSRRefE21_2x_10" localSheetId="51">'330'!$O$42</definedName>
    <definedName name="OSRRefE21_2x_10" localSheetId="56">'331'!$O$59</definedName>
    <definedName name="OSRRefE21_2x_10" localSheetId="59">'332'!$O$44</definedName>
    <definedName name="OSRRefE21_2x_10" localSheetId="72">'405'!$O$43</definedName>
    <definedName name="OSRRefE21_2x_10" localSheetId="73">'411'!$O$40</definedName>
    <definedName name="OSRRefE21_2x_10" localSheetId="76">'415'!$O$47</definedName>
    <definedName name="OSRRefE21_2x_10" localSheetId="77">'418'!$O$43</definedName>
    <definedName name="OSRRefE21_2x_10" localSheetId="78">'423'!$O$39</definedName>
    <definedName name="OSRRefE21_2x_10" localSheetId="83">'430'!$O$40</definedName>
    <definedName name="OSRRefE21_2x_10" localSheetId="84">'433'!$O$43</definedName>
    <definedName name="OSRRefE21_2x_10" localSheetId="85">'444'!$O$48</definedName>
    <definedName name="OSRRefE21_2x_10" localSheetId="86">'450'!$O$43</definedName>
    <definedName name="OSRRefE21_2x_10" localSheetId="71">'491'!$O$47</definedName>
    <definedName name="OSRRefE21_2x_10" localSheetId="82">'492'!$O$48</definedName>
    <definedName name="OSRRefE21_2x_10" localSheetId="88">'501'!$O$41</definedName>
    <definedName name="OSRRefE21_2x_10" localSheetId="39">'Div 2'!$O$42</definedName>
    <definedName name="OSRRefE21_2x_10" localSheetId="41">'Div 3'!$O$68</definedName>
    <definedName name="OSRRefE21_2x_10" localSheetId="69">'Div 4'!$O$50</definedName>
    <definedName name="OSRRefE21_2x_10" localSheetId="87">'Div 5'!$O$41</definedName>
    <definedName name="OSRRefE21_2x_10" localSheetId="61">'Div 6'!$O$55</definedName>
    <definedName name="OSRRefE21_2x_10" localSheetId="2">Summary!$O$79</definedName>
    <definedName name="OSRRefE21_2x_2" localSheetId="40">'200'!$G$23</definedName>
    <definedName name="OSRRefE21_2x_2" localSheetId="42">'201'!$G$40</definedName>
    <definedName name="OSRRefE21_2x_2" localSheetId="43">'202'!$G$40</definedName>
    <definedName name="OSRRefE21_2x_2" localSheetId="44">'203'!$G$41</definedName>
    <definedName name="OSRRefE21_2x_2" localSheetId="45">'204'!$G$40:$G$41</definedName>
    <definedName name="OSRRefE21_2x_2" localSheetId="46">'205'!$G$40</definedName>
    <definedName name="OSRRefE21_2x_2" localSheetId="47">'206'!$G$40</definedName>
    <definedName name="OSRRefE21_2x_2" localSheetId="48">'300'!$G$67</definedName>
    <definedName name="OSRRefE21_2x_2" localSheetId="49">'300 &amp; 317'!$G$73</definedName>
    <definedName name="OSRRefE21_2x_2" localSheetId="50">'301'!$G$41</definedName>
    <definedName name="OSRRefE21_2x_2" localSheetId="52">'307'!$G$42</definedName>
    <definedName name="OSRRefE21_2x_2" localSheetId="53">'308'!$G$55</definedName>
    <definedName name="OSRRefE21_2x_2" localSheetId="64">'309'!$G$23</definedName>
    <definedName name="OSRRefE21_2x_2" localSheetId="63">'310'!$G$43</definedName>
    <definedName name="OSRRefE21_2x_2" localSheetId="70">'310 &amp; 491'!$G$47</definedName>
    <definedName name="OSRRefE21_2x_2" localSheetId="54">'311'!$G$55</definedName>
    <definedName name="OSRRefE21_2x_2" localSheetId="57">'315'!$G$59</definedName>
    <definedName name="OSRRefE21_2x_2" localSheetId="60">'316'!$G$44</definedName>
    <definedName name="OSRRefE21_2x_2" localSheetId="62">'317'!$G$55</definedName>
    <definedName name="OSRRefE21_2x_2" localSheetId="66">'321'!$G$42</definedName>
    <definedName name="OSRRefE21_2x_2" localSheetId="67">'325'!$G$43</definedName>
    <definedName name="OSRRefE21_2x_2" localSheetId="58">'326'!$G$45</definedName>
    <definedName name="OSRRefE21_2x_2" localSheetId="51">'330'!$G$42</definedName>
    <definedName name="OSRRefE21_2x_2" localSheetId="56">'331'!$G$59</definedName>
    <definedName name="OSRRefE21_2x_2" localSheetId="59">'332'!$G$44</definedName>
    <definedName name="OSRRefE21_2x_2" localSheetId="72">'405'!$G$43</definedName>
    <definedName name="OSRRefE21_2x_2" localSheetId="73">'411'!$G$40</definedName>
    <definedName name="OSRRefE21_2x_2" localSheetId="76">'415'!$G$47</definedName>
    <definedName name="OSRRefE21_2x_2" localSheetId="77">'418'!$G$43</definedName>
    <definedName name="OSRRefE21_2x_2" localSheetId="78">'423'!$G$39</definedName>
    <definedName name="OSRRefE21_2x_2" localSheetId="83">'430'!$G$40</definedName>
    <definedName name="OSRRefE21_2x_2" localSheetId="84">'433'!$G$43</definedName>
    <definedName name="OSRRefE21_2x_2" localSheetId="85">'444'!$G$48</definedName>
    <definedName name="OSRRefE21_2x_2" localSheetId="86">'450'!$G$43</definedName>
    <definedName name="OSRRefE21_2x_2" localSheetId="71">'491'!$G$47</definedName>
    <definedName name="OSRRefE21_2x_2" localSheetId="82">'492'!$G$48</definedName>
    <definedName name="OSRRefE21_2x_2" localSheetId="88">'501'!$G$41</definedName>
    <definedName name="OSRRefE21_2x_2" localSheetId="39">'Div 2'!$G$42</definedName>
    <definedName name="OSRRefE21_2x_2" localSheetId="41">'Div 3'!$G$68</definedName>
    <definedName name="OSRRefE21_2x_2" localSheetId="69">'Div 4'!$G$50</definedName>
    <definedName name="OSRRefE21_2x_2" localSheetId="87">'Div 5'!$G$41</definedName>
    <definedName name="OSRRefE21_2x_2" localSheetId="61">'Div 6'!$G$55</definedName>
    <definedName name="OSRRefE21_2x_2" localSheetId="2">Summary!$G$79</definedName>
    <definedName name="OSRRefE21_2x_3" localSheetId="40">'200'!$H$23</definedName>
    <definedName name="OSRRefE21_2x_3" localSheetId="42">'201'!$H$40</definedName>
    <definedName name="OSRRefE21_2x_3" localSheetId="43">'202'!$H$40</definedName>
    <definedName name="OSRRefE21_2x_3" localSheetId="44">'203'!$H$41</definedName>
    <definedName name="OSRRefE21_2x_3" localSheetId="45">'204'!$H$40:$H$41</definedName>
    <definedName name="OSRRefE21_2x_3" localSheetId="46">'205'!$H$40</definedName>
    <definedName name="OSRRefE21_2x_3" localSheetId="47">'206'!$H$40</definedName>
    <definedName name="OSRRefE21_2x_3" localSheetId="48">'300'!$H$67</definedName>
    <definedName name="OSRRefE21_2x_3" localSheetId="49">'300 &amp; 317'!$H$73</definedName>
    <definedName name="OSRRefE21_2x_3" localSheetId="50">'301'!$H$41</definedName>
    <definedName name="OSRRefE21_2x_3" localSheetId="52">'307'!$H$42</definedName>
    <definedName name="OSRRefE21_2x_3" localSheetId="53">'308'!$H$55</definedName>
    <definedName name="OSRRefE21_2x_3" localSheetId="64">'309'!$H$23</definedName>
    <definedName name="OSRRefE21_2x_3" localSheetId="63">'310'!$H$43</definedName>
    <definedName name="OSRRefE21_2x_3" localSheetId="70">'310 &amp; 491'!$H$47</definedName>
    <definedName name="OSRRefE21_2x_3" localSheetId="54">'311'!$H$55</definedName>
    <definedName name="OSRRefE21_2x_3" localSheetId="57">'315'!$H$59</definedName>
    <definedName name="OSRRefE21_2x_3" localSheetId="60">'316'!$H$44</definedName>
    <definedName name="OSRRefE21_2x_3" localSheetId="62">'317'!$H$55</definedName>
    <definedName name="OSRRefE21_2x_3" localSheetId="66">'321'!$H$42</definedName>
    <definedName name="OSRRefE21_2x_3" localSheetId="67">'325'!$H$43</definedName>
    <definedName name="OSRRefE21_2x_3" localSheetId="58">'326'!$H$45</definedName>
    <definedName name="OSRRefE21_2x_3" localSheetId="51">'330'!$H$42</definedName>
    <definedName name="OSRRefE21_2x_3" localSheetId="56">'331'!$H$59</definedName>
    <definedName name="OSRRefE21_2x_3" localSheetId="59">'332'!$H$44</definedName>
    <definedName name="OSRRefE21_2x_3" localSheetId="72">'405'!$H$43</definedName>
    <definedName name="OSRRefE21_2x_3" localSheetId="73">'411'!$H$40</definedName>
    <definedName name="OSRRefE21_2x_3" localSheetId="76">'415'!$H$47</definedName>
    <definedName name="OSRRefE21_2x_3" localSheetId="77">'418'!$H$43</definedName>
    <definedName name="OSRRefE21_2x_3" localSheetId="78">'423'!$H$39</definedName>
    <definedName name="OSRRefE21_2x_3" localSheetId="83">'430'!$H$40</definedName>
    <definedName name="OSRRefE21_2x_3" localSheetId="84">'433'!$H$43</definedName>
    <definedName name="OSRRefE21_2x_3" localSheetId="85">'444'!$H$48</definedName>
    <definedName name="OSRRefE21_2x_3" localSheetId="86">'450'!$H$43</definedName>
    <definedName name="OSRRefE21_2x_3" localSheetId="71">'491'!$H$47</definedName>
    <definedName name="OSRRefE21_2x_3" localSheetId="82">'492'!$H$48</definedName>
    <definedName name="OSRRefE21_2x_3" localSheetId="88">'501'!$H$41</definedName>
    <definedName name="OSRRefE21_2x_3" localSheetId="39">'Div 2'!$H$42</definedName>
    <definedName name="OSRRefE21_2x_3" localSheetId="41">'Div 3'!$H$68</definedName>
    <definedName name="OSRRefE21_2x_3" localSheetId="69">'Div 4'!$H$50</definedName>
    <definedName name="OSRRefE21_2x_3" localSheetId="87">'Div 5'!$H$41</definedName>
    <definedName name="OSRRefE21_2x_3" localSheetId="61">'Div 6'!$H$55</definedName>
    <definedName name="OSRRefE21_2x_3" localSheetId="2">Summary!$H$79</definedName>
    <definedName name="OSRRefE21_2x_4" localSheetId="40">'200'!$I$23</definedName>
    <definedName name="OSRRefE21_2x_4" localSheetId="42">'201'!$I$40</definedName>
    <definedName name="OSRRefE21_2x_4" localSheetId="43">'202'!$I$40</definedName>
    <definedName name="OSRRefE21_2x_4" localSheetId="44">'203'!$I$41</definedName>
    <definedName name="OSRRefE21_2x_4" localSheetId="45">'204'!$I$40:$I$41</definedName>
    <definedName name="OSRRefE21_2x_4" localSheetId="46">'205'!$I$40</definedName>
    <definedName name="OSRRefE21_2x_4" localSheetId="47">'206'!$I$40</definedName>
    <definedName name="OSRRefE21_2x_4" localSheetId="48">'300'!$I$67</definedName>
    <definedName name="OSRRefE21_2x_4" localSheetId="49">'300 &amp; 317'!$I$73</definedName>
    <definedName name="OSRRefE21_2x_4" localSheetId="50">'301'!$I$41</definedName>
    <definedName name="OSRRefE21_2x_4" localSheetId="52">'307'!$I$42</definedName>
    <definedName name="OSRRefE21_2x_4" localSheetId="53">'308'!$I$55</definedName>
    <definedName name="OSRRefE21_2x_4" localSheetId="64">'309'!$I$23</definedName>
    <definedName name="OSRRefE21_2x_4" localSheetId="63">'310'!$I$43</definedName>
    <definedName name="OSRRefE21_2x_4" localSheetId="70">'310 &amp; 491'!$I$47</definedName>
    <definedName name="OSRRefE21_2x_4" localSheetId="54">'311'!$I$55</definedName>
    <definedName name="OSRRefE21_2x_4" localSheetId="57">'315'!$I$59</definedName>
    <definedName name="OSRRefE21_2x_4" localSheetId="60">'316'!$I$44</definedName>
    <definedName name="OSRRefE21_2x_4" localSheetId="62">'317'!$I$55</definedName>
    <definedName name="OSRRefE21_2x_4" localSheetId="66">'321'!$I$42</definedName>
    <definedName name="OSRRefE21_2x_4" localSheetId="67">'325'!$I$43</definedName>
    <definedName name="OSRRefE21_2x_4" localSheetId="58">'326'!$I$45</definedName>
    <definedName name="OSRRefE21_2x_4" localSheetId="51">'330'!$I$42</definedName>
    <definedName name="OSRRefE21_2x_4" localSheetId="56">'331'!$I$59</definedName>
    <definedName name="OSRRefE21_2x_4" localSheetId="59">'332'!$I$44</definedName>
    <definedName name="OSRRefE21_2x_4" localSheetId="72">'405'!$I$43</definedName>
    <definedName name="OSRRefE21_2x_4" localSheetId="73">'411'!$I$40</definedName>
    <definedName name="OSRRefE21_2x_4" localSheetId="76">'415'!$I$47</definedName>
    <definedName name="OSRRefE21_2x_4" localSheetId="77">'418'!$I$43</definedName>
    <definedName name="OSRRefE21_2x_4" localSheetId="78">'423'!$I$39</definedName>
    <definedName name="OSRRefE21_2x_4" localSheetId="83">'430'!$I$40</definedName>
    <definedName name="OSRRefE21_2x_4" localSheetId="84">'433'!$I$43</definedName>
    <definedName name="OSRRefE21_2x_4" localSheetId="85">'444'!$I$48</definedName>
    <definedName name="OSRRefE21_2x_4" localSheetId="86">'450'!$I$43</definedName>
    <definedName name="OSRRefE21_2x_4" localSheetId="71">'491'!$I$47</definedName>
    <definedName name="OSRRefE21_2x_4" localSheetId="82">'492'!$I$48</definedName>
    <definedName name="OSRRefE21_2x_4" localSheetId="88">'501'!$I$41</definedName>
    <definedName name="OSRRefE21_2x_4" localSheetId="39">'Div 2'!$I$42</definedName>
    <definedName name="OSRRefE21_2x_4" localSheetId="41">'Div 3'!$I$68</definedName>
    <definedName name="OSRRefE21_2x_4" localSheetId="69">'Div 4'!$I$50</definedName>
    <definedName name="OSRRefE21_2x_4" localSheetId="87">'Div 5'!$I$41</definedName>
    <definedName name="OSRRefE21_2x_4" localSheetId="61">'Div 6'!$I$55</definedName>
    <definedName name="OSRRefE21_2x_4" localSheetId="2">Summary!$I$79</definedName>
    <definedName name="OSRRefE21_2x_5" localSheetId="40">'200'!$J$23</definedName>
    <definedName name="OSRRefE21_2x_5" localSheetId="42">'201'!$J$40</definedName>
    <definedName name="OSRRefE21_2x_5" localSheetId="43">'202'!$J$40</definedName>
    <definedName name="OSRRefE21_2x_5" localSheetId="44">'203'!$J$41</definedName>
    <definedName name="OSRRefE21_2x_5" localSheetId="45">'204'!$J$40:$J$41</definedName>
    <definedName name="OSRRefE21_2x_5" localSheetId="46">'205'!$J$40</definedName>
    <definedName name="OSRRefE21_2x_5" localSheetId="47">'206'!$J$40</definedName>
    <definedName name="OSRRefE21_2x_5" localSheetId="48">'300'!$J$67</definedName>
    <definedName name="OSRRefE21_2x_5" localSheetId="49">'300 &amp; 317'!$J$73</definedName>
    <definedName name="OSRRefE21_2x_5" localSheetId="50">'301'!$J$41</definedName>
    <definedName name="OSRRefE21_2x_5" localSheetId="52">'307'!$J$42</definedName>
    <definedName name="OSRRefE21_2x_5" localSheetId="53">'308'!$J$55</definedName>
    <definedName name="OSRRefE21_2x_5" localSheetId="64">'309'!$J$23</definedName>
    <definedName name="OSRRefE21_2x_5" localSheetId="63">'310'!$J$43</definedName>
    <definedName name="OSRRefE21_2x_5" localSheetId="70">'310 &amp; 491'!$J$47</definedName>
    <definedName name="OSRRefE21_2x_5" localSheetId="54">'311'!$J$55</definedName>
    <definedName name="OSRRefE21_2x_5" localSheetId="57">'315'!$J$59</definedName>
    <definedName name="OSRRefE21_2x_5" localSheetId="60">'316'!$J$44</definedName>
    <definedName name="OSRRefE21_2x_5" localSheetId="62">'317'!$J$55</definedName>
    <definedName name="OSRRefE21_2x_5" localSheetId="66">'321'!$J$42</definedName>
    <definedName name="OSRRefE21_2x_5" localSheetId="67">'325'!$J$43</definedName>
    <definedName name="OSRRefE21_2x_5" localSheetId="58">'326'!$J$45</definedName>
    <definedName name="OSRRefE21_2x_5" localSheetId="51">'330'!$J$42</definedName>
    <definedName name="OSRRefE21_2x_5" localSheetId="56">'331'!$J$59</definedName>
    <definedName name="OSRRefE21_2x_5" localSheetId="59">'332'!$J$44</definedName>
    <definedName name="OSRRefE21_2x_5" localSheetId="72">'405'!$J$43</definedName>
    <definedName name="OSRRefE21_2x_5" localSheetId="73">'411'!$J$40</definedName>
    <definedName name="OSRRefE21_2x_5" localSheetId="76">'415'!$J$47</definedName>
    <definedName name="OSRRefE21_2x_5" localSheetId="77">'418'!$J$43</definedName>
    <definedName name="OSRRefE21_2x_5" localSheetId="78">'423'!$J$39</definedName>
    <definedName name="OSRRefE21_2x_5" localSheetId="83">'430'!$J$40</definedName>
    <definedName name="OSRRefE21_2x_5" localSheetId="84">'433'!$J$43</definedName>
    <definedName name="OSRRefE21_2x_5" localSheetId="85">'444'!$J$48</definedName>
    <definedName name="OSRRefE21_2x_5" localSheetId="86">'450'!$J$43</definedName>
    <definedName name="OSRRefE21_2x_5" localSheetId="71">'491'!$J$47</definedName>
    <definedName name="OSRRefE21_2x_5" localSheetId="82">'492'!$J$48</definedName>
    <definedName name="OSRRefE21_2x_5" localSheetId="88">'501'!$J$41</definedName>
    <definedName name="OSRRefE21_2x_5" localSheetId="39">'Div 2'!$J$42</definedName>
    <definedName name="OSRRefE21_2x_5" localSheetId="41">'Div 3'!$J$68</definedName>
    <definedName name="OSRRefE21_2x_5" localSheetId="69">'Div 4'!$J$50</definedName>
    <definedName name="OSRRefE21_2x_5" localSheetId="87">'Div 5'!$J$41</definedName>
    <definedName name="OSRRefE21_2x_5" localSheetId="61">'Div 6'!$J$55</definedName>
    <definedName name="OSRRefE21_2x_5" localSheetId="2">Summary!$J$79</definedName>
    <definedName name="OSRRefE21_2x_6" localSheetId="40">'200'!$K$23</definedName>
    <definedName name="OSRRefE21_2x_6" localSheetId="42">'201'!$K$40</definedName>
    <definedName name="OSRRefE21_2x_6" localSheetId="43">'202'!$K$40</definedName>
    <definedName name="OSRRefE21_2x_6" localSheetId="44">'203'!$K$41</definedName>
    <definedName name="OSRRefE21_2x_6" localSheetId="45">'204'!$K$40:$K$41</definedName>
    <definedName name="OSRRefE21_2x_6" localSheetId="46">'205'!$K$40</definedName>
    <definedName name="OSRRefE21_2x_6" localSheetId="47">'206'!$K$40</definedName>
    <definedName name="OSRRefE21_2x_6" localSheetId="48">'300'!$K$67</definedName>
    <definedName name="OSRRefE21_2x_6" localSheetId="49">'300 &amp; 317'!$K$73</definedName>
    <definedName name="OSRRefE21_2x_6" localSheetId="50">'301'!$K$41</definedName>
    <definedName name="OSRRefE21_2x_6" localSheetId="52">'307'!$K$42</definedName>
    <definedName name="OSRRefE21_2x_6" localSheetId="53">'308'!$K$55</definedName>
    <definedName name="OSRRefE21_2x_6" localSheetId="64">'309'!$K$23</definedName>
    <definedName name="OSRRefE21_2x_6" localSheetId="63">'310'!$K$43</definedName>
    <definedName name="OSRRefE21_2x_6" localSheetId="70">'310 &amp; 491'!$K$47</definedName>
    <definedName name="OSRRefE21_2x_6" localSheetId="54">'311'!$K$55</definedName>
    <definedName name="OSRRefE21_2x_6" localSheetId="57">'315'!$K$59</definedName>
    <definedName name="OSRRefE21_2x_6" localSheetId="60">'316'!$K$44</definedName>
    <definedName name="OSRRefE21_2x_6" localSheetId="62">'317'!$K$55</definedName>
    <definedName name="OSRRefE21_2x_6" localSheetId="66">'321'!$K$42</definedName>
    <definedName name="OSRRefE21_2x_6" localSheetId="67">'325'!$K$43</definedName>
    <definedName name="OSRRefE21_2x_6" localSheetId="58">'326'!$K$45</definedName>
    <definedName name="OSRRefE21_2x_6" localSheetId="51">'330'!$K$42</definedName>
    <definedName name="OSRRefE21_2x_6" localSheetId="56">'331'!$K$59</definedName>
    <definedName name="OSRRefE21_2x_6" localSheetId="59">'332'!$K$44</definedName>
    <definedName name="OSRRefE21_2x_6" localSheetId="72">'405'!$K$43</definedName>
    <definedName name="OSRRefE21_2x_6" localSheetId="73">'411'!$K$40</definedName>
    <definedName name="OSRRefE21_2x_6" localSheetId="76">'415'!$K$47</definedName>
    <definedName name="OSRRefE21_2x_6" localSheetId="77">'418'!$K$43</definedName>
    <definedName name="OSRRefE21_2x_6" localSheetId="78">'423'!$K$39</definedName>
    <definedName name="OSRRefE21_2x_6" localSheetId="83">'430'!$K$40</definedName>
    <definedName name="OSRRefE21_2x_6" localSheetId="84">'433'!$K$43</definedName>
    <definedName name="OSRRefE21_2x_6" localSheetId="85">'444'!$K$48</definedName>
    <definedName name="OSRRefE21_2x_6" localSheetId="86">'450'!$K$43</definedName>
    <definedName name="OSRRefE21_2x_6" localSheetId="71">'491'!$K$47</definedName>
    <definedName name="OSRRefE21_2x_6" localSheetId="82">'492'!$K$48</definedName>
    <definedName name="OSRRefE21_2x_6" localSheetId="88">'501'!$K$41</definedName>
    <definedName name="OSRRefE21_2x_6" localSheetId="39">'Div 2'!$K$42</definedName>
    <definedName name="OSRRefE21_2x_6" localSheetId="41">'Div 3'!$K$68</definedName>
    <definedName name="OSRRefE21_2x_6" localSheetId="69">'Div 4'!$K$50</definedName>
    <definedName name="OSRRefE21_2x_6" localSheetId="87">'Div 5'!$K$41</definedName>
    <definedName name="OSRRefE21_2x_6" localSheetId="61">'Div 6'!$K$55</definedName>
    <definedName name="OSRRefE21_2x_6" localSheetId="2">Summary!$K$79</definedName>
    <definedName name="OSRRefE21_2x_7" localSheetId="40">'200'!$L$23</definedName>
    <definedName name="OSRRefE21_2x_7" localSheetId="42">'201'!$L$40</definedName>
    <definedName name="OSRRefE21_2x_7" localSheetId="43">'202'!$L$40</definedName>
    <definedName name="OSRRefE21_2x_7" localSheetId="44">'203'!$L$41</definedName>
    <definedName name="OSRRefE21_2x_7" localSheetId="45">'204'!$L$40:$L$41</definedName>
    <definedName name="OSRRefE21_2x_7" localSheetId="46">'205'!$L$40</definedName>
    <definedName name="OSRRefE21_2x_7" localSheetId="47">'206'!$L$40</definedName>
    <definedName name="OSRRefE21_2x_7" localSheetId="48">'300'!$L$67</definedName>
    <definedName name="OSRRefE21_2x_7" localSheetId="49">'300 &amp; 317'!$L$73</definedName>
    <definedName name="OSRRefE21_2x_7" localSheetId="50">'301'!$L$41</definedName>
    <definedName name="OSRRefE21_2x_7" localSheetId="52">'307'!$L$42</definedName>
    <definedName name="OSRRefE21_2x_7" localSheetId="53">'308'!$L$55</definedName>
    <definedName name="OSRRefE21_2x_7" localSheetId="64">'309'!$L$23</definedName>
    <definedName name="OSRRefE21_2x_7" localSheetId="63">'310'!$L$43</definedName>
    <definedName name="OSRRefE21_2x_7" localSheetId="70">'310 &amp; 491'!$L$47</definedName>
    <definedName name="OSRRefE21_2x_7" localSheetId="54">'311'!$L$55</definedName>
    <definedName name="OSRRefE21_2x_7" localSheetId="57">'315'!$L$59</definedName>
    <definedName name="OSRRefE21_2x_7" localSheetId="60">'316'!$L$44</definedName>
    <definedName name="OSRRefE21_2x_7" localSheetId="62">'317'!$L$55</definedName>
    <definedName name="OSRRefE21_2x_7" localSheetId="66">'321'!$L$42</definedName>
    <definedName name="OSRRefE21_2x_7" localSheetId="67">'325'!$L$43</definedName>
    <definedName name="OSRRefE21_2x_7" localSheetId="58">'326'!$L$45</definedName>
    <definedName name="OSRRefE21_2x_7" localSheetId="51">'330'!$L$42</definedName>
    <definedName name="OSRRefE21_2x_7" localSheetId="56">'331'!$L$59</definedName>
    <definedName name="OSRRefE21_2x_7" localSheetId="59">'332'!$L$44</definedName>
    <definedName name="OSRRefE21_2x_7" localSheetId="72">'405'!$L$43</definedName>
    <definedName name="OSRRefE21_2x_7" localSheetId="73">'411'!$L$40</definedName>
    <definedName name="OSRRefE21_2x_7" localSheetId="76">'415'!$L$47</definedName>
    <definedName name="OSRRefE21_2x_7" localSheetId="77">'418'!$L$43</definedName>
    <definedName name="OSRRefE21_2x_7" localSheetId="78">'423'!$L$39</definedName>
    <definedName name="OSRRefE21_2x_7" localSheetId="83">'430'!$L$40</definedName>
    <definedName name="OSRRefE21_2x_7" localSheetId="84">'433'!$L$43</definedName>
    <definedName name="OSRRefE21_2x_7" localSheetId="85">'444'!$L$48</definedName>
    <definedName name="OSRRefE21_2x_7" localSheetId="86">'450'!$L$43</definedName>
    <definedName name="OSRRefE21_2x_7" localSheetId="71">'491'!$L$47</definedName>
    <definedName name="OSRRefE21_2x_7" localSheetId="82">'492'!$L$48</definedName>
    <definedName name="OSRRefE21_2x_7" localSheetId="88">'501'!$L$41</definedName>
    <definedName name="OSRRefE21_2x_7" localSheetId="39">'Div 2'!$L$42</definedName>
    <definedName name="OSRRefE21_2x_7" localSheetId="41">'Div 3'!$L$68</definedName>
    <definedName name="OSRRefE21_2x_7" localSheetId="69">'Div 4'!$L$50</definedName>
    <definedName name="OSRRefE21_2x_7" localSheetId="87">'Div 5'!$L$41</definedName>
    <definedName name="OSRRefE21_2x_7" localSheetId="61">'Div 6'!$L$55</definedName>
    <definedName name="OSRRefE21_2x_7" localSheetId="2">Summary!$L$79</definedName>
    <definedName name="OSRRefE21_2x_8" localSheetId="40">'200'!$M$23</definedName>
    <definedName name="OSRRefE21_2x_8" localSheetId="42">'201'!$M$40</definedName>
    <definedName name="OSRRefE21_2x_8" localSheetId="43">'202'!$M$40</definedName>
    <definedName name="OSRRefE21_2x_8" localSheetId="44">'203'!$M$41</definedName>
    <definedName name="OSRRefE21_2x_8" localSheetId="45">'204'!$M$40:$M$41</definedName>
    <definedName name="OSRRefE21_2x_8" localSheetId="46">'205'!$M$40</definedName>
    <definedName name="OSRRefE21_2x_8" localSheetId="47">'206'!$M$40</definedName>
    <definedName name="OSRRefE21_2x_8" localSheetId="48">'300'!$M$67</definedName>
    <definedName name="OSRRefE21_2x_8" localSheetId="49">'300 &amp; 317'!$M$73</definedName>
    <definedName name="OSRRefE21_2x_8" localSheetId="50">'301'!$M$41</definedName>
    <definedName name="OSRRefE21_2x_8" localSheetId="52">'307'!$M$42</definedName>
    <definedName name="OSRRefE21_2x_8" localSheetId="53">'308'!$M$55</definedName>
    <definedName name="OSRRefE21_2x_8" localSheetId="64">'309'!$M$23</definedName>
    <definedName name="OSRRefE21_2x_8" localSheetId="63">'310'!$M$43</definedName>
    <definedName name="OSRRefE21_2x_8" localSheetId="70">'310 &amp; 491'!$M$47</definedName>
    <definedName name="OSRRefE21_2x_8" localSheetId="54">'311'!$M$55</definedName>
    <definedName name="OSRRefE21_2x_8" localSheetId="57">'315'!$M$59</definedName>
    <definedName name="OSRRefE21_2x_8" localSheetId="60">'316'!$M$44</definedName>
    <definedName name="OSRRefE21_2x_8" localSheetId="62">'317'!$M$55</definedName>
    <definedName name="OSRRefE21_2x_8" localSheetId="66">'321'!$M$42</definedName>
    <definedName name="OSRRefE21_2x_8" localSheetId="67">'325'!$M$43</definedName>
    <definedName name="OSRRefE21_2x_8" localSheetId="58">'326'!$M$45</definedName>
    <definedName name="OSRRefE21_2x_8" localSheetId="51">'330'!$M$42</definedName>
    <definedName name="OSRRefE21_2x_8" localSheetId="56">'331'!$M$59</definedName>
    <definedName name="OSRRefE21_2x_8" localSheetId="59">'332'!$M$44</definedName>
    <definedName name="OSRRefE21_2x_8" localSheetId="72">'405'!$M$43</definedName>
    <definedName name="OSRRefE21_2x_8" localSheetId="73">'411'!$M$40</definedName>
    <definedName name="OSRRefE21_2x_8" localSheetId="76">'415'!$M$47</definedName>
    <definedName name="OSRRefE21_2x_8" localSheetId="77">'418'!$M$43</definedName>
    <definedName name="OSRRefE21_2x_8" localSheetId="78">'423'!$M$39</definedName>
    <definedName name="OSRRefE21_2x_8" localSheetId="83">'430'!$M$40</definedName>
    <definedName name="OSRRefE21_2x_8" localSheetId="84">'433'!$M$43</definedName>
    <definedName name="OSRRefE21_2x_8" localSheetId="85">'444'!$M$48</definedName>
    <definedName name="OSRRefE21_2x_8" localSheetId="86">'450'!$M$43</definedName>
    <definedName name="OSRRefE21_2x_8" localSheetId="71">'491'!$M$47</definedName>
    <definedName name="OSRRefE21_2x_8" localSheetId="82">'492'!$M$48</definedName>
    <definedName name="OSRRefE21_2x_8" localSheetId="88">'501'!$M$41</definedName>
    <definedName name="OSRRefE21_2x_8" localSheetId="39">'Div 2'!$M$42</definedName>
    <definedName name="OSRRefE21_2x_8" localSheetId="41">'Div 3'!$M$68</definedName>
    <definedName name="OSRRefE21_2x_8" localSheetId="69">'Div 4'!$M$50</definedName>
    <definedName name="OSRRefE21_2x_8" localSheetId="87">'Div 5'!$M$41</definedName>
    <definedName name="OSRRefE21_2x_8" localSheetId="61">'Div 6'!$M$55</definedName>
    <definedName name="OSRRefE21_2x_8" localSheetId="2">Summary!$M$79</definedName>
    <definedName name="OSRRefE21_2x_9" localSheetId="40">'200'!$N$23</definedName>
    <definedName name="OSRRefE21_2x_9" localSheetId="42">'201'!$N$40</definedName>
    <definedName name="OSRRefE21_2x_9" localSheetId="43">'202'!$N$40</definedName>
    <definedName name="OSRRefE21_2x_9" localSheetId="44">'203'!$N$41</definedName>
    <definedName name="OSRRefE21_2x_9" localSheetId="45">'204'!$N$40:$N$41</definedName>
    <definedName name="OSRRefE21_2x_9" localSheetId="46">'205'!$N$40</definedName>
    <definedName name="OSRRefE21_2x_9" localSheetId="47">'206'!$N$40</definedName>
    <definedName name="OSRRefE21_2x_9" localSheetId="48">'300'!$N$67</definedName>
    <definedName name="OSRRefE21_2x_9" localSheetId="49">'300 &amp; 317'!$N$73</definedName>
    <definedName name="OSRRefE21_2x_9" localSheetId="50">'301'!$N$41</definedName>
    <definedName name="OSRRefE21_2x_9" localSheetId="52">'307'!$N$42</definedName>
    <definedName name="OSRRefE21_2x_9" localSheetId="53">'308'!$N$55</definedName>
    <definedName name="OSRRefE21_2x_9" localSheetId="64">'309'!$N$23</definedName>
    <definedName name="OSRRefE21_2x_9" localSheetId="63">'310'!$N$43</definedName>
    <definedName name="OSRRefE21_2x_9" localSheetId="70">'310 &amp; 491'!$N$47</definedName>
    <definedName name="OSRRefE21_2x_9" localSheetId="54">'311'!$N$55</definedName>
    <definedName name="OSRRefE21_2x_9" localSheetId="57">'315'!$N$59</definedName>
    <definedName name="OSRRefE21_2x_9" localSheetId="60">'316'!$N$44</definedName>
    <definedName name="OSRRefE21_2x_9" localSheetId="62">'317'!$N$55</definedName>
    <definedName name="OSRRefE21_2x_9" localSheetId="66">'321'!$N$42</definedName>
    <definedName name="OSRRefE21_2x_9" localSheetId="67">'325'!$N$43</definedName>
    <definedName name="OSRRefE21_2x_9" localSheetId="58">'326'!$N$45</definedName>
    <definedName name="OSRRefE21_2x_9" localSheetId="51">'330'!$N$42</definedName>
    <definedName name="OSRRefE21_2x_9" localSheetId="56">'331'!$N$59</definedName>
    <definedName name="OSRRefE21_2x_9" localSheetId="59">'332'!$N$44</definedName>
    <definedName name="OSRRefE21_2x_9" localSheetId="72">'405'!$N$43</definedName>
    <definedName name="OSRRefE21_2x_9" localSheetId="73">'411'!$N$40</definedName>
    <definedName name="OSRRefE21_2x_9" localSheetId="76">'415'!$N$47</definedName>
    <definedName name="OSRRefE21_2x_9" localSheetId="77">'418'!$N$43</definedName>
    <definedName name="OSRRefE21_2x_9" localSheetId="78">'423'!$N$39</definedName>
    <definedName name="OSRRefE21_2x_9" localSheetId="83">'430'!$N$40</definedName>
    <definedName name="OSRRefE21_2x_9" localSheetId="84">'433'!$N$43</definedName>
    <definedName name="OSRRefE21_2x_9" localSheetId="85">'444'!$N$48</definedName>
    <definedName name="OSRRefE21_2x_9" localSheetId="86">'450'!$N$43</definedName>
    <definedName name="OSRRefE21_2x_9" localSheetId="71">'491'!$N$47</definedName>
    <definedName name="OSRRefE21_2x_9" localSheetId="82">'492'!$N$48</definedName>
    <definedName name="OSRRefE21_2x_9" localSheetId="88">'501'!$N$41</definedName>
    <definedName name="OSRRefE21_2x_9" localSheetId="39">'Div 2'!$N$42</definedName>
    <definedName name="OSRRefE21_2x_9" localSheetId="41">'Div 3'!$N$68</definedName>
    <definedName name="OSRRefE21_2x_9" localSheetId="69">'Div 4'!$N$50</definedName>
    <definedName name="OSRRefE21_2x_9" localSheetId="87">'Div 5'!$N$41</definedName>
    <definedName name="OSRRefE21_2x_9" localSheetId="61">'Div 6'!$N$55</definedName>
    <definedName name="OSRRefE21_2x_9" localSheetId="2">Summary!$N$79</definedName>
    <definedName name="OSRRefE21_3_0x" localSheetId="40">'200'!$E$25:$O$25</definedName>
    <definedName name="OSRRefE21_3_0x" localSheetId="42">'201'!$E$42:$O$42</definedName>
    <definedName name="OSRRefE21_3_0x" localSheetId="43">'202'!$E$42:$O$42</definedName>
    <definedName name="OSRRefE21_3_0x" localSheetId="44">'203'!$E$43:$O$43</definedName>
    <definedName name="OSRRefE21_3_0x" localSheetId="45">'204'!$E$43:$O$43</definedName>
    <definedName name="OSRRefE21_3_0x" localSheetId="46">'205'!$E$42:$O$42</definedName>
    <definedName name="OSRRefE21_3_0x" localSheetId="47">'206'!$E$42:$O$42</definedName>
    <definedName name="OSRRefE21_3_0x" localSheetId="48">'300'!$E$69:$O$69</definedName>
    <definedName name="OSRRefE21_3_0x" localSheetId="49">'300 &amp; 317'!$E$75:$O$75</definedName>
    <definedName name="OSRRefE21_3_0x" localSheetId="50">'301'!$E$43:$O$43</definedName>
    <definedName name="OSRRefE21_3_0x" localSheetId="52">'307'!$E$44:$O$44</definedName>
    <definedName name="OSRRefE21_3_0x" localSheetId="53">'308'!$E$57:$O$57</definedName>
    <definedName name="OSRRefE21_3_0x" localSheetId="63">'310'!$E$45:$O$45</definedName>
    <definedName name="OSRRefE21_3_0x" localSheetId="70">'310 &amp; 491'!$E$49:$O$49</definedName>
    <definedName name="OSRRefE21_3_0x" localSheetId="54">'311'!$E$57:$O$57</definedName>
    <definedName name="OSRRefE21_3_0x" localSheetId="57">'315'!$E$61:$O$61</definedName>
    <definedName name="OSRRefE21_3_0x" localSheetId="60">'316'!$E$46:$O$46</definedName>
    <definedName name="OSRRefE21_3_0x" localSheetId="62">'317'!$E$57:$O$57</definedName>
    <definedName name="OSRRefE21_3_0x" localSheetId="66">'321'!$E$44:$O$44</definedName>
    <definedName name="OSRRefE21_3_0x" localSheetId="67">'325'!$E$45:$O$45</definedName>
    <definedName name="OSRRefE21_3_0x" localSheetId="58">'326'!$E$47:$O$47</definedName>
    <definedName name="OSRRefE21_3_0x" localSheetId="51">'330'!$E$44:$O$44</definedName>
    <definedName name="OSRRefE21_3_0x" localSheetId="56">'331'!$E$61:$O$61</definedName>
    <definedName name="OSRRefE21_3_0x" localSheetId="59">'332'!$E$46:$O$46</definedName>
    <definedName name="OSRRefE21_3_0x" localSheetId="72">'405'!$E$45:$O$45</definedName>
    <definedName name="OSRRefE21_3_0x" localSheetId="73">'411'!$E$42:$O$42</definedName>
    <definedName name="OSRRefE21_3_0x" localSheetId="76">'415'!$E$49:$O$49</definedName>
    <definedName name="OSRRefE21_3_0x" localSheetId="77">'418'!$E$45:$O$45</definedName>
    <definedName name="OSRRefE21_3_0x" localSheetId="78">'423'!$E$41:$O$41</definedName>
    <definedName name="OSRRefE21_3_0x" localSheetId="83">'430'!$E$42:$O$42</definedName>
    <definedName name="OSRRefE21_3_0x" localSheetId="84">'433'!$E$45:$O$45</definedName>
    <definedName name="OSRRefE21_3_0x" localSheetId="85">'444'!$E$50:$O$50</definedName>
    <definedName name="OSRRefE21_3_0x" localSheetId="86">'450'!$E$45:$O$45</definedName>
    <definedName name="OSRRefE21_3_0x" localSheetId="71">'491'!$E$49:$O$49</definedName>
    <definedName name="OSRRefE21_3_0x" localSheetId="82">'492'!$E$50:$O$50</definedName>
    <definedName name="OSRRefE21_3_0x" localSheetId="88">'501'!$E$43:$O$43</definedName>
    <definedName name="OSRRefE21_3_0x" localSheetId="39">'Div 2'!$E$44:$O$44</definedName>
    <definedName name="OSRRefE21_3_0x" localSheetId="41">'Div 3'!$E$70:$O$70</definedName>
    <definedName name="OSRRefE21_3_0x" localSheetId="69">'Div 4'!$E$52:$O$52</definedName>
    <definedName name="OSRRefE21_3_0x" localSheetId="87">'Div 5'!$E$43:$O$43</definedName>
    <definedName name="OSRRefE21_3_0x" localSheetId="61">'Div 6'!$E$57:$O$57</definedName>
    <definedName name="OSRRefE21_3_0x" localSheetId="2">Summary!$E$81:$O$81</definedName>
    <definedName name="OSRRefE21_3_1x" localSheetId="40">'200'!$E$26:$O$26</definedName>
    <definedName name="OSRRefE21_3_1x" localSheetId="73">'411'!$E$43:$O$43</definedName>
    <definedName name="OSRRefE21_3x_0" localSheetId="40">'200'!$E$25:$E$26</definedName>
    <definedName name="OSRRefE21_3x_0" localSheetId="42">'201'!$E$42</definedName>
    <definedName name="OSRRefE21_3x_0" localSheetId="43">'202'!$E$42</definedName>
    <definedName name="OSRRefE21_3x_0" localSheetId="44">'203'!$E$43</definedName>
    <definedName name="OSRRefE21_3x_0" localSheetId="45">'204'!$E$43</definedName>
    <definedName name="OSRRefE21_3x_0" localSheetId="46">'205'!$E$42</definedName>
    <definedName name="OSRRefE21_3x_0" localSheetId="47">'206'!$E$42</definedName>
    <definedName name="OSRRefE21_3x_0" localSheetId="48">'300'!$E$69</definedName>
    <definedName name="OSRRefE21_3x_0" localSheetId="49">'300 &amp; 317'!$E$75</definedName>
    <definedName name="OSRRefE21_3x_0" localSheetId="50">'301'!$E$43</definedName>
    <definedName name="OSRRefE21_3x_0" localSheetId="52">'307'!$E$44</definedName>
    <definedName name="OSRRefE21_3x_0" localSheetId="53">'308'!$E$57</definedName>
    <definedName name="OSRRefE21_3x_0" localSheetId="63">'310'!$E$45</definedName>
    <definedName name="OSRRefE21_3x_0" localSheetId="70">'310 &amp; 491'!$E$49</definedName>
    <definedName name="OSRRefE21_3x_0" localSheetId="54">'311'!$E$57</definedName>
    <definedName name="OSRRefE21_3x_0" localSheetId="57">'315'!$E$61</definedName>
    <definedName name="OSRRefE21_3x_0" localSheetId="60">'316'!$E$46</definedName>
    <definedName name="OSRRefE21_3x_0" localSheetId="62">'317'!$E$57</definedName>
    <definedName name="OSRRefE21_3x_0" localSheetId="66">'321'!$E$44</definedName>
    <definedName name="OSRRefE21_3x_0" localSheetId="67">'325'!$E$45</definedName>
    <definedName name="OSRRefE21_3x_0" localSheetId="58">'326'!$E$47</definedName>
    <definedName name="OSRRefE21_3x_0" localSheetId="51">'330'!$E$44</definedName>
    <definedName name="OSRRefE21_3x_0" localSheetId="56">'331'!$E$61</definedName>
    <definedName name="OSRRefE21_3x_0" localSheetId="59">'332'!$E$46</definedName>
    <definedName name="OSRRefE21_3x_0" localSheetId="72">'405'!$E$45</definedName>
    <definedName name="OSRRefE21_3x_0" localSheetId="73">'411'!$E$42:$E$43</definedName>
    <definedName name="OSRRefE21_3x_0" localSheetId="76">'415'!$E$49</definedName>
    <definedName name="OSRRefE21_3x_0" localSheetId="77">'418'!$E$45</definedName>
    <definedName name="OSRRefE21_3x_0" localSheetId="78">'423'!$E$41</definedName>
    <definedName name="OSRRefE21_3x_0" localSheetId="83">'430'!$E$42</definedName>
    <definedName name="OSRRefE21_3x_0" localSheetId="84">'433'!$E$45</definedName>
    <definedName name="OSRRefE21_3x_0" localSheetId="85">'444'!$E$50</definedName>
    <definedName name="OSRRefE21_3x_0" localSheetId="86">'450'!$E$45</definedName>
    <definedName name="OSRRefE21_3x_0" localSheetId="71">'491'!$E$49</definedName>
    <definedName name="OSRRefE21_3x_0" localSheetId="82">'492'!$E$50</definedName>
    <definedName name="OSRRefE21_3x_0" localSheetId="88">'501'!$E$43</definedName>
    <definedName name="OSRRefE21_3x_0" localSheetId="39">'Div 2'!$E$44</definedName>
    <definedName name="OSRRefE21_3x_0" localSheetId="41">'Div 3'!$E$70</definedName>
    <definedName name="OSRRefE21_3x_0" localSheetId="69">'Div 4'!$E$52</definedName>
    <definedName name="OSRRefE21_3x_0" localSheetId="87">'Div 5'!$E$43</definedName>
    <definedName name="OSRRefE21_3x_0" localSheetId="61">'Div 6'!$E$57</definedName>
    <definedName name="OSRRefE21_3x_0" localSheetId="2">Summary!$E$81</definedName>
    <definedName name="OSRRefE21_3x_1" localSheetId="40">'200'!$F$25:$F$26</definedName>
    <definedName name="OSRRefE21_3x_1" localSheetId="42">'201'!$F$42</definedName>
    <definedName name="OSRRefE21_3x_1" localSheetId="43">'202'!$F$42</definedName>
    <definedName name="OSRRefE21_3x_1" localSheetId="44">'203'!$F$43</definedName>
    <definedName name="OSRRefE21_3x_1" localSheetId="45">'204'!$F$43</definedName>
    <definedName name="OSRRefE21_3x_1" localSheetId="46">'205'!$F$42</definedName>
    <definedName name="OSRRefE21_3x_1" localSheetId="47">'206'!$F$42</definedName>
    <definedName name="OSRRefE21_3x_1" localSheetId="48">'300'!$F$69</definedName>
    <definedName name="OSRRefE21_3x_1" localSheetId="49">'300 &amp; 317'!$F$75</definedName>
    <definedName name="OSRRefE21_3x_1" localSheetId="50">'301'!$F$43</definedName>
    <definedName name="OSRRefE21_3x_1" localSheetId="52">'307'!$F$44</definedName>
    <definedName name="OSRRefE21_3x_1" localSheetId="53">'308'!$F$57</definedName>
    <definedName name="OSRRefE21_3x_1" localSheetId="63">'310'!$F$45</definedName>
    <definedName name="OSRRefE21_3x_1" localSheetId="70">'310 &amp; 491'!$F$49</definedName>
    <definedName name="OSRRefE21_3x_1" localSheetId="54">'311'!$F$57</definedName>
    <definedName name="OSRRefE21_3x_1" localSheetId="57">'315'!$F$61</definedName>
    <definedName name="OSRRefE21_3x_1" localSheetId="60">'316'!$F$46</definedName>
    <definedName name="OSRRefE21_3x_1" localSheetId="62">'317'!$F$57</definedName>
    <definedName name="OSRRefE21_3x_1" localSheetId="66">'321'!$F$44</definedName>
    <definedName name="OSRRefE21_3x_1" localSheetId="67">'325'!$F$45</definedName>
    <definedName name="OSRRefE21_3x_1" localSheetId="58">'326'!$F$47</definedName>
    <definedName name="OSRRefE21_3x_1" localSheetId="51">'330'!$F$44</definedName>
    <definedName name="OSRRefE21_3x_1" localSheetId="56">'331'!$F$61</definedName>
    <definedName name="OSRRefE21_3x_1" localSheetId="59">'332'!$F$46</definedName>
    <definedName name="OSRRefE21_3x_1" localSheetId="72">'405'!$F$45</definedName>
    <definedName name="OSRRefE21_3x_1" localSheetId="73">'411'!$F$42:$F$43</definedName>
    <definedName name="OSRRefE21_3x_1" localSheetId="76">'415'!$F$49</definedName>
    <definedName name="OSRRefE21_3x_1" localSheetId="77">'418'!$F$45</definedName>
    <definedName name="OSRRefE21_3x_1" localSheetId="78">'423'!$F$41</definedName>
    <definedName name="OSRRefE21_3x_1" localSheetId="83">'430'!$F$42</definedName>
    <definedName name="OSRRefE21_3x_1" localSheetId="84">'433'!$F$45</definedName>
    <definedName name="OSRRefE21_3x_1" localSheetId="85">'444'!$F$50</definedName>
    <definedName name="OSRRefE21_3x_1" localSheetId="86">'450'!$F$45</definedName>
    <definedName name="OSRRefE21_3x_1" localSheetId="71">'491'!$F$49</definedName>
    <definedName name="OSRRefE21_3x_1" localSheetId="82">'492'!$F$50</definedName>
    <definedName name="OSRRefE21_3x_1" localSheetId="88">'501'!$F$43</definedName>
    <definedName name="OSRRefE21_3x_1" localSheetId="39">'Div 2'!$F$44</definedName>
    <definedName name="OSRRefE21_3x_1" localSheetId="41">'Div 3'!$F$70</definedName>
    <definedName name="OSRRefE21_3x_1" localSheetId="69">'Div 4'!$F$52</definedName>
    <definedName name="OSRRefE21_3x_1" localSheetId="87">'Div 5'!$F$43</definedName>
    <definedName name="OSRRefE21_3x_1" localSheetId="61">'Div 6'!$F$57</definedName>
    <definedName name="OSRRefE21_3x_1" localSheetId="2">Summary!$F$81</definedName>
    <definedName name="OSRRefE21_3x_10" localSheetId="40">'200'!$O$25:$O$26</definedName>
    <definedName name="OSRRefE21_3x_10" localSheetId="42">'201'!$O$42</definedName>
    <definedName name="OSRRefE21_3x_10" localSheetId="43">'202'!$O$42</definedName>
    <definedName name="OSRRefE21_3x_10" localSheetId="44">'203'!$O$43</definedName>
    <definedName name="OSRRefE21_3x_10" localSheetId="45">'204'!$O$43</definedName>
    <definedName name="OSRRefE21_3x_10" localSheetId="46">'205'!$O$42</definedName>
    <definedName name="OSRRefE21_3x_10" localSheetId="47">'206'!$O$42</definedName>
    <definedName name="OSRRefE21_3x_10" localSheetId="48">'300'!$O$69</definedName>
    <definedName name="OSRRefE21_3x_10" localSheetId="49">'300 &amp; 317'!$O$75</definedName>
    <definedName name="OSRRefE21_3x_10" localSheetId="50">'301'!$O$43</definedName>
    <definedName name="OSRRefE21_3x_10" localSheetId="52">'307'!$O$44</definedName>
    <definedName name="OSRRefE21_3x_10" localSheetId="53">'308'!$O$57</definedName>
    <definedName name="OSRRefE21_3x_10" localSheetId="63">'310'!$O$45</definedName>
    <definedName name="OSRRefE21_3x_10" localSheetId="70">'310 &amp; 491'!$O$49</definedName>
    <definedName name="OSRRefE21_3x_10" localSheetId="54">'311'!$O$57</definedName>
    <definedName name="OSRRefE21_3x_10" localSheetId="57">'315'!$O$61</definedName>
    <definedName name="OSRRefE21_3x_10" localSheetId="60">'316'!$O$46</definedName>
    <definedName name="OSRRefE21_3x_10" localSheetId="62">'317'!$O$57</definedName>
    <definedName name="OSRRefE21_3x_10" localSheetId="66">'321'!$O$44</definedName>
    <definedName name="OSRRefE21_3x_10" localSheetId="67">'325'!$O$45</definedName>
    <definedName name="OSRRefE21_3x_10" localSheetId="58">'326'!$O$47</definedName>
    <definedName name="OSRRefE21_3x_10" localSheetId="51">'330'!$O$44</definedName>
    <definedName name="OSRRefE21_3x_10" localSheetId="56">'331'!$O$61</definedName>
    <definedName name="OSRRefE21_3x_10" localSheetId="59">'332'!$O$46</definedName>
    <definedName name="OSRRefE21_3x_10" localSheetId="72">'405'!$O$45</definedName>
    <definedName name="OSRRefE21_3x_10" localSheetId="73">'411'!$O$42:$O$43</definedName>
    <definedName name="OSRRefE21_3x_10" localSheetId="76">'415'!$O$49</definedName>
    <definedName name="OSRRefE21_3x_10" localSheetId="77">'418'!$O$45</definedName>
    <definedName name="OSRRefE21_3x_10" localSheetId="78">'423'!$O$41</definedName>
    <definedName name="OSRRefE21_3x_10" localSheetId="83">'430'!$O$42</definedName>
    <definedName name="OSRRefE21_3x_10" localSheetId="84">'433'!$O$45</definedName>
    <definedName name="OSRRefE21_3x_10" localSheetId="85">'444'!$O$50</definedName>
    <definedName name="OSRRefE21_3x_10" localSheetId="86">'450'!$O$45</definedName>
    <definedName name="OSRRefE21_3x_10" localSheetId="71">'491'!$O$49</definedName>
    <definedName name="OSRRefE21_3x_10" localSheetId="82">'492'!$O$50</definedName>
    <definedName name="OSRRefE21_3x_10" localSheetId="88">'501'!$O$43</definedName>
    <definedName name="OSRRefE21_3x_10" localSheetId="39">'Div 2'!$O$44</definedName>
    <definedName name="OSRRefE21_3x_10" localSheetId="41">'Div 3'!$O$70</definedName>
    <definedName name="OSRRefE21_3x_10" localSheetId="69">'Div 4'!$O$52</definedName>
    <definedName name="OSRRefE21_3x_10" localSheetId="87">'Div 5'!$O$43</definedName>
    <definedName name="OSRRefE21_3x_10" localSheetId="61">'Div 6'!$O$57</definedName>
    <definedName name="OSRRefE21_3x_10" localSheetId="2">Summary!$O$81</definedName>
    <definedName name="OSRRefE21_3x_2" localSheetId="40">'200'!$G$25:$G$26</definedName>
    <definedName name="OSRRefE21_3x_2" localSheetId="42">'201'!$G$42</definedName>
    <definedName name="OSRRefE21_3x_2" localSheetId="43">'202'!$G$42</definedName>
    <definedName name="OSRRefE21_3x_2" localSheetId="44">'203'!$G$43</definedName>
    <definedName name="OSRRefE21_3x_2" localSheetId="45">'204'!$G$43</definedName>
    <definedName name="OSRRefE21_3x_2" localSheetId="46">'205'!$G$42</definedName>
    <definedName name="OSRRefE21_3x_2" localSheetId="47">'206'!$G$42</definedName>
    <definedName name="OSRRefE21_3x_2" localSheetId="48">'300'!$G$69</definedName>
    <definedName name="OSRRefE21_3x_2" localSheetId="49">'300 &amp; 317'!$G$75</definedName>
    <definedName name="OSRRefE21_3x_2" localSheetId="50">'301'!$G$43</definedName>
    <definedName name="OSRRefE21_3x_2" localSheetId="52">'307'!$G$44</definedName>
    <definedName name="OSRRefE21_3x_2" localSheetId="53">'308'!$G$57</definedName>
    <definedName name="OSRRefE21_3x_2" localSheetId="63">'310'!$G$45</definedName>
    <definedName name="OSRRefE21_3x_2" localSheetId="70">'310 &amp; 491'!$G$49</definedName>
    <definedName name="OSRRefE21_3x_2" localSheetId="54">'311'!$G$57</definedName>
    <definedName name="OSRRefE21_3x_2" localSheetId="57">'315'!$G$61</definedName>
    <definedName name="OSRRefE21_3x_2" localSheetId="60">'316'!$G$46</definedName>
    <definedName name="OSRRefE21_3x_2" localSheetId="62">'317'!$G$57</definedName>
    <definedName name="OSRRefE21_3x_2" localSheetId="66">'321'!$G$44</definedName>
    <definedName name="OSRRefE21_3x_2" localSheetId="67">'325'!$G$45</definedName>
    <definedName name="OSRRefE21_3x_2" localSheetId="58">'326'!$G$47</definedName>
    <definedName name="OSRRefE21_3x_2" localSheetId="51">'330'!$G$44</definedName>
    <definedName name="OSRRefE21_3x_2" localSheetId="56">'331'!$G$61</definedName>
    <definedName name="OSRRefE21_3x_2" localSheetId="59">'332'!$G$46</definedName>
    <definedName name="OSRRefE21_3x_2" localSheetId="72">'405'!$G$45</definedName>
    <definedName name="OSRRefE21_3x_2" localSheetId="73">'411'!$G$42:$G$43</definedName>
    <definedName name="OSRRefE21_3x_2" localSheetId="76">'415'!$G$49</definedName>
    <definedName name="OSRRefE21_3x_2" localSheetId="77">'418'!$G$45</definedName>
    <definedName name="OSRRefE21_3x_2" localSheetId="78">'423'!$G$41</definedName>
    <definedName name="OSRRefE21_3x_2" localSheetId="83">'430'!$G$42</definedName>
    <definedName name="OSRRefE21_3x_2" localSheetId="84">'433'!$G$45</definedName>
    <definedName name="OSRRefE21_3x_2" localSheetId="85">'444'!$G$50</definedName>
    <definedName name="OSRRefE21_3x_2" localSheetId="86">'450'!$G$45</definedName>
    <definedName name="OSRRefE21_3x_2" localSheetId="71">'491'!$G$49</definedName>
    <definedName name="OSRRefE21_3x_2" localSheetId="82">'492'!$G$50</definedName>
    <definedName name="OSRRefE21_3x_2" localSheetId="88">'501'!$G$43</definedName>
    <definedName name="OSRRefE21_3x_2" localSheetId="39">'Div 2'!$G$44</definedName>
    <definedName name="OSRRefE21_3x_2" localSheetId="41">'Div 3'!$G$70</definedName>
    <definedName name="OSRRefE21_3x_2" localSheetId="69">'Div 4'!$G$52</definedName>
    <definedName name="OSRRefE21_3x_2" localSheetId="87">'Div 5'!$G$43</definedName>
    <definedName name="OSRRefE21_3x_2" localSheetId="61">'Div 6'!$G$57</definedName>
    <definedName name="OSRRefE21_3x_2" localSheetId="2">Summary!$G$81</definedName>
    <definedName name="OSRRefE21_3x_3" localSheetId="40">'200'!$H$25:$H$26</definedName>
    <definedName name="OSRRefE21_3x_3" localSheetId="42">'201'!$H$42</definedName>
    <definedName name="OSRRefE21_3x_3" localSheetId="43">'202'!$H$42</definedName>
    <definedName name="OSRRefE21_3x_3" localSheetId="44">'203'!$H$43</definedName>
    <definedName name="OSRRefE21_3x_3" localSheetId="45">'204'!$H$43</definedName>
    <definedName name="OSRRefE21_3x_3" localSheetId="46">'205'!$H$42</definedName>
    <definedName name="OSRRefE21_3x_3" localSheetId="47">'206'!$H$42</definedName>
    <definedName name="OSRRefE21_3x_3" localSheetId="48">'300'!$H$69</definedName>
    <definedName name="OSRRefE21_3x_3" localSheetId="49">'300 &amp; 317'!$H$75</definedName>
    <definedName name="OSRRefE21_3x_3" localSheetId="50">'301'!$H$43</definedName>
    <definedName name="OSRRefE21_3x_3" localSheetId="52">'307'!$H$44</definedName>
    <definedName name="OSRRefE21_3x_3" localSheetId="53">'308'!$H$57</definedName>
    <definedName name="OSRRefE21_3x_3" localSheetId="63">'310'!$H$45</definedName>
    <definedName name="OSRRefE21_3x_3" localSheetId="70">'310 &amp; 491'!$H$49</definedName>
    <definedName name="OSRRefE21_3x_3" localSheetId="54">'311'!$H$57</definedName>
    <definedName name="OSRRefE21_3x_3" localSheetId="57">'315'!$H$61</definedName>
    <definedName name="OSRRefE21_3x_3" localSheetId="60">'316'!$H$46</definedName>
    <definedName name="OSRRefE21_3x_3" localSheetId="62">'317'!$H$57</definedName>
    <definedName name="OSRRefE21_3x_3" localSheetId="66">'321'!$H$44</definedName>
    <definedName name="OSRRefE21_3x_3" localSheetId="67">'325'!$H$45</definedName>
    <definedName name="OSRRefE21_3x_3" localSheetId="58">'326'!$H$47</definedName>
    <definedName name="OSRRefE21_3x_3" localSheetId="51">'330'!$H$44</definedName>
    <definedName name="OSRRefE21_3x_3" localSheetId="56">'331'!$H$61</definedName>
    <definedName name="OSRRefE21_3x_3" localSheetId="59">'332'!$H$46</definedName>
    <definedName name="OSRRefE21_3x_3" localSheetId="72">'405'!$H$45</definedName>
    <definedName name="OSRRefE21_3x_3" localSheetId="73">'411'!$H$42:$H$43</definedName>
    <definedName name="OSRRefE21_3x_3" localSheetId="76">'415'!$H$49</definedName>
    <definedName name="OSRRefE21_3x_3" localSheetId="77">'418'!$H$45</definedName>
    <definedName name="OSRRefE21_3x_3" localSheetId="78">'423'!$H$41</definedName>
    <definedName name="OSRRefE21_3x_3" localSheetId="83">'430'!$H$42</definedName>
    <definedName name="OSRRefE21_3x_3" localSheetId="84">'433'!$H$45</definedName>
    <definedName name="OSRRefE21_3x_3" localSheetId="85">'444'!$H$50</definedName>
    <definedName name="OSRRefE21_3x_3" localSheetId="86">'450'!$H$45</definedName>
    <definedName name="OSRRefE21_3x_3" localSheetId="71">'491'!$H$49</definedName>
    <definedName name="OSRRefE21_3x_3" localSheetId="82">'492'!$H$50</definedName>
    <definedName name="OSRRefE21_3x_3" localSheetId="88">'501'!$H$43</definedName>
    <definedName name="OSRRefE21_3x_3" localSheetId="39">'Div 2'!$H$44</definedName>
    <definedName name="OSRRefE21_3x_3" localSheetId="41">'Div 3'!$H$70</definedName>
    <definedName name="OSRRefE21_3x_3" localSheetId="69">'Div 4'!$H$52</definedName>
    <definedName name="OSRRefE21_3x_3" localSheetId="87">'Div 5'!$H$43</definedName>
    <definedName name="OSRRefE21_3x_3" localSheetId="61">'Div 6'!$H$57</definedName>
    <definedName name="OSRRefE21_3x_3" localSheetId="2">Summary!$H$81</definedName>
    <definedName name="OSRRefE21_3x_4" localSheetId="40">'200'!$I$25:$I$26</definedName>
    <definedName name="OSRRefE21_3x_4" localSheetId="42">'201'!$I$42</definedName>
    <definedName name="OSRRefE21_3x_4" localSheetId="43">'202'!$I$42</definedName>
    <definedName name="OSRRefE21_3x_4" localSheetId="44">'203'!$I$43</definedName>
    <definedName name="OSRRefE21_3x_4" localSheetId="45">'204'!$I$43</definedName>
    <definedName name="OSRRefE21_3x_4" localSheetId="46">'205'!$I$42</definedName>
    <definedName name="OSRRefE21_3x_4" localSheetId="47">'206'!$I$42</definedName>
    <definedName name="OSRRefE21_3x_4" localSheetId="48">'300'!$I$69</definedName>
    <definedName name="OSRRefE21_3x_4" localSheetId="49">'300 &amp; 317'!$I$75</definedName>
    <definedName name="OSRRefE21_3x_4" localSheetId="50">'301'!$I$43</definedName>
    <definedName name="OSRRefE21_3x_4" localSheetId="52">'307'!$I$44</definedName>
    <definedName name="OSRRefE21_3x_4" localSheetId="53">'308'!$I$57</definedName>
    <definedName name="OSRRefE21_3x_4" localSheetId="63">'310'!$I$45</definedName>
    <definedName name="OSRRefE21_3x_4" localSheetId="70">'310 &amp; 491'!$I$49</definedName>
    <definedName name="OSRRefE21_3x_4" localSheetId="54">'311'!$I$57</definedName>
    <definedName name="OSRRefE21_3x_4" localSheetId="57">'315'!$I$61</definedName>
    <definedName name="OSRRefE21_3x_4" localSheetId="60">'316'!$I$46</definedName>
    <definedName name="OSRRefE21_3x_4" localSheetId="62">'317'!$I$57</definedName>
    <definedName name="OSRRefE21_3x_4" localSheetId="66">'321'!$I$44</definedName>
    <definedName name="OSRRefE21_3x_4" localSheetId="67">'325'!$I$45</definedName>
    <definedName name="OSRRefE21_3x_4" localSheetId="58">'326'!$I$47</definedName>
    <definedName name="OSRRefE21_3x_4" localSheetId="51">'330'!$I$44</definedName>
    <definedName name="OSRRefE21_3x_4" localSheetId="56">'331'!$I$61</definedName>
    <definedName name="OSRRefE21_3x_4" localSheetId="59">'332'!$I$46</definedName>
    <definedName name="OSRRefE21_3x_4" localSheetId="72">'405'!$I$45</definedName>
    <definedName name="OSRRefE21_3x_4" localSheetId="73">'411'!$I$42:$I$43</definedName>
    <definedName name="OSRRefE21_3x_4" localSheetId="76">'415'!$I$49</definedName>
    <definedName name="OSRRefE21_3x_4" localSheetId="77">'418'!$I$45</definedName>
    <definedName name="OSRRefE21_3x_4" localSheetId="78">'423'!$I$41</definedName>
    <definedName name="OSRRefE21_3x_4" localSheetId="83">'430'!$I$42</definedName>
    <definedName name="OSRRefE21_3x_4" localSheetId="84">'433'!$I$45</definedName>
    <definedName name="OSRRefE21_3x_4" localSheetId="85">'444'!$I$50</definedName>
    <definedName name="OSRRefE21_3x_4" localSheetId="86">'450'!$I$45</definedName>
    <definedName name="OSRRefE21_3x_4" localSheetId="71">'491'!$I$49</definedName>
    <definedName name="OSRRefE21_3x_4" localSheetId="82">'492'!$I$50</definedName>
    <definedName name="OSRRefE21_3x_4" localSheetId="88">'501'!$I$43</definedName>
    <definedName name="OSRRefE21_3x_4" localSheetId="39">'Div 2'!$I$44</definedName>
    <definedName name="OSRRefE21_3x_4" localSheetId="41">'Div 3'!$I$70</definedName>
    <definedName name="OSRRefE21_3x_4" localSheetId="69">'Div 4'!$I$52</definedName>
    <definedName name="OSRRefE21_3x_4" localSheetId="87">'Div 5'!$I$43</definedName>
    <definedName name="OSRRefE21_3x_4" localSheetId="61">'Div 6'!$I$57</definedName>
    <definedName name="OSRRefE21_3x_4" localSheetId="2">Summary!$I$81</definedName>
    <definedName name="OSRRefE21_3x_5" localSheetId="40">'200'!$J$25:$J$26</definedName>
    <definedName name="OSRRefE21_3x_5" localSheetId="42">'201'!$J$42</definedName>
    <definedName name="OSRRefE21_3x_5" localSheetId="43">'202'!$J$42</definedName>
    <definedName name="OSRRefE21_3x_5" localSheetId="44">'203'!$J$43</definedName>
    <definedName name="OSRRefE21_3x_5" localSheetId="45">'204'!$J$43</definedName>
    <definedName name="OSRRefE21_3x_5" localSheetId="46">'205'!$J$42</definedName>
    <definedName name="OSRRefE21_3x_5" localSheetId="47">'206'!$J$42</definedName>
    <definedName name="OSRRefE21_3x_5" localSheetId="48">'300'!$J$69</definedName>
    <definedName name="OSRRefE21_3x_5" localSheetId="49">'300 &amp; 317'!$J$75</definedName>
    <definedName name="OSRRefE21_3x_5" localSheetId="50">'301'!$J$43</definedName>
    <definedName name="OSRRefE21_3x_5" localSheetId="52">'307'!$J$44</definedName>
    <definedName name="OSRRefE21_3x_5" localSheetId="53">'308'!$J$57</definedName>
    <definedName name="OSRRefE21_3x_5" localSheetId="63">'310'!$J$45</definedName>
    <definedName name="OSRRefE21_3x_5" localSheetId="70">'310 &amp; 491'!$J$49</definedName>
    <definedName name="OSRRefE21_3x_5" localSheetId="54">'311'!$J$57</definedName>
    <definedName name="OSRRefE21_3x_5" localSheetId="57">'315'!$J$61</definedName>
    <definedName name="OSRRefE21_3x_5" localSheetId="60">'316'!$J$46</definedName>
    <definedName name="OSRRefE21_3x_5" localSheetId="62">'317'!$J$57</definedName>
    <definedName name="OSRRefE21_3x_5" localSheetId="66">'321'!$J$44</definedName>
    <definedName name="OSRRefE21_3x_5" localSheetId="67">'325'!$J$45</definedName>
    <definedName name="OSRRefE21_3x_5" localSheetId="58">'326'!$J$47</definedName>
    <definedName name="OSRRefE21_3x_5" localSheetId="51">'330'!$J$44</definedName>
    <definedName name="OSRRefE21_3x_5" localSheetId="56">'331'!$J$61</definedName>
    <definedName name="OSRRefE21_3x_5" localSheetId="59">'332'!$J$46</definedName>
    <definedName name="OSRRefE21_3x_5" localSheetId="72">'405'!$J$45</definedName>
    <definedName name="OSRRefE21_3x_5" localSheetId="73">'411'!$J$42:$J$43</definedName>
    <definedName name="OSRRefE21_3x_5" localSheetId="76">'415'!$J$49</definedName>
    <definedName name="OSRRefE21_3x_5" localSheetId="77">'418'!$J$45</definedName>
    <definedName name="OSRRefE21_3x_5" localSheetId="78">'423'!$J$41</definedName>
    <definedName name="OSRRefE21_3x_5" localSheetId="83">'430'!$J$42</definedName>
    <definedName name="OSRRefE21_3x_5" localSheetId="84">'433'!$J$45</definedName>
    <definedName name="OSRRefE21_3x_5" localSheetId="85">'444'!$J$50</definedName>
    <definedName name="OSRRefE21_3x_5" localSheetId="86">'450'!$J$45</definedName>
    <definedName name="OSRRefE21_3x_5" localSheetId="71">'491'!$J$49</definedName>
    <definedName name="OSRRefE21_3x_5" localSheetId="82">'492'!$J$50</definedName>
    <definedName name="OSRRefE21_3x_5" localSheetId="88">'501'!$J$43</definedName>
    <definedName name="OSRRefE21_3x_5" localSheetId="39">'Div 2'!$J$44</definedName>
    <definedName name="OSRRefE21_3x_5" localSheetId="41">'Div 3'!$J$70</definedName>
    <definedName name="OSRRefE21_3x_5" localSheetId="69">'Div 4'!$J$52</definedName>
    <definedName name="OSRRefE21_3x_5" localSheetId="87">'Div 5'!$J$43</definedName>
    <definedName name="OSRRefE21_3x_5" localSheetId="61">'Div 6'!$J$57</definedName>
    <definedName name="OSRRefE21_3x_5" localSheetId="2">Summary!$J$81</definedName>
    <definedName name="OSRRefE21_3x_6" localSheetId="40">'200'!$K$25:$K$26</definedName>
    <definedName name="OSRRefE21_3x_6" localSheetId="42">'201'!$K$42</definedName>
    <definedName name="OSRRefE21_3x_6" localSheetId="43">'202'!$K$42</definedName>
    <definedName name="OSRRefE21_3x_6" localSheetId="44">'203'!$K$43</definedName>
    <definedName name="OSRRefE21_3x_6" localSheetId="45">'204'!$K$43</definedName>
    <definedName name="OSRRefE21_3x_6" localSheetId="46">'205'!$K$42</definedName>
    <definedName name="OSRRefE21_3x_6" localSheetId="47">'206'!$K$42</definedName>
    <definedName name="OSRRefE21_3x_6" localSheetId="48">'300'!$K$69</definedName>
    <definedName name="OSRRefE21_3x_6" localSheetId="49">'300 &amp; 317'!$K$75</definedName>
    <definedName name="OSRRefE21_3x_6" localSheetId="50">'301'!$K$43</definedName>
    <definedName name="OSRRefE21_3x_6" localSheetId="52">'307'!$K$44</definedName>
    <definedName name="OSRRefE21_3x_6" localSheetId="53">'308'!$K$57</definedName>
    <definedName name="OSRRefE21_3x_6" localSheetId="63">'310'!$K$45</definedName>
    <definedName name="OSRRefE21_3x_6" localSheetId="70">'310 &amp; 491'!$K$49</definedName>
    <definedName name="OSRRefE21_3x_6" localSheetId="54">'311'!$K$57</definedName>
    <definedName name="OSRRefE21_3x_6" localSheetId="57">'315'!$K$61</definedName>
    <definedName name="OSRRefE21_3x_6" localSheetId="60">'316'!$K$46</definedName>
    <definedName name="OSRRefE21_3x_6" localSheetId="62">'317'!$K$57</definedName>
    <definedName name="OSRRefE21_3x_6" localSheetId="66">'321'!$K$44</definedName>
    <definedName name="OSRRefE21_3x_6" localSheetId="67">'325'!$K$45</definedName>
    <definedName name="OSRRefE21_3x_6" localSheetId="58">'326'!$K$47</definedName>
    <definedName name="OSRRefE21_3x_6" localSheetId="51">'330'!$K$44</definedName>
    <definedName name="OSRRefE21_3x_6" localSheetId="56">'331'!$K$61</definedName>
    <definedName name="OSRRefE21_3x_6" localSheetId="59">'332'!$K$46</definedName>
    <definedName name="OSRRefE21_3x_6" localSheetId="72">'405'!$K$45</definedName>
    <definedName name="OSRRefE21_3x_6" localSheetId="73">'411'!$K$42:$K$43</definedName>
    <definedName name="OSRRefE21_3x_6" localSheetId="76">'415'!$K$49</definedName>
    <definedName name="OSRRefE21_3x_6" localSheetId="77">'418'!$K$45</definedName>
    <definedName name="OSRRefE21_3x_6" localSheetId="78">'423'!$K$41</definedName>
    <definedName name="OSRRefE21_3x_6" localSheetId="83">'430'!$K$42</definedName>
    <definedName name="OSRRefE21_3x_6" localSheetId="84">'433'!$K$45</definedName>
    <definedName name="OSRRefE21_3x_6" localSheetId="85">'444'!$K$50</definedName>
    <definedName name="OSRRefE21_3x_6" localSheetId="86">'450'!$K$45</definedName>
    <definedName name="OSRRefE21_3x_6" localSheetId="71">'491'!$K$49</definedName>
    <definedName name="OSRRefE21_3x_6" localSheetId="82">'492'!$K$50</definedName>
    <definedName name="OSRRefE21_3x_6" localSheetId="88">'501'!$K$43</definedName>
    <definedName name="OSRRefE21_3x_6" localSheetId="39">'Div 2'!$K$44</definedName>
    <definedName name="OSRRefE21_3x_6" localSheetId="41">'Div 3'!$K$70</definedName>
    <definedName name="OSRRefE21_3x_6" localSheetId="69">'Div 4'!$K$52</definedName>
    <definedName name="OSRRefE21_3x_6" localSheetId="87">'Div 5'!$K$43</definedName>
    <definedName name="OSRRefE21_3x_6" localSheetId="61">'Div 6'!$K$57</definedName>
    <definedName name="OSRRefE21_3x_6" localSheetId="2">Summary!$K$81</definedName>
    <definedName name="OSRRefE21_3x_7" localSheetId="40">'200'!$L$25:$L$26</definedName>
    <definedName name="OSRRefE21_3x_7" localSheetId="42">'201'!$L$42</definedName>
    <definedName name="OSRRefE21_3x_7" localSheetId="43">'202'!$L$42</definedName>
    <definedName name="OSRRefE21_3x_7" localSheetId="44">'203'!$L$43</definedName>
    <definedName name="OSRRefE21_3x_7" localSheetId="45">'204'!$L$43</definedName>
    <definedName name="OSRRefE21_3x_7" localSheetId="46">'205'!$L$42</definedName>
    <definedName name="OSRRefE21_3x_7" localSheetId="47">'206'!$L$42</definedName>
    <definedName name="OSRRefE21_3x_7" localSheetId="48">'300'!$L$69</definedName>
    <definedName name="OSRRefE21_3x_7" localSheetId="49">'300 &amp; 317'!$L$75</definedName>
    <definedName name="OSRRefE21_3x_7" localSheetId="50">'301'!$L$43</definedName>
    <definedName name="OSRRefE21_3x_7" localSheetId="52">'307'!$L$44</definedName>
    <definedName name="OSRRefE21_3x_7" localSheetId="53">'308'!$L$57</definedName>
    <definedName name="OSRRefE21_3x_7" localSheetId="63">'310'!$L$45</definedName>
    <definedName name="OSRRefE21_3x_7" localSheetId="70">'310 &amp; 491'!$L$49</definedName>
    <definedName name="OSRRefE21_3x_7" localSheetId="54">'311'!$L$57</definedName>
    <definedName name="OSRRefE21_3x_7" localSheetId="57">'315'!$L$61</definedName>
    <definedName name="OSRRefE21_3x_7" localSheetId="60">'316'!$L$46</definedName>
    <definedName name="OSRRefE21_3x_7" localSheetId="62">'317'!$L$57</definedName>
    <definedName name="OSRRefE21_3x_7" localSheetId="66">'321'!$L$44</definedName>
    <definedName name="OSRRefE21_3x_7" localSheetId="67">'325'!$L$45</definedName>
    <definedName name="OSRRefE21_3x_7" localSheetId="58">'326'!$L$47</definedName>
    <definedName name="OSRRefE21_3x_7" localSheetId="51">'330'!$L$44</definedName>
    <definedName name="OSRRefE21_3x_7" localSheetId="56">'331'!$L$61</definedName>
    <definedName name="OSRRefE21_3x_7" localSheetId="59">'332'!$L$46</definedName>
    <definedName name="OSRRefE21_3x_7" localSheetId="72">'405'!$L$45</definedName>
    <definedName name="OSRRefE21_3x_7" localSheetId="73">'411'!$L$42:$L$43</definedName>
    <definedName name="OSRRefE21_3x_7" localSheetId="76">'415'!$L$49</definedName>
    <definedName name="OSRRefE21_3x_7" localSheetId="77">'418'!$L$45</definedName>
    <definedName name="OSRRefE21_3x_7" localSheetId="78">'423'!$L$41</definedName>
    <definedName name="OSRRefE21_3x_7" localSheetId="83">'430'!$L$42</definedName>
    <definedName name="OSRRefE21_3x_7" localSheetId="84">'433'!$L$45</definedName>
    <definedName name="OSRRefE21_3x_7" localSheetId="85">'444'!$L$50</definedName>
    <definedName name="OSRRefE21_3x_7" localSheetId="86">'450'!$L$45</definedName>
    <definedName name="OSRRefE21_3x_7" localSheetId="71">'491'!$L$49</definedName>
    <definedName name="OSRRefE21_3x_7" localSheetId="82">'492'!$L$50</definedName>
    <definedName name="OSRRefE21_3x_7" localSheetId="88">'501'!$L$43</definedName>
    <definedName name="OSRRefE21_3x_7" localSheetId="39">'Div 2'!$L$44</definedName>
    <definedName name="OSRRefE21_3x_7" localSheetId="41">'Div 3'!$L$70</definedName>
    <definedName name="OSRRefE21_3x_7" localSheetId="69">'Div 4'!$L$52</definedName>
    <definedName name="OSRRefE21_3x_7" localSheetId="87">'Div 5'!$L$43</definedName>
    <definedName name="OSRRefE21_3x_7" localSheetId="61">'Div 6'!$L$57</definedName>
    <definedName name="OSRRefE21_3x_7" localSheetId="2">Summary!$L$81</definedName>
    <definedName name="OSRRefE21_3x_8" localSheetId="40">'200'!$M$25:$M$26</definedName>
    <definedName name="OSRRefE21_3x_8" localSheetId="42">'201'!$M$42</definedName>
    <definedName name="OSRRefE21_3x_8" localSheetId="43">'202'!$M$42</definedName>
    <definedName name="OSRRefE21_3x_8" localSheetId="44">'203'!$M$43</definedName>
    <definedName name="OSRRefE21_3x_8" localSheetId="45">'204'!$M$43</definedName>
    <definedName name="OSRRefE21_3x_8" localSheetId="46">'205'!$M$42</definedName>
    <definedName name="OSRRefE21_3x_8" localSheetId="47">'206'!$M$42</definedName>
    <definedName name="OSRRefE21_3x_8" localSheetId="48">'300'!$M$69</definedName>
    <definedName name="OSRRefE21_3x_8" localSheetId="49">'300 &amp; 317'!$M$75</definedName>
    <definedName name="OSRRefE21_3x_8" localSheetId="50">'301'!$M$43</definedName>
    <definedName name="OSRRefE21_3x_8" localSheetId="52">'307'!$M$44</definedName>
    <definedName name="OSRRefE21_3x_8" localSheetId="53">'308'!$M$57</definedName>
    <definedName name="OSRRefE21_3x_8" localSheetId="63">'310'!$M$45</definedName>
    <definedName name="OSRRefE21_3x_8" localSheetId="70">'310 &amp; 491'!$M$49</definedName>
    <definedName name="OSRRefE21_3x_8" localSheetId="54">'311'!$M$57</definedName>
    <definedName name="OSRRefE21_3x_8" localSheetId="57">'315'!$M$61</definedName>
    <definedName name="OSRRefE21_3x_8" localSheetId="60">'316'!$M$46</definedName>
    <definedName name="OSRRefE21_3x_8" localSheetId="62">'317'!$M$57</definedName>
    <definedName name="OSRRefE21_3x_8" localSheetId="66">'321'!$M$44</definedName>
    <definedName name="OSRRefE21_3x_8" localSheetId="67">'325'!$M$45</definedName>
    <definedName name="OSRRefE21_3x_8" localSheetId="58">'326'!$M$47</definedName>
    <definedName name="OSRRefE21_3x_8" localSheetId="51">'330'!$M$44</definedName>
    <definedName name="OSRRefE21_3x_8" localSheetId="56">'331'!$M$61</definedName>
    <definedName name="OSRRefE21_3x_8" localSheetId="59">'332'!$M$46</definedName>
    <definedName name="OSRRefE21_3x_8" localSheetId="72">'405'!$M$45</definedName>
    <definedName name="OSRRefE21_3x_8" localSheetId="73">'411'!$M$42:$M$43</definedName>
    <definedName name="OSRRefE21_3x_8" localSheetId="76">'415'!$M$49</definedName>
    <definedName name="OSRRefE21_3x_8" localSheetId="77">'418'!$M$45</definedName>
    <definedName name="OSRRefE21_3x_8" localSheetId="78">'423'!$M$41</definedName>
    <definedName name="OSRRefE21_3x_8" localSheetId="83">'430'!$M$42</definedName>
    <definedName name="OSRRefE21_3x_8" localSheetId="84">'433'!$M$45</definedName>
    <definedName name="OSRRefE21_3x_8" localSheetId="85">'444'!$M$50</definedName>
    <definedName name="OSRRefE21_3x_8" localSheetId="86">'450'!$M$45</definedName>
    <definedName name="OSRRefE21_3x_8" localSheetId="71">'491'!$M$49</definedName>
    <definedName name="OSRRefE21_3x_8" localSheetId="82">'492'!$M$50</definedName>
    <definedName name="OSRRefE21_3x_8" localSheetId="88">'501'!$M$43</definedName>
    <definedName name="OSRRefE21_3x_8" localSheetId="39">'Div 2'!$M$44</definedName>
    <definedName name="OSRRefE21_3x_8" localSheetId="41">'Div 3'!$M$70</definedName>
    <definedName name="OSRRefE21_3x_8" localSheetId="69">'Div 4'!$M$52</definedName>
    <definedName name="OSRRefE21_3x_8" localSheetId="87">'Div 5'!$M$43</definedName>
    <definedName name="OSRRefE21_3x_8" localSheetId="61">'Div 6'!$M$57</definedName>
    <definedName name="OSRRefE21_3x_8" localSheetId="2">Summary!$M$81</definedName>
    <definedName name="OSRRefE21_3x_9" localSheetId="40">'200'!$N$25:$N$26</definedName>
    <definedName name="OSRRefE21_3x_9" localSheetId="42">'201'!$N$42</definedName>
    <definedName name="OSRRefE21_3x_9" localSheetId="43">'202'!$N$42</definedName>
    <definedName name="OSRRefE21_3x_9" localSheetId="44">'203'!$N$43</definedName>
    <definedName name="OSRRefE21_3x_9" localSheetId="45">'204'!$N$43</definedName>
    <definedName name="OSRRefE21_3x_9" localSheetId="46">'205'!$N$42</definedName>
    <definedName name="OSRRefE21_3x_9" localSheetId="47">'206'!$N$42</definedName>
    <definedName name="OSRRefE21_3x_9" localSheetId="48">'300'!$N$69</definedName>
    <definedName name="OSRRefE21_3x_9" localSheetId="49">'300 &amp; 317'!$N$75</definedName>
    <definedName name="OSRRefE21_3x_9" localSheetId="50">'301'!$N$43</definedName>
    <definedName name="OSRRefE21_3x_9" localSheetId="52">'307'!$N$44</definedName>
    <definedName name="OSRRefE21_3x_9" localSheetId="53">'308'!$N$57</definedName>
    <definedName name="OSRRefE21_3x_9" localSheetId="63">'310'!$N$45</definedName>
    <definedName name="OSRRefE21_3x_9" localSheetId="70">'310 &amp; 491'!$N$49</definedName>
    <definedName name="OSRRefE21_3x_9" localSheetId="54">'311'!$N$57</definedName>
    <definedName name="OSRRefE21_3x_9" localSheetId="57">'315'!$N$61</definedName>
    <definedName name="OSRRefE21_3x_9" localSheetId="60">'316'!$N$46</definedName>
    <definedName name="OSRRefE21_3x_9" localSheetId="62">'317'!$N$57</definedName>
    <definedName name="OSRRefE21_3x_9" localSheetId="66">'321'!$N$44</definedName>
    <definedName name="OSRRefE21_3x_9" localSheetId="67">'325'!$N$45</definedName>
    <definedName name="OSRRefE21_3x_9" localSheetId="58">'326'!$N$47</definedName>
    <definedName name="OSRRefE21_3x_9" localSheetId="51">'330'!$N$44</definedName>
    <definedName name="OSRRefE21_3x_9" localSheetId="56">'331'!$N$61</definedName>
    <definedName name="OSRRefE21_3x_9" localSheetId="59">'332'!$N$46</definedName>
    <definedName name="OSRRefE21_3x_9" localSheetId="72">'405'!$N$45</definedName>
    <definedName name="OSRRefE21_3x_9" localSheetId="73">'411'!$N$42:$N$43</definedName>
    <definedName name="OSRRefE21_3x_9" localSheetId="76">'415'!$N$49</definedName>
    <definedName name="OSRRefE21_3x_9" localSheetId="77">'418'!$N$45</definedName>
    <definedName name="OSRRefE21_3x_9" localSheetId="78">'423'!$N$41</definedName>
    <definedName name="OSRRefE21_3x_9" localSheetId="83">'430'!$N$42</definedName>
    <definedName name="OSRRefE21_3x_9" localSheetId="84">'433'!$N$45</definedName>
    <definedName name="OSRRefE21_3x_9" localSheetId="85">'444'!$N$50</definedName>
    <definedName name="OSRRefE21_3x_9" localSheetId="86">'450'!$N$45</definedName>
    <definedName name="OSRRefE21_3x_9" localSheetId="71">'491'!$N$49</definedName>
    <definedName name="OSRRefE21_3x_9" localSheetId="82">'492'!$N$50</definedName>
    <definedName name="OSRRefE21_3x_9" localSheetId="88">'501'!$N$43</definedName>
    <definedName name="OSRRefE21_3x_9" localSheetId="39">'Div 2'!$N$44</definedName>
    <definedName name="OSRRefE21_3x_9" localSheetId="41">'Div 3'!$N$70</definedName>
    <definedName name="OSRRefE21_3x_9" localSheetId="69">'Div 4'!$N$52</definedName>
    <definedName name="OSRRefE21_3x_9" localSheetId="87">'Div 5'!$N$43</definedName>
    <definedName name="OSRRefE21_3x_9" localSheetId="61">'Div 6'!$N$57</definedName>
    <definedName name="OSRRefE21_3x_9" localSheetId="2">Summary!$N$81</definedName>
    <definedName name="OSRRefE21_4_0x" localSheetId="42">'201'!$E$44:$O$44</definedName>
    <definedName name="OSRRefE21_4_0x" localSheetId="43">'202'!$E$44:$O$44</definedName>
    <definedName name="OSRRefE21_4_0x" localSheetId="44">'203'!$E$45:$O$45</definedName>
    <definedName name="OSRRefE21_4_0x" localSheetId="45">'204'!$E$45:$O$45</definedName>
    <definedName name="OSRRefE21_4_0x" localSheetId="46">'205'!$E$44:$O$44</definedName>
    <definedName name="OSRRefE21_4_0x" localSheetId="47">'206'!$E$44:$O$44</definedName>
    <definedName name="OSRRefE21_4_0x" localSheetId="48">'300'!$E$71:$O$71</definedName>
    <definedName name="OSRRefE21_4_0x" localSheetId="49">'300 &amp; 317'!$E$77:$O$77</definedName>
    <definedName name="OSRRefE21_4_0x" localSheetId="50">'301'!$E$45:$O$45</definedName>
    <definedName name="OSRRefE21_4_0x" localSheetId="52">'307'!$E$46:$O$46</definedName>
    <definedName name="OSRRefE21_4_0x" localSheetId="53">'308'!$E$59:$O$59</definedName>
    <definedName name="OSRRefE21_4_0x" localSheetId="63">'310'!$E$47:$O$47</definedName>
    <definedName name="OSRRefE21_4_0x" localSheetId="70">'310 &amp; 491'!$E$51:$O$51</definedName>
    <definedName name="OSRRefE21_4_0x" localSheetId="54">'311'!$E$59:$O$59</definedName>
    <definedName name="OSRRefE21_4_0x" localSheetId="57">'315'!$E$63:$O$63</definedName>
    <definedName name="OSRRefE21_4_0x" localSheetId="60">'316'!$E$48:$O$48</definedName>
    <definedName name="OSRRefE21_4_0x" localSheetId="62">'317'!$E$59:$O$59</definedName>
    <definedName name="OSRRefE21_4_0x" localSheetId="66">'321'!$E$46:$O$46</definedName>
    <definedName name="OSRRefE21_4_0x" localSheetId="67">'325'!$E$47:$O$47</definedName>
    <definedName name="OSRRefE21_4_0x" localSheetId="58">'326'!$E$49:$O$49</definedName>
    <definedName name="OSRRefE21_4_0x" localSheetId="51">'330'!$E$46:$O$46</definedName>
    <definedName name="OSRRefE21_4_0x" localSheetId="56">'331'!$E$63:$O$63</definedName>
    <definedName name="OSRRefE21_4_0x" localSheetId="59">'332'!$E$48:$O$48</definedName>
    <definedName name="OSRRefE21_4_0x" localSheetId="72">'405'!$E$47:$O$47</definedName>
    <definedName name="OSRRefE21_4_0x" localSheetId="73">'411'!$E$45:$O$45</definedName>
    <definedName name="OSRRefE21_4_0x" localSheetId="76">'415'!$E$51:$O$51</definedName>
    <definedName name="OSRRefE21_4_0x" localSheetId="77">'418'!$E$47:$O$47</definedName>
    <definedName name="OSRRefE21_4_0x" localSheetId="83">'430'!$E$44:$O$44</definedName>
    <definedName name="OSRRefE21_4_0x" localSheetId="84">'433'!$E$47:$O$47</definedName>
    <definedName name="OSRRefE21_4_0x" localSheetId="85">'444'!$E$52:$O$52</definedName>
    <definedName name="OSRRefE21_4_0x" localSheetId="86">'450'!$E$47:$O$47</definedName>
    <definedName name="OSRRefE21_4_0x" localSheetId="71">'491'!$E$51:$O$51</definedName>
    <definedName name="OSRRefE21_4_0x" localSheetId="82">'492'!$E$52:$O$52</definedName>
    <definedName name="OSRRefE21_4_0x" localSheetId="88">'501'!$E$45:$O$45</definedName>
    <definedName name="OSRRefE21_4_0x" localSheetId="39">'Div 2'!$E$46:$O$46</definedName>
    <definedName name="OSRRefE21_4_0x" localSheetId="41">'Div 3'!$E$72:$O$72</definedName>
    <definedName name="OSRRefE21_4_0x" localSheetId="69">'Div 4'!$E$54:$O$54</definedName>
    <definedName name="OSRRefE21_4_0x" localSheetId="87">'Div 5'!$E$45:$O$45</definedName>
    <definedName name="OSRRefE21_4_0x" localSheetId="61">'Div 6'!$E$59:$O$59</definedName>
    <definedName name="OSRRefE21_4_0x" localSheetId="2">Summary!$E$83:$O$83</definedName>
    <definedName name="OSRRefE21_4_1x" localSheetId="45">'204'!$E$46:$O$46</definedName>
    <definedName name="OSRRefE21_4_1x" localSheetId="46">'205'!$E$45:$O$45</definedName>
    <definedName name="OSRRefE21_4_1x" localSheetId="50">'301'!$E$46:$O$46</definedName>
    <definedName name="OSRRefE21_4_1x" localSheetId="67">'325'!$E$48:$O$48</definedName>
    <definedName name="OSRRefE21_4_1x" localSheetId="72">'405'!$E$48:$O$48</definedName>
    <definedName name="OSRRefE21_4_1x" localSheetId="77">'418'!$E$48:$O$48</definedName>
    <definedName name="OSRRefE21_4_2x" localSheetId="45">'204'!$E$47:$O$47</definedName>
    <definedName name="OSRRefE21_4_2x" localSheetId="46">'205'!$E$46:$O$46</definedName>
    <definedName name="OSRRefE21_4x_0" localSheetId="42">'201'!$E$44</definedName>
    <definedName name="OSRRefE21_4x_0" localSheetId="43">'202'!$E$44</definedName>
    <definedName name="OSRRefE21_4x_0" localSheetId="44">'203'!$E$45</definedName>
    <definedName name="OSRRefE21_4x_0" localSheetId="45">'204'!$E$45:$E$47</definedName>
    <definedName name="OSRRefE21_4x_0" localSheetId="46">'205'!$E$44:$E$46</definedName>
    <definedName name="OSRRefE21_4x_0" localSheetId="47">'206'!$E$44</definedName>
    <definedName name="OSRRefE21_4x_0" localSheetId="48">'300'!$E$71</definedName>
    <definedName name="OSRRefE21_4x_0" localSheetId="49">'300 &amp; 317'!$E$77</definedName>
    <definedName name="OSRRefE21_4x_0" localSheetId="50">'301'!$E$45:$E$46</definedName>
    <definedName name="OSRRefE21_4x_0" localSheetId="52">'307'!$E$46</definedName>
    <definedName name="OSRRefE21_4x_0" localSheetId="53">'308'!$E$59</definedName>
    <definedName name="OSRRefE21_4x_0" localSheetId="63">'310'!$E$47</definedName>
    <definedName name="OSRRefE21_4x_0" localSheetId="70">'310 &amp; 491'!$E$51</definedName>
    <definedName name="OSRRefE21_4x_0" localSheetId="54">'311'!$E$59</definedName>
    <definedName name="OSRRefE21_4x_0" localSheetId="57">'315'!$E$63</definedName>
    <definedName name="OSRRefE21_4x_0" localSheetId="60">'316'!$E$48</definedName>
    <definedName name="OSRRefE21_4x_0" localSheetId="62">'317'!$E$59</definedName>
    <definedName name="OSRRefE21_4x_0" localSheetId="66">'321'!$E$46</definedName>
    <definedName name="OSRRefE21_4x_0" localSheetId="67">'325'!$E$47:$E$48</definedName>
    <definedName name="OSRRefE21_4x_0" localSheetId="58">'326'!$E$49</definedName>
    <definedName name="OSRRefE21_4x_0" localSheetId="51">'330'!$E$46</definedName>
    <definedName name="OSRRefE21_4x_0" localSheetId="56">'331'!$E$63</definedName>
    <definedName name="OSRRefE21_4x_0" localSheetId="59">'332'!$E$48</definedName>
    <definedName name="OSRRefE21_4x_0" localSheetId="72">'405'!$E$47:$E$48</definedName>
    <definedName name="OSRRefE21_4x_0" localSheetId="73">'411'!$E$45</definedName>
    <definedName name="OSRRefE21_4x_0" localSheetId="76">'415'!$E$51</definedName>
    <definedName name="OSRRefE21_4x_0" localSheetId="77">'418'!$E$47:$E$48</definedName>
    <definedName name="OSRRefE21_4x_0" localSheetId="83">'430'!$E$44</definedName>
    <definedName name="OSRRefE21_4x_0" localSheetId="84">'433'!$E$47</definedName>
    <definedName name="OSRRefE21_4x_0" localSheetId="85">'444'!$E$52</definedName>
    <definedName name="OSRRefE21_4x_0" localSheetId="86">'450'!$E$47</definedName>
    <definedName name="OSRRefE21_4x_0" localSheetId="71">'491'!$E$51</definedName>
    <definedName name="OSRRefE21_4x_0" localSheetId="82">'492'!$E$52</definedName>
    <definedName name="OSRRefE21_4x_0" localSheetId="88">'501'!$E$45</definedName>
    <definedName name="OSRRefE21_4x_0" localSheetId="39">'Div 2'!$E$46</definedName>
    <definedName name="OSRRefE21_4x_0" localSheetId="41">'Div 3'!$E$72</definedName>
    <definedName name="OSRRefE21_4x_0" localSheetId="69">'Div 4'!$E$54</definedName>
    <definedName name="OSRRefE21_4x_0" localSheetId="87">'Div 5'!$E$45</definedName>
    <definedName name="OSRRefE21_4x_0" localSheetId="61">'Div 6'!$E$59</definedName>
    <definedName name="OSRRefE21_4x_0" localSheetId="2">Summary!$E$83</definedName>
    <definedName name="OSRRefE21_4x_1" localSheetId="42">'201'!$F$44</definedName>
    <definedName name="OSRRefE21_4x_1" localSheetId="43">'202'!$F$44</definedName>
    <definedName name="OSRRefE21_4x_1" localSheetId="44">'203'!$F$45</definedName>
    <definedName name="OSRRefE21_4x_1" localSheetId="45">'204'!$F$45:$F$47</definedName>
    <definedName name="OSRRefE21_4x_1" localSheetId="46">'205'!$F$44:$F$46</definedName>
    <definedName name="OSRRefE21_4x_1" localSheetId="47">'206'!$F$44</definedName>
    <definedName name="OSRRefE21_4x_1" localSheetId="48">'300'!$F$71</definedName>
    <definedName name="OSRRefE21_4x_1" localSheetId="49">'300 &amp; 317'!$F$77</definedName>
    <definedName name="OSRRefE21_4x_1" localSheetId="50">'301'!$F$45:$F$46</definedName>
    <definedName name="OSRRefE21_4x_1" localSheetId="52">'307'!$F$46</definedName>
    <definedName name="OSRRefE21_4x_1" localSheetId="53">'308'!$F$59</definedName>
    <definedName name="OSRRefE21_4x_1" localSheetId="63">'310'!$F$47</definedName>
    <definedName name="OSRRefE21_4x_1" localSheetId="70">'310 &amp; 491'!$F$51</definedName>
    <definedName name="OSRRefE21_4x_1" localSheetId="54">'311'!$F$59</definedName>
    <definedName name="OSRRefE21_4x_1" localSheetId="57">'315'!$F$63</definedName>
    <definedName name="OSRRefE21_4x_1" localSheetId="60">'316'!$F$48</definedName>
    <definedName name="OSRRefE21_4x_1" localSheetId="62">'317'!$F$59</definedName>
    <definedName name="OSRRefE21_4x_1" localSheetId="66">'321'!$F$46</definedName>
    <definedName name="OSRRefE21_4x_1" localSheetId="67">'325'!$F$47:$F$48</definedName>
    <definedName name="OSRRefE21_4x_1" localSheetId="58">'326'!$F$49</definedName>
    <definedName name="OSRRefE21_4x_1" localSheetId="51">'330'!$F$46</definedName>
    <definedName name="OSRRefE21_4x_1" localSheetId="56">'331'!$F$63</definedName>
    <definedName name="OSRRefE21_4x_1" localSheetId="59">'332'!$F$48</definedName>
    <definedName name="OSRRefE21_4x_1" localSheetId="72">'405'!$F$47:$F$48</definedName>
    <definedName name="OSRRefE21_4x_1" localSheetId="73">'411'!$F$45</definedName>
    <definedName name="OSRRefE21_4x_1" localSheetId="76">'415'!$F$51</definedName>
    <definedName name="OSRRefE21_4x_1" localSheetId="77">'418'!$F$47:$F$48</definedName>
    <definedName name="OSRRefE21_4x_1" localSheetId="83">'430'!$F$44</definedName>
    <definedName name="OSRRefE21_4x_1" localSheetId="84">'433'!$F$47</definedName>
    <definedName name="OSRRefE21_4x_1" localSheetId="85">'444'!$F$52</definedName>
    <definedName name="OSRRefE21_4x_1" localSheetId="86">'450'!$F$47</definedName>
    <definedName name="OSRRefE21_4x_1" localSheetId="71">'491'!$F$51</definedName>
    <definedName name="OSRRefE21_4x_1" localSheetId="82">'492'!$F$52</definedName>
    <definedName name="OSRRefE21_4x_1" localSheetId="88">'501'!$F$45</definedName>
    <definedName name="OSRRefE21_4x_1" localSheetId="39">'Div 2'!$F$46</definedName>
    <definedName name="OSRRefE21_4x_1" localSheetId="41">'Div 3'!$F$72</definedName>
    <definedName name="OSRRefE21_4x_1" localSheetId="69">'Div 4'!$F$54</definedName>
    <definedName name="OSRRefE21_4x_1" localSheetId="87">'Div 5'!$F$45</definedName>
    <definedName name="OSRRefE21_4x_1" localSheetId="61">'Div 6'!$F$59</definedName>
    <definedName name="OSRRefE21_4x_1" localSheetId="2">Summary!$F$83</definedName>
    <definedName name="OSRRefE21_4x_10" localSheetId="42">'201'!$O$44</definedName>
    <definedName name="OSRRefE21_4x_10" localSheetId="43">'202'!$O$44</definedName>
    <definedName name="OSRRefE21_4x_10" localSheetId="44">'203'!$O$45</definedName>
    <definedName name="OSRRefE21_4x_10" localSheetId="45">'204'!$O$45:$O$47</definedName>
    <definedName name="OSRRefE21_4x_10" localSheetId="46">'205'!$O$44:$O$46</definedName>
    <definedName name="OSRRefE21_4x_10" localSheetId="47">'206'!$O$44</definedName>
    <definedName name="OSRRefE21_4x_10" localSheetId="48">'300'!$O$71</definedName>
    <definedName name="OSRRefE21_4x_10" localSheetId="49">'300 &amp; 317'!$O$77</definedName>
    <definedName name="OSRRefE21_4x_10" localSheetId="50">'301'!$O$45:$O$46</definedName>
    <definedName name="OSRRefE21_4x_10" localSheetId="52">'307'!$O$46</definedName>
    <definedName name="OSRRefE21_4x_10" localSheetId="53">'308'!$O$59</definedName>
    <definedName name="OSRRefE21_4x_10" localSheetId="63">'310'!$O$47</definedName>
    <definedName name="OSRRefE21_4x_10" localSheetId="70">'310 &amp; 491'!$O$51</definedName>
    <definedName name="OSRRefE21_4x_10" localSheetId="54">'311'!$O$59</definedName>
    <definedName name="OSRRefE21_4x_10" localSheetId="57">'315'!$O$63</definedName>
    <definedName name="OSRRefE21_4x_10" localSheetId="60">'316'!$O$48</definedName>
    <definedName name="OSRRefE21_4x_10" localSheetId="62">'317'!$O$59</definedName>
    <definedName name="OSRRefE21_4x_10" localSheetId="66">'321'!$O$46</definedName>
    <definedName name="OSRRefE21_4x_10" localSheetId="67">'325'!$O$47:$O$48</definedName>
    <definedName name="OSRRefE21_4x_10" localSheetId="58">'326'!$O$49</definedName>
    <definedName name="OSRRefE21_4x_10" localSheetId="51">'330'!$O$46</definedName>
    <definedName name="OSRRefE21_4x_10" localSheetId="56">'331'!$O$63</definedName>
    <definedName name="OSRRefE21_4x_10" localSheetId="59">'332'!$O$48</definedName>
    <definedName name="OSRRefE21_4x_10" localSheetId="72">'405'!$O$47:$O$48</definedName>
    <definedName name="OSRRefE21_4x_10" localSheetId="73">'411'!$O$45</definedName>
    <definedName name="OSRRefE21_4x_10" localSheetId="76">'415'!$O$51</definedName>
    <definedName name="OSRRefE21_4x_10" localSheetId="77">'418'!$O$47:$O$48</definedName>
    <definedName name="OSRRefE21_4x_10" localSheetId="83">'430'!$O$44</definedName>
    <definedName name="OSRRefE21_4x_10" localSheetId="84">'433'!$O$47</definedName>
    <definedName name="OSRRefE21_4x_10" localSheetId="85">'444'!$O$52</definedName>
    <definedName name="OSRRefE21_4x_10" localSheetId="86">'450'!$O$47</definedName>
    <definedName name="OSRRefE21_4x_10" localSheetId="71">'491'!$O$51</definedName>
    <definedName name="OSRRefE21_4x_10" localSheetId="82">'492'!$O$52</definedName>
    <definedName name="OSRRefE21_4x_10" localSheetId="88">'501'!$O$45</definedName>
    <definedName name="OSRRefE21_4x_10" localSheetId="39">'Div 2'!$O$46</definedName>
    <definedName name="OSRRefE21_4x_10" localSheetId="41">'Div 3'!$O$72</definedName>
    <definedName name="OSRRefE21_4x_10" localSheetId="69">'Div 4'!$O$54</definedName>
    <definedName name="OSRRefE21_4x_10" localSheetId="87">'Div 5'!$O$45</definedName>
    <definedName name="OSRRefE21_4x_10" localSheetId="61">'Div 6'!$O$59</definedName>
    <definedName name="OSRRefE21_4x_10" localSheetId="2">Summary!$O$83</definedName>
    <definedName name="OSRRefE21_4x_2" localSheetId="42">'201'!$G$44</definedName>
    <definedName name="OSRRefE21_4x_2" localSheetId="43">'202'!$G$44</definedName>
    <definedName name="OSRRefE21_4x_2" localSheetId="44">'203'!$G$45</definedName>
    <definedName name="OSRRefE21_4x_2" localSheetId="45">'204'!$G$45:$G$47</definedName>
    <definedName name="OSRRefE21_4x_2" localSheetId="46">'205'!$G$44:$G$46</definedName>
    <definedName name="OSRRefE21_4x_2" localSheetId="47">'206'!$G$44</definedName>
    <definedName name="OSRRefE21_4x_2" localSheetId="48">'300'!$G$71</definedName>
    <definedName name="OSRRefE21_4x_2" localSheetId="49">'300 &amp; 317'!$G$77</definedName>
    <definedName name="OSRRefE21_4x_2" localSheetId="50">'301'!$G$45:$G$46</definedName>
    <definedName name="OSRRefE21_4x_2" localSheetId="52">'307'!$G$46</definedName>
    <definedName name="OSRRefE21_4x_2" localSheetId="53">'308'!$G$59</definedName>
    <definedName name="OSRRefE21_4x_2" localSheetId="63">'310'!$G$47</definedName>
    <definedName name="OSRRefE21_4x_2" localSheetId="70">'310 &amp; 491'!$G$51</definedName>
    <definedName name="OSRRefE21_4x_2" localSheetId="54">'311'!$G$59</definedName>
    <definedName name="OSRRefE21_4x_2" localSheetId="57">'315'!$G$63</definedName>
    <definedName name="OSRRefE21_4x_2" localSheetId="60">'316'!$G$48</definedName>
    <definedName name="OSRRefE21_4x_2" localSheetId="62">'317'!$G$59</definedName>
    <definedName name="OSRRefE21_4x_2" localSheetId="66">'321'!$G$46</definedName>
    <definedName name="OSRRefE21_4x_2" localSheetId="67">'325'!$G$47:$G$48</definedName>
    <definedName name="OSRRefE21_4x_2" localSheetId="58">'326'!$G$49</definedName>
    <definedName name="OSRRefE21_4x_2" localSheetId="51">'330'!$G$46</definedName>
    <definedName name="OSRRefE21_4x_2" localSheetId="56">'331'!$G$63</definedName>
    <definedName name="OSRRefE21_4x_2" localSheetId="59">'332'!$G$48</definedName>
    <definedName name="OSRRefE21_4x_2" localSheetId="72">'405'!$G$47:$G$48</definedName>
    <definedName name="OSRRefE21_4x_2" localSheetId="73">'411'!$G$45</definedName>
    <definedName name="OSRRefE21_4x_2" localSheetId="76">'415'!$G$51</definedName>
    <definedName name="OSRRefE21_4x_2" localSheetId="77">'418'!$G$47:$G$48</definedName>
    <definedName name="OSRRefE21_4x_2" localSheetId="83">'430'!$G$44</definedName>
    <definedName name="OSRRefE21_4x_2" localSheetId="84">'433'!$G$47</definedName>
    <definedName name="OSRRefE21_4x_2" localSheetId="85">'444'!$G$52</definedName>
    <definedName name="OSRRefE21_4x_2" localSheetId="86">'450'!$G$47</definedName>
    <definedName name="OSRRefE21_4x_2" localSheetId="71">'491'!$G$51</definedName>
    <definedName name="OSRRefE21_4x_2" localSheetId="82">'492'!$G$52</definedName>
    <definedName name="OSRRefE21_4x_2" localSheetId="88">'501'!$G$45</definedName>
    <definedName name="OSRRefE21_4x_2" localSheetId="39">'Div 2'!$G$46</definedName>
    <definedName name="OSRRefE21_4x_2" localSheetId="41">'Div 3'!$G$72</definedName>
    <definedName name="OSRRefE21_4x_2" localSheetId="69">'Div 4'!$G$54</definedName>
    <definedName name="OSRRefE21_4x_2" localSheetId="87">'Div 5'!$G$45</definedName>
    <definedName name="OSRRefE21_4x_2" localSheetId="61">'Div 6'!$G$59</definedName>
    <definedName name="OSRRefE21_4x_2" localSheetId="2">Summary!$G$83</definedName>
    <definedName name="OSRRefE21_4x_3" localSheetId="42">'201'!$H$44</definedName>
    <definedName name="OSRRefE21_4x_3" localSheetId="43">'202'!$H$44</definedName>
    <definedName name="OSRRefE21_4x_3" localSheetId="44">'203'!$H$45</definedName>
    <definedName name="OSRRefE21_4x_3" localSheetId="45">'204'!$H$45:$H$47</definedName>
    <definedName name="OSRRefE21_4x_3" localSheetId="46">'205'!$H$44:$H$46</definedName>
    <definedName name="OSRRefE21_4x_3" localSheetId="47">'206'!$H$44</definedName>
    <definedName name="OSRRefE21_4x_3" localSheetId="48">'300'!$H$71</definedName>
    <definedName name="OSRRefE21_4x_3" localSheetId="49">'300 &amp; 317'!$H$77</definedName>
    <definedName name="OSRRefE21_4x_3" localSheetId="50">'301'!$H$45:$H$46</definedName>
    <definedName name="OSRRefE21_4x_3" localSheetId="52">'307'!$H$46</definedName>
    <definedName name="OSRRefE21_4x_3" localSheetId="53">'308'!$H$59</definedName>
    <definedName name="OSRRefE21_4x_3" localSheetId="63">'310'!$H$47</definedName>
    <definedName name="OSRRefE21_4x_3" localSheetId="70">'310 &amp; 491'!$H$51</definedName>
    <definedName name="OSRRefE21_4x_3" localSheetId="54">'311'!$H$59</definedName>
    <definedName name="OSRRefE21_4x_3" localSheetId="57">'315'!$H$63</definedName>
    <definedName name="OSRRefE21_4x_3" localSheetId="60">'316'!$H$48</definedName>
    <definedName name="OSRRefE21_4x_3" localSheetId="62">'317'!$H$59</definedName>
    <definedName name="OSRRefE21_4x_3" localSheetId="66">'321'!$H$46</definedName>
    <definedName name="OSRRefE21_4x_3" localSheetId="67">'325'!$H$47:$H$48</definedName>
    <definedName name="OSRRefE21_4x_3" localSheetId="58">'326'!$H$49</definedName>
    <definedName name="OSRRefE21_4x_3" localSheetId="51">'330'!$H$46</definedName>
    <definedName name="OSRRefE21_4x_3" localSheetId="56">'331'!$H$63</definedName>
    <definedName name="OSRRefE21_4x_3" localSheetId="59">'332'!$H$48</definedName>
    <definedName name="OSRRefE21_4x_3" localSheetId="72">'405'!$H$47:$H$48</definedName>
    <definedName name="OSRRefE21_4x_3" localSheetId="73">'411'!$H$45</definedName>
    <definedName name="OSRRefE21_4x_3" localSheetId="76">'415'!$H$51</definedName>
    <definedName name="OSRRefE21_4x_3" localSheetId="77">'418'!$H$47:$H$48</definedName>
    <definedName name="OSRRefE21_4x_3" localSheetId="83">'430'!$H$44</definedName>
    <definedName name="OSRRefE21_4x_3" localSheetId="84">'433'!$H$47</definedName>
    <definedName name="OSRRefE21_4x_3" localSheetId="85">'444'!$H$52</definedName>
    <definedName name="OSRRefE21_4x_3" localSheetId="86">'450'!$H$47</definedName>
    <definedName name="OSRRefE21_4x_3" localSheetId="71">'491'!$H$51</definedName>
    <definedName name="OSRRefE21_4x_3" localSheetId="82">'492'!$H$52</definedName>
    <definedName name="OSRRefE21_4x_3" localSheetId="88">'501'!$H$45</definedName>
    <definedName name="OSRRefE21_4x_3" localSheetId="39">'Div 2'!$H$46</definedName>
    <definedName name="OSRRefE21_4x_3" localSheetId="41">'Div 3'!$H$72</definedName>
    <definedName name="OSRRefE21_4x_3" localSheetId="69">'Div 4'!$H$54</definedName>
    <definedName name="OSRRefE21_4x_3" localSheetId="87">'Div 5'!$H$45</definedName>
    <definedName name="OSRRefE21_4x_3" localSheetId="61">'Div 6'!$H$59</definedName>
    <definedName name="OSRRefE21_4x_3" localSheetId="2">Summary!$H$83</definedName>
    <definedName name="OSRRefE21_4x_4" localSheetId="42">'201'!$I$44</definedName>
    <definedName name="OSRRefE21_4x_4" localSheetId="43">'202'!$I$44</definedName>
    <definedName name="OSRRefE21_4x_4" localSheetId="44">'203'!$I$45</definedName>
    <definedName name="OSRRefE21_4x_4" localSheetId="45">'204'!$I$45:$I$47</definedName>
    <definedName name="OSRRefE21_4x_4" localSheetId="46">'205'!$I$44:$I$46</definedName>
    <definedName name="OSRRefE21_4x_4" localSheetId="47">'206'!$I$44</definedName>
    <definedName name="OSRRefE21_4x_4" localSheetId="48">'300'!$I$71</definedName>
    <definedName name="OSRRefE21_4x_4" localSheetId="49">'300 &amp; 317'!$I$77</definedName>
    <definedName name="OSRRefE21_4x_4" localSheetId="50">'301'!$I$45:$I$46</definedName>
    <definedName name="OSRRefE21_4x_4" localSheetId="52">'307'!$I$46</definedName>
    <definedName name="OSRRefE21_4x_4" localSheetId="53">'308'!$I$59</definedName>
    <definedName name="OSRRefE21_4x_4" localSheetId="63">'310'!$I$47</definedName>
    <definedName name="OSRRefE21_4x_4" localSheetId="70">'310 &amp; 491'!$I$51</definedName>
    <definedName name="OSRRefE21_4x_4" localSheetId="54">'311'!$I$59</definedName>
    <definedName name="OSRRefE21_4x_4" localSheetId="57">'315'!$I$63</definedName>
    <definedName name="OSRRefE21_4x_4" localSheetId="60">'316'!$I$48</definedName>
    <definedName name="OSRRefE21_4x_4" localSheetId="62">'317'!$I$59</definedName>
    <definedName name="OSRRefE21_4x_4" localSheetId="66">'321'!$I$46</definedName>
    <definedName name="OSRRefE21_4x_4" localSheetId="67">'325'!$I$47:$I$48</definedName>
    <definedName name="OSRRefE21_4x_4" localSheetId="58">'326'!$I$49</definedName>
    <definedName name="OSRRefE21_4x_4" localSheetId="51">'330'!$I$46</definedName>
    <definedName name="OSRRefE21_4x_4" localSheetId="56">'331'!$I$63</definedName>
    <definedName name="OSRRefE21_4x_4" localSheetId="59">'332'!$I$48</definedName>
    <definedName name="OSRRefE21_4x_4" localSheetId="72">'405'!$I$47:$I$48</definedName>
    <definedName name="OSRRefE21_4x_4" localSheetId="73">'411'!$I$45</definedName>
    <definedName name="OSRRefE21_4x_4" localSheetId="76">'415'!$I$51</definedName>
    <definedName name="OSRRefE21_4x_4" localSheetId="77">'418'!$I$47:$I$48</definedName>
    <definedName name="OSRRefE21_4x_4" localSheetId="83">'430'!$I$44</definedName>
    <definedName name="OSRRefE21_4x_4" localSheetId="84">'433'!$I$47</definedName>
    <definedName name="OSRRefE21_4x_4" localSheetId="85">'444'!$I$52</definedName>
    <definedName name="OSRRefE21_4x_4" localSheetId="86">'450'!$I$47</definedName>
    <definedName name="OSRRefE21_4x_4" localSheetId="71">'491'!$I$51</definedName>
    <definedName name="OSRRefE21_4x_4" localSheetId="82">'492'!$I$52</definedName>
    <definedName name="OSRRefE21_4x_4" localSheetId="88">'501'!$I$45</definedName>
    <definedName name="OSRRefE21_4x_4" localSheetId="39">'Div 2'!$I$46</definedName>
    <definedName name="OSRRefE21_4x_4" localSheetId="41">'Div 3'!$I$72</definedName>
    <definedName name="OSRRefE21_4x_4" localSheetId="69">'Div 4'!$I$54</definedName>
    <definedName name="OSRRefE21_4x_4" localSheetId="87">'Div 5'!$I$45</definedName>
    <definedName name="OSRRefE21_4x_4" localSheetId="61">'Div 6'!$I$59</definedName>
    <definedName name="OSRRefE21_4x_4" localSheetId="2">Summary!$I$83</definedName>
    <definedName name="OSRRefE21_4x_5" localSheetId="42">'201'!$J$44</definedName>
    <definedName name="OSRRefE21_4x_5" localSheetId="43">'202'!$J$44</definedName>
    <definedName name="OSRRefE21_4x_5" localSheetId="44">'203'!$J$45</definedName>
    <definedName name="OSRRefE21_4x_5" localSheetId="45">'204'!$J$45:$J$47</definedName>
    <definedName name="OSRRefE21_4x_5" localSheetId="46">'205'!$J$44:$J$46</definedName>
    <definedName name="OSRRefE21_4x_5" localSheetId="47">'206'!$J$44</definedName>
    <definedName name="OSRRefE21_4x_5" localSheetId="48">'300'!$J$71</definedName>
    <definedName name="OSRRefE21_4x_5" localSheetId="49">'300 &amp; 317'!$J$77</definedName>
    <definedName name="OSRRefE21_4x_5" localSheetId="50">'301'!$J$45:$J$46</definedName>
    <definedName name="OSRRefE21_4x_5" localSheetId="52">'307'!$J$46</definedName>
    <definedName name="OSRRefE21_4x_5" localSheetId="53">'308'!$J$59</definedName>
    <definedName name="OSRRefE21_4x_5" localSheetId="63">'310'!$J$47</definedName>
    <definedName name="OSRRefE21_4x_5" localSheetId="70">'310 &amp; 491'!$J$51</definedName>
    <definedName name="OSRRefE21_4x_5" localSheetId="54">'311'!$J$59</definedName>
    <definedName name="OSRRefE21_4x_5" localSheetId="57">'315'!$J$63</definedName>
    <definedName name="OSRRefE21_4x_5" localSheetId="60">'316'!$J$48</definedName>
    <definedName name="OSRRefE21_4x_5" localSheetId="62">'317'!$J$59</definedName>
    <definedName name="OSRRefE21_4x_5" localSheetId="66">'321'!$J$46</definedName>
    <definedName name="OSRRefE21_4x_5" localSheetId="67">'325'!$J$47:$J$48</definedName>
    <definedName name="OSRRefE21_4x_5" localSheetId="58">'326'!$J$49</definedName>
    <definedName name="OSRRefE21_4x_5" localSheetId="51">'330'!$J$46</definedName>
    <definedName name="OSRRefE21_4x_5" localSheetId="56">'331'!$J$63</definedName>
    <definedName name="OSRRefE21_4x_5" localSheetId="59">'332'!$J$48</definedName>
    <definedName name="OSRRefE21_4x_5" localSheetId="72">'405'!$J$47:$J$48</definedName>
    <definedName name="OSRRefE21_4x_5" localSheetId="73">'411'!$J$45</definedName>
    <definedName name="OSRRefE21_4x_5" localSheetId="76">'415'!$J$51</definedName>
    <definedName name="OSRRefE21_4x_5" localSheetId="77">'418'!$J$47:$J$48</definedName>
    <definedName name="OSRRefE21_4x_5" localSheetId="83">'430'!$J$44</definedName>
    <definedName name="OSRRefE21_4x_5" localSheetId="84">'433'!$J$47</definedName>
    <definedName name="OSRRefE21_4x_5" localSheetId="85">'444'!$J$52</definedName>
    <definedName name="OSRRefE21_4x_5" localSheetId="86">'450'!$J$47</definedName>
    <definedName name="OSRRefE21_4x_5" localSheetId="71">'491'!$J$51</definedName>
    <definedName name="OSRRefE21_4x_5" localSheetId="82">'492'!$J$52</definedName>
    <definedName name="OSRRefE21_4x_5" localSheetId="88">'501'!$J$45</definedName>
    <definedName name="OSRRefE21_4x_5" localSheetId="39">'Div 2'!$J$46</definedName>
    <definedName name="OSRRefE21_4x_5" localSheetId="41">'Div 3'!$J$72</definedName>
    <definedName name="OSRRefE21_4x_5" localSheetId="69">'Div 4'!$J$54</definedName>
    <definedName name="OSRRefE21_4x_5" localSheetId="87">'Div 5'!$J$45</definedName>
    <definedName name="OSRRefE21_4x_5" localSheetId="61">'Div 6'!$J$59</definedName>
    <definedName name="OSRRefE21_4x_5" localSheetId="2">Summary!$J$83</definedName>
    <definedName name="OSRRefE21_4x_6" localSheetId="42">'201'!$K$44</definedName>
    <definedName name="OSRRefE21_4x_6" localSheetId="43">'202'!$K$44</definedName>
    <definedName name="OSRRefE21_4x_6" localSheetId="44">'203'!$K$45</definedName>
    <definedName name="OSRRefE21_4x_6" localSheetId="45">'204'!$K$45:$K$47</definedName>
    <definedName name="OSRRefE21_4x_6" localSheetId="46">'205'!$K$44:$K$46</definedName>
    <definedName name="OSRRefE21_4x_6" localSheetId="47">'206'!$K$44</definedName>
    <definedName name="OSRRefE21_4x_6" localSheetId="48">'300'!$K$71</definedName>
    <definedName name="OSRRefE21_4x_6" localSheetId="49">'300 &amp; 317'!$K$77</definedName>
    <definedName name="OSRRefE21_4x_6" localSheetId="50">'301'!$K$45:$K$46</definedName>
    <definedName name="OSRRefE21_4x_6" localSheetId="52">'307'!$K$46</definedName>
    <definedName name="OSRRefE21_4x_6" localSheetId="53">'308'!$K$59</definedName>
    <definedName name="OSRRefE21_4x_6" localSheetId="63">'310'!$K$47</definedName>
    <definedName name="OSRRefE21_4x_6" localSheetId="70">'310 &amp; 491'!$K$51</definedName>
    <definedName name="OSRRefE21_4x_6" localSheetId="54">'311'!$K$59</definedName>
    <definedName name="OSRRefE21_4x_6" localSheetId="57">'315'!$K$63</definedName>
    <definedName name="OSRRefE21_4x_6" localSheetId="60">'316'!$K$48</definedName>
    <definedName name="OSRRefE21_4x_6" localSheetId="62">'317'!$K$59</definedName>
    <definedName name="OSRRefE21_4x_6" localSheetId="66">'321'!$K$46</definedName>
    <definedName name="OSRRefE21_4x_6" localSheetId="67">'325'!$K$47:$K$48</definedName>
    <definedName name="OSRRefE21_4x_6" localSheetId="58">'326'!$K$49</definedName>
    <definedName name="OSRRefE21_4x_6" localSheetId="51">'330'!$K$46</definedName>
    <definedName name="OSRRefE21_4x_6" localSheetId="56">'331'!$K$63</definedName>
    <definedName name="OSRRefE21_4x_6" localSheetId="59">'332'!$K$48</definedName>
    <definedName name="OSRRefE21_4x_6" localSheetId="72">'405'!$K$47:$K$48</definedName>
    <definedName name="OSRRefE21_4x_6" localSheetId="73">'411'!$K$45</definedName>
    <definedName name="OSRRefE21_4x_6" localSheetId="76">'415'!$K$51</definedName>
    <definedName name="OSRRefE21_4x_6" localSheetId="77">'418'!$K$47:$K$48</definedName>
    <definedName name="OSRRefE21_4x_6" localSheetId="83">'430'!$K$44</definedName>
    <definedName name="OSRRefE21_4x_6" localSheetId="84">'433'!$K$47</definedName>
    <definedName name="OSRRefE21_4x_6" localSheetId="85">'444'!$K$52</definedName>
    <definedName name="OSRRefE21_4x_6" localSheetId="86">'450'!$K$47</definedName>
    <definedName name="OSRRefE21_4x_6" localSheetId="71">'491'!$K$51</definedName>
    <definedName name="OSRRefE21_4x_6" localSheetId="82">'492'!$K$52</definedName>
    <definedName name="OSRRefE21_4x_6" localSheetId="88">'501'!$K$45</definedName>
    <definedName name="OSRRefE21_4x_6" localSheetId="39">'Div 2'!$K$46</definedName>
    <definedName name="OSRRefE21_4x_6" localSheetId="41">'Div 3'!$K$72</definedName>
    <definedName name="OSRRefE21_4x_6" localSheetId="69">'Div 4'!$K$54</definedName>
    <definedName name="OSRRefE21_4x_6" localSheetId="87">'Div 5'!$K$45</definedName>
    <definedName name="OSRRefE21_4x_6" localSheetId="61">'Div 6'!$K$59</definedName>
    <definedName name="OSRRefE21_4x_6" localSheetId="2">Summary!$K$83</definedName>
    <definedName name="OSRRefE21_4x_7" localSheetId="42">'201'!$L$44</definedName>
    <definedName name="OSRRefE21_4x_7" localSheetId="43">'202'!$L$44</definedName>
    <definedName name="OSRRefE21_4x_7" localSheetId="44">'203'!$L$45</definedName>
    <definedName name="OSRRefE21_4x_7" localSheetId="45">'204'!$L$45:$L$47</definedName>
    <definedName name="OSRRefE21_4x_7" localSheetId="46">'205'!$L$44:$L$46</definedName>
    <definedName name="OSRRefE21_4x_7" localSheetId="47">'206'!$L$44</definedName>
    <definedName name="OSRRefE21_4x_7" localSheetId="48">'300'!$L$71</definedName>
    <definedName name="OSRRefE21_4x_7" localSheetId="49">'300 &amp; 317'!$L$77</definedName>
    <definedName name="OSRRefE21_4x_7" localSheetId="50">'301'!$L$45:$L$46</definedName>
    <definedName name="OSRRefE21_4x_7" localSheetId="52">'307'!$L$46</definedName>
    <definedName name="OSRRefE21_4x_7" localSheetId="53">'308'!$L$59</definedName>
    <definedName name="OSRRefE21_4x_7" localSheetId="63">'310'!$L$47</definedName>
    <definedName name="OSRRefE21_4x_7" localSheetId="70">'310 &amp; 491'!$L$51</definedName>
    <definedName name="OSRRefE21_4x_7" localSheetId="54">'311'!$L$59</definedName>
    <definedName name="OSRRefE21_4x_7" localSheetId="57">'315'!$L$63</definedName>
    <definedName name="OSRRefE21_4x_7" localSheetId="60">'316'!$L$48</definedName>
    <definedName name="OSRRefE21_4x_7" localSheetId="62">'317'!$L$59</definedName>
    <definedName name="OSRRefE21_4x_7" localSheetId="66">'321'!$L$46</definedName>
    <definedName name="OSRRefE21_4x_7" localSheetId="67">'325'!$L$47:$L$48</definedName>
    <definedName name="OSRRefE21_4x_7" localSheetId="58">'326'!$L$49</definedName>
    <definedName name="OSRRefE21_4x_7" localSheetId="51">'330'!$L$46</definedName>
    <definedName name="OSRRefE21_4x_7" localSheetId="56">'331'!$L$63</definedName>
    <definedName name="OSRRefE21_4x_7" localSheetId="59">'332'!$L$48</definedName>
    <definedName name="OSRRefE21_4x_7" localSheetId="72">'405'!$L$47:$L$48</definedName>
    <definedName name="OSRRefE21_4x_7" localSheetId="73">'411'!$L$45</definedName>
    <definedName name="OSRRefE21_4x_7" localSheetId="76">'415'!$L$51</definedName>
    <definedName name="OSRRefE21_4x_7" localSheetId="77">'418'!$L$47:$L$48</definedName>
    <definedName name="OSRRefE21_4x_7" localSheetId="83">'430'!$L$44</definedName>
    <definedName name="OSRRefE21_4x_7" localSheetId="84">'433'!$L$47</definedName>
    <definedName name="OSRRefE21_4x_7" localSheetId="85">'444'!$L$52</definedName>
    <definedName name="OSRRefE21_4x_7" localSheetId="86">'450'!$L$47</definedName>
    <definedName name="OSRRefE21_4x_7" localSheetId="71">'491'!$L$51</definedName>
    <definedName name="OSRRefE21_4x_7" localSheetId="82">'492'!$L$52</definedName>
    <definedName name="OSRRefE21_4x_7" localSheetId="88">'501'!$L$45</definedName>
    <definedName name="OSRRefE21_4x_7" localSheetId="39">'Div 2'!$L$46</definedName>
    <definedName name="OSRRefE21_4x_7" localSheetId="41">'Div 3'!$L$72</definedName>
    <definedName name="OSRRefE21_4x_7" localSheetId="69">'Div 4'!$L$54</definedName>
    <definedName name="OSRRefE21_4x_7" localSheetId="87">'Div 5'!$L$45</definedName>
    <definedName name="OSRRefE21_4x_7" localSheetId="61">'Div 6'!$L$59</definedName>
    <definedName name="OSRRefE21_4x_7" localSheetId="2">Summary!$L$83</definedName>
    <definedName name="OSRRefE21_4x_8" localSheetId="42">'201'!$M$44</definedName>
    <definedName name="OSRRefE21_4x_8" localSheetId="43">'202'!$M$44</definedName>
    <definedName name="OSRRefE21_4x_8" localSheetId="44">'203'!$M$45</definedName>
    <definedName name="OSRRefE21_4x_8" localSheetId="45">'204'!$M$45:$M$47</definedName>
    <definedName name="OSRRefE21_4x_8" localSheetId="46">'205'!$M$44:$M$46</definedName>
    <definedName name="OSRRefE21_4x_8" localSheetId="47">'206'!$M$44</definedName>
    <definedName name="OSRRefE21_4x_8" localSheetId="48">'300'!$M$71</definedName>
    <definedName name="OSRRefE21_4x_8" localSheetId="49">'300 &amp; 317'!$M$77</definedName>
    <definedName name="OSRRefE21_4x_8" localSheetId="50">'301'!$M$45:$M$46</definedName>
    <definedName name="OSRRefE21_4x_8" localSheetId="52">'307'!$M$46</definedName>
    <definedName name="OSRRefE21_4x_8" localSheetId="53">'308'!$M$59</definedName>
    <definedName name="OSRRefE21_4x_8" localSheetId="63">'310'!$M$47</definedName>
    <definedName name="OSRRefE21_4x_8" localSheetId="70">'310 &amp; 491'!$M$51</definedName>
    <definedName name="OSRRefE21_4x_8" localSheetId="54">'311'!$M$59</definedName>
    <definedName name="OSRRefE21_4x_8" localSheetId="57">'315'!$M$63</definedName>
    <definedName name="OSRRefE21_4x_8" localSheetId="60">'316'!$M$48</definedName>
    <definedName name="OSRRefE21_4x_8" localSheetId="62">'317'!$M$59</definedName>
    <definedName name="OSRRefE21_4x_8" localSheetId="66">'321'!$M$46</definedName>
    <definedName name="OSRRefE21_4x_8" localSheetId="67">'325'!$M$47:$M$48</definedName>
    <definedName name="OSRRefE21_4x_8" localSheetId="58">'326'!$M$49</definedName>
    <definedName name="OSRRefE21_4x_8" localSheetId="51">'330'!$M$46</definedName>
    <definedName name="OSRRefE21_4x_8" localSheetId="56">'331'!$M$63</definedName>
    <definedName name="OSRRefE21_4x_8" localSheetId="59">'332'!$M$48</definedName>
    <definedName name="OSRRefE21_4x_8" localSheetId="72">'405'!$M$47:$M$48</definedName>
    <definedName name="OSRRefE21_4x_8" localSheetId="73">'411'!$M$45</definedName>
    <definedName name="OSRRefE21_4x_8" localSheetId="76">'415'!$M$51</definedName>
    <definedName name="OSRRefE21_4x_8" localSheetId="77">'418'!$M$47:$M$48</definedName>
    <definedName name="OSRRefE21_4x_8" localSheetId="83">'430'!$M$44</definedName>
    <definedName name="OSRRefE21_4x_8" localSheetId="84">'433'!$M$47</definedName>
    <definedName name="OSRRefE21_4x_8" localSheetId="85">'444'!$M$52</definedName>
    <definedName name="OSRRefE21_4x_8" localSheetId="86">'450'!$M$47</definedName>
    <definedName name="OSRRefE21_4x_8" localSheetId="71">'491'!$M$51</definedName>
    <definedName name="OSRRefE21_4x_8" localSheetId="82">'492'!$M$52</definedName>
    <definedName name="OSRRefE21_4x_8" localSheetId="88">'501'!$M$45</definedName>
    <definedName name="OSRRefE21_4x_8" localSheetId="39">'Div 2'!$M$46</definedName>
    <definedName name="OSRRefE21_4x_8" localSheetId="41">'Div 3'!$M$72</definedName>
    <definedName name="OSRRefE21_4x_8" localSheetId="69">'Div 4'!$M$54</definedName>
    <definedName name="OSRRefE21_4x_8" localSheetId="87">'Div 5'!$M$45</definedName>
    <definedName name="OSRRefE21_4x_8" localSheetId="61">'Div 6'!$M$59</definedName>
    <definedName name="OSRRefE21_4x_8" localSheetId="2">Summary!$M$83</definedName>
    <definedName name="OSRRefE21_4x_9" localSheetId="42">'201'!$N$44</definedName>
    <definedName name="OSRRefE21_4x_9" localSheetId="43">'202'!$N$44</definedName>
    <definedName name="OSRRefE21_4x_9" localSheetId="44">'203'!$N$45</definedName>
    <definedName name="OSRRefE21_4x_9" localSheetId="45">'204'!$N$45:$N$47</definedName>
    <definedName name="OSRRefE21_4x_9" localSheetId="46">'205'!$N$44:$N$46</definedName>
    <definedName name="OSRRefE21_4x_9" localSheetId="47">'206'!$N$44</definedName>
    <definedName name="OSRRefE21_4x_9" localSheetId="48">'300'!$N$71</definedName>
    <definedName name="OSRRefE21_4x_9" localSheetId="49">'300 &amp; 317'!$N$77</definedName>
    <definedName name="OSRRefE21_4x_9" localSheetId="50">'301'!$N$45:$N$46</definedName>
    <definedName name="OSRRefE21_4x_9" localSheetId="52">'307'!$N$46</definedName>
    <definedName name="OSRRefE21_4x_9" localSheetId="53">'308'!$N$59</definedName>
    <definedName name="OSRRefE21_4x_9" localSheetId="63">'310'!$N$47</definedName>
    <definedName name="OSRRefE21_4x_9" localSheetId="70">'310 &amp; 491'!$N$51</definedName>
    <definedName name="OSRRefE21_4x_9" localSheetId="54">'311'!$N$59</definedName>
    <definedName name="OSRRefE21_4x_9" localSheetId="57">'315'!$N$63</definedName>
    <definedName name="OSRRefE21_4x_9" localSheetId="60">'316'!$N$48</definedName>
    <definedName name="OSRRefE21_4x_9" localSheetId="62">'317'!$N$59</definedName>
    <definedName name="OSRRefE21_4x_9" localSheetId="66">'321'!$N$46</definedName>
    <definedName name="OSRRefE21_4x_9" localSheetId="67">'325'!$N$47:$N$48</definedName>
    <definedName name="OSRRefE21_4x_9" localSheetId="58">'326'!$N$49</definedName>
    <definedName name="OSRRefE21_4x_9" localSheetId="51">'330'!$N$46</definedName>
    <definedName name="OSRRefE21_4x_9" localSheetId="56">'331'!$N$63</definedName>
    <definedName name="OSRRefE21_4x_9" localSheetId="59">'332'!$N$48</definedName>
    <definedName name="OSRRefE21_4x_9" localSheetId="72">'405'!$N$47:$N$48</definedName>
    <definedName name="OSRRefE21_4x_9" localSheetId="73">'411'!$N$45</definedName>
    <definedName name="OSRRefE21_4x_9" localSheetId="76">'415'!$N$51</definedName>
    <definedName name="OSRRefE21_4x_9" localSheetId="77">'418'!$N$47:$N$48</definedName>
    <definedName name="OSRRefE21_4x_9" localSheetId="83">'430'!$N$44</definedName>
    <definedName name="OSRRefE21_4x_9" localSheetId="84">'433'!$N$47</definedName>
    <definedName name="OSRRefE21_4x_9" localSheetId="85">'444'!$N$52</definedName>
    <definedName name="OSRRefE21_4x_9" localSheetId="86">'450'!$N$47</definedName>
    <definedName name="OSRRefE21_4x_9" localSheetId="71">'491'!$N$51</definedName>
    <definedName name="OSRRefE21_4x_9" localSheetId="82">'492'!$N$52</definedName>
    <definedName name="OSRRefE21_4x_9" localSheetId="88">'501'!$N$45</definedName>
    <definedName name="OSRRefE21_4x_9" localSheetId="39">'Div 2'!$N$46</definedName>
    <definedName name="OSRRefE21_4x_9" localSheetId="41">'Div 3'!$N$72</definedName>
    <definedName name="OSRRefE21_4x_9" localSheetId="69">'Div 4'!$N$54</definedName>
    <definedName name="OSRRefE21_4x_9" localSheetId="87">'Div 5'!$N$45</definedName>
    <definedName name="OSRRefE21_4x_9" localSheetId="61">'Div 6'!$N$59</definedName>
    <definedName name="OSRRefE21_4x_9" localSheetId="2">Summary!$N$83</definedName>
    <definedName name="OSRRefE21_5_0x" localSheetId="42">'201'!$E$46:$O$46</definedName>
    <definedName name="OSRRefE21_5_0x" localSheetId="43">'202'!$E$46:$O$46</definedName>
    <definedName name="OSRRefE21_5_0x" localSheetId="44">'203'!$E$47:$O$47</definedName>
    <definedName name="OSRRefE21_5_0x" localSheetId="45">'204'!$E$49:$O$49</definedName>
    <definedName name="OSRRefE21_5_0x" localSheetId="46">'205'!$E$48:$O$48</definedName>
    <definedName name="OSRRefE21_5_0x" localSheetId="47">'206'!$E$46:$O$46</definedName>
    <definedName name="OSRRefE21_5_0x" localSheetId="48">'300'!$E$73:$O$73</definedName>
    <definedName name="OSRRefE21_5_0x" localSheetId="49">'300 &amp; 317'!$E$79:$O$79</definedName>
    <definedName name="OSRRefE21_5_0x" localSheetId="50">'301'!$E$48:$O$48</definedName>
    <definedName name="OSRRefE21_5_0x" localSheetId="52">'307'!$E$48:$O$48</definedName>
    <definedName name="OSRRefE21_5_0x" localSheetId="53">'308'!$E$61:$O$61</definedName>
    <definedName name="OSRRefE21_5_0x" localSheetId="63">'310'!$E$49:$O$49</definedName>
    <definedName name="OSRRefE21_5_0x" localSheetId="70">'310 &amp; 491'!$E$53:$O$53</definedName>
    <definedName name="OSRRefE21_5_0x" localSheetId="54">'311'!$E$61:$O$61</definedName>
    <definedName name="OSRRefE21_5_0x" localSheetId="57">'315'!$E$65:$O$65</definedName>
    <definedName name="OSRRefE21_5_0x" localSheetId="60">'316'!$E$50:$O$50</definedName>
    <definedName name="OSRRefE21_5_0x" localSheetId="62">'317'!$E$61:$O$61</definedName>
    <definedName name="OSRRefE21_5_0x" localSheetId="66">'321'!$E$48:$O$48</definedName>
    <definedName name="OSRRefE21_5_0x" localSheetId="67">'325'!$E$50:$O$50</definedName>
    <definedName name="OSRRefE21_5_0x" localSheetId="58">'326'!$E$51:$O$51</definedName>
    <definedName name="OSRRefE21_5_0x" localSheetId="51">'330'!$E$48:$O$48</definedName>
    <definedName name="OSRRefE21_5_0x" localSheetId="56">'331'!$E$65:$O$65</definedName>
    <definedName name="OSRRefE21_5_0x" localSheetId="59">'332'!$E$50:$O$50</definedName>
    <definedName name="OSRRefE21_5_0x" localSheetId="72">'405'!$E$50:$O$50</definedName>
    <definedName name="OSRRefE21_5_0x" localSheetId="73">'411'!$E$47:$O$47</definedName>
    <definedName name="OSRRefE21_5_0x" localSheetId="76">'415'!$E$53:$O$53</definedName>
    <definedName name="OSRRefE21_5_0x" localSheetId="77">'418'!$E$50:$O$50</definedName>
    <definedName name="OSRRefE21_5_0x" localSheetId="83">'430'!$E$46:$O$46</definedName>
    <definedName name="OSRRefE21_5_0x" localSheetId="84">'433'!$E$49:$O$49</definedName>
    <definedName name="OSRRefE21_5_0x" localSheetId="85">'444'!$E$54:$O$54</definedName>
    <definedName name="OSRRefE21_5_0x" localSheetId="86">'450'!$E$49:$O$49</definedName>
    <definedName name="OSRRefE21_5_0x" localSheetId="71">'491'!$E$53:$O$53</definedName>
    <definedName name="OSRRefE21_5_0x" localSheetId="82">'492'!$E$54:$O$54</definedName>
    <definedName name="OSRRefE21_5_0x" localSheetId="88">'501'!$E$47:$O$47</definedName>
    <definedName name="OSRRefE21_5_0x" localSheetId="39">'Div 2'!$E$48:$O$48</definedName>
    <definedName name="OSRRefE21_5_0x" localSheetId="41">'Div 3'!$E$74:$O$74</definedName>
    <definedName name="OSRRefE21_5_0x" localSheetId="69">'Div 4'!$E$56:$O$56</definedName>
    <definedName name="OSRRefE21_5_0x" localSheetId="87">'Div 5'!$E$47:$O$47</definedName>
    <definedName name="OSRRefE21_5_0x" localSheetId="61">'Div 6'!$E$61:$O$61</definedName>
    <definedName name="OSRRefE21_5_0x" localSheetId="2">Summary!$E$85:$O$85</definedName>
    <definedName name="OSRRefE21_5_1x" localSheetId="45">'204'!$E$50:$O$50</definedName>
    <definedName name="OSRRefE21_5_1x" localSheetId="47">'206'!$E$47:$O$47</definedName>
    <definedName name="OSRRefE21_5_1x" localSheetId="48">'300'!$E$74:$O$74</definedName>
    <definedName name="OSRRefE21_5_1x" localSheetId="49">'300 &amp; 317'!$E$80:$O$80</definedName>
    <definedName name="OSRRefE21_5_1x" localSheetId="63">'310'!$E$50:$O$50</definedName>
    <definedName name="OSRRefE21_5_1x" localSheetId="70">'310 &amp; 491'!$E$54:$O$54</definedName>
    <definedName name="OSRRefE21_5_1x" localSheetId="60">'316'!$E$51:$O$51</definedName>
    <definedName name="OSRRefE21_5_1x" localSheetId="59">'332'!$E$51:$O$51</definedName>
    <definedName name="OSRRefE21_5_1x" localSheetId="76">'415'!$E$54:$O$54</definedName>
    <definedName name="OSRRefE21_5_1x" localSheetId="83">'430'!$E$47:$O$47</definedName>
    <definedName name="OSRRefE21_5_1x" localSheetId="71">'491'!$E$54:$O$54</definedName>
    <definedName name="OSRRefE21_5_1x" localSheetId="39">'Div 2'!$E$49:$O$49</definedName>
    <definedName name="OSRRefE21_5_1x" localSheetId="41">'Div 3'!$E$75:$O$75</definedName>
    <definedName name="OSRRefE21_5_1x" localSheetId="69">'Div 4'!$E$57:$O$57</definedName>
    <definedName name="OSRRefE21_5_1x" localSheetId="2">Summary!$E$86:$O$86</definedName>
    <definedName name="OSRRefE21_5x_0" localSheetId="42">'201'!$E$46</definedName>
    <definedName name="OSRRefE21_5x_0" localSheetId="43">'202'!$E$46</definedName>
    <definedName name="OSRRefE21_5x_0" localSheetId="44">'203'!$E$47</definedName>
    <definedName name="OSRRefE21_5x_0" localSheetId="45">'204'!$E$49:$E$50</definedName>
    <definedName name="OSRRefE21_5x_0" localSheetId="46">'205'!$E$48</definedName>
    <definedName name="OSRRefE21_5x_0" localSheetId="47">'206'!$E$46:$E$47</definedName>
    <definedName name="OSRRefE21_5x_0" localSheetId="48">'300'!$E$73:$E$74</definedName>
    <definedName name="OSRRefE21_5x_0" localSheetId="49">'300 &amp; 317'!$E$79:$E$80</definedName>
    <definedName name="OSRRefE21_5x_0" localSheetId="50">'301'!$E$48</definedName>
    <definedName name="OSRRefE21_5x_0" localSheetId="52">'307'!$E$48</definedName>
    <definedName name="OSRRefE21_5x_0" localSheetId="53">'308'!$E$61</definedName>
    <definedName name="OSRRefE21_5x_0" localSheetId="63">'310'!$E$49:$E$50</definedName>
    <definedName name="OSRRefE21_5x_0" localSheetId="70">'310 &amp; 491'!$E$53:$E$54</definedName>
    <definedName name="OSRRefE21_5x_0" localSheetId="54">'311'!$E$61</definedName>
    <definedName name="OSRRefE21_5x_0" localSheetId="57">'315'!$E$65</definedName>
    <definedName name="OSRRefE21_5x_0" localSheetId="60">'316'!$E$50:$E$51</definedName>
    <definedName name="OSRRefE21_5x_0" localSheetId="62">'317'!$E$61</definedName>
    <definedName name="OSRRefE21_5x_0" localSheetId="66">'321'!$E$48</definedName>
    <definedName name="OSRRefE21_5x_0" localSheetId="67">'325'!$E$50</definedName>
    <definedName name="OSRRefE21_5x_0" localSheetId="58">'326'!$E$51</definedName>
    <definedName name="OSRRefE21_5x_0" localSheetId="51">'330'!$E$48</definedName>
    <definedName name="OSRRefE21_5x_0" localSheetId="56">'331'!$E$65</definedName>
    <definedName name="OSRRefE21_5x_0" localSheetId="59">'332'!$E$50:$E$51</definedName>
    <definedName name="OSRRefE21_5x_0" localSheetId="72">'405'!$E$50</definedName>
    <definedName name="OSRRefE21_5x_0" localSheetId="73">'411'!$E$47</definedName>
    <definedName name="OSRRefE21_5x_0" localSheetId="76">'415'!$E$53:$E$54</definedName>
    <definedName name="OSRRefE21_5x_0" localSheetId="77">'418'!$E$50</definedName>
    <definedName name="OSRRefE21_5x_0" localSheetId="83">'430'!$E$46:$E$47</definedName>
    <definedName name="OSRRefE21_5x_0" localSheetId="84">'433'!$E$49</definedName>
    <definedName name="OSRRefE21_5x_0" localSheetId="85">'444'!$E$54</definedName>
    <definedName name="OSRRefE21_5x_0" localSheetId="86">'450'!$E$49</definedName>
    <definedName name="OSRRefE21_5x_0" localSheetId="71">'491'!$E$53:$E$54</definedName>
    <definedName name="OSRRefE21_5x_0" localSheetId="82">'492'!$E$54</definedName>
    <definedName name="OSRRefE21_5x_0" localSheetId="88">'501'!$E$47</definedName>
    <definedName name="OSRRefE21_5x_0" localSheetId="39">'Div 2'!$E$48:$E$49</definedName>
    <definedName name="OSRRefE21_5x_0" localSheetId="41">'Div 3'!$E$74:$E$75</definedName>
    <definedName name="OSRRefE21_5x_0" localSheetId="69">'Div 4'!$E$56:$E$57</definedName>
    <definedName name="OSRRefE21_5x_0" localSheetId="87">'Div 5'!$E$47</definedName>
    <definedName name="OSRRefE21_5x_0" localSheetId="61">'Div 6'!$E$61</definedName>
    <definedName name="OSRRefE21_5x_0" localSheetId="2">Summary!$E$85:$E$86</definedName>
    <definedName name="OSRRefE21_5x_1" localSheetId="42">'201'!$F$46</definedName>
    <definedName name="OSRRefE21_5x_1" localSheetId="43">'202'!$F$46</definedName>
    <definedName name="OSRRefE21_5x_1" localSheetId="44">'203'!$F$47</definedName>
    <definedName name="OSRRefE21_5x_1" localSheetId="45">'204'!$F$49:$F$50</definedName>
    <definedName name="OSRRefE21_5x_1" localSheetId="46">'205'!$F$48</definedName>
    <definedName name="OSRRefE21_5x_1" localSheetId="47">'206'!$F$46:$F$47</definedName>
    <definedName name="OSRRefE21_5x_1" localSheetId="48">'300'!$F$73:$F$74</definedName>
    <definedName name="OSRRefE21_5x_1" localSheetId="49">'300 &amp; 317'!$F$79:$F$80</definedName>
    <definedName name="OSRRefE21_5x_1" localSheetId="50">'301'!$F$48</definedName>
    <definedName name="OSRRefE21_5x_1" localSheetId="52">'307'!$F$48</definedName>
    <definedName name="OSRRefE21_5x_1" localSheetId="53">'308'!$F$61</definedName>
    <definedName name="OSRRefE21_5x_1" localSheetId="63">'310'!$F$49:$F$50</definedName>
    <definedName name="OSRRefE21_5x_1" localSheetId="70">'310 &amp; 491'!$F$53:$F$54</definedName>
    <definedName name="OSRRefE21_5x_1" localSheetId="54">'311'!$F$61</definedName>
    <definedName name="OSRRefE21_5x_1" localSheetId="57">'315'!$F$65</definedName>
    <definedName name="OSRRefE21_5x_1" localSheetId="60">'316'!$F$50:$F$51</definedName>
    <definedName name="OSRRefE21_5x_1" localSheetId="62">'317'!$F$61</definedName>
    <definedName name="OSRRefE21_5x_1" localSheetId="66">'321'!$F$48</definedName>
    <definedName name="OSRRefE21_5x_1" localSheetId="67">'325'!$F$50</definedName>
    <definedName name="OSRRefE21_5x_1" localSheetId="58">'326'!$F$51</definedName>
    <definedName name="OSRRefE21_5x_1" localSheetId="51">'330'!$F$48</definedName>
    <definedName name="OSRRefE21_5x_1" localSheetId="56">'331'!$F$65</definedName>
    <definedName name="OSRRefE21_5x_1" localSheetId="59">'332'!$F$50:$F$51</definedName>
    <definedName name="OSRRefE21_5x_1" localSheetId="72">'405'!$F$50</definedName>
    <definedName name="OSRRefE21_5x_1" localSheetId="73">'411'!$F$47</definedName>
    <definedName name="OSRRefE21_5x_1" localSheetId="76">'415'!$F$53:$F$54</definedName>
    <definedName name="OSRRefE21_5x_1" localSheetId="77">'418'!$F$50</definedName>
    <definedName name="OSRRefE21_5x_1" localSheetId="83">'430'!$F$46:$F$47</definedName>
    <definedName name="OSRRefE21_5x_1" localSheetId="84">'433'!$F$49</definedName>
    <definedName name="OSRRefE21_5x_1" localSheetId="85">'444'!$F$54</definedName>
    <definedName name="OSRRefE21_5x_1" localSheetId="86">'450'!$F$49</definedName>
    <definedName name="OSRRefE21_5x_1" localSheetId="71">'491'!$F$53:$F$54</definedName>
    <definedName name="OSRRefE21_5x_1" localSheetId="82">'492'!$F$54</definedName>
    <definedName name="OSRRefE21_5x_1" localSheetId="88">'501'!$F$47</definedName>
    <definedName name="OSRRefE21_5x_1" localSheetId="39">'Div 2'!$F$48:$F$49</definedName>
    <definedName name="OSRRefE21_5x_1" localSheetId="41">'Div 3'!$F$74:$F$75</definedName>
    <definedName name="OSRRefE21_5x_1" localSheetId="69">'Div 4'!$F$56:$F$57</definedName>
    <definedName name="OSRRefE21_5x_1" localSheetId="87">'Div 5'!$F$47</definedName>
    <definedName name="OSRRefE21_5x_1" localSheetId="61">'Div 6'!$F$61</definedName>
    <definedName name="OSRRefE21_5x_1" localSheetId="2">Summary!$F$85:$F$86</definedName>
    <definedName name="OSRRefE21_5x_10" localSheetId="42">'201'!$O$46</definedName>
    <definedName name="OSRRefE21_5x_10" localSheetId="43">'202'!$O$46</definedName>
    <definedName name="OSRRefE21_5x_10" localSheetId="44">'203'!$O$47</definedName>
    <definedName name="OSRRefE21_5x_10" localSheetId="45">'204'!$O$49:$O$50</definedName>
    <definedName name="OSRRefE21_5x_10" localSheetId="46">'205'!$O$48</definedName>
    <definedName name="OSRRefE21_5x_10" localSheetId="47">'206'!$O$46:$O$47</definedName>
    <definedName name="OSRRefE21_5x_10" localSheetId="48">'300'!$O$73:$O$74</definedName>
    <definedName name="OSRRefE21_5x_10" localSheetId="49">'300 &amp; 317'!$O$79:$O$80</definedName>
    <definedName name="OSRRefE21_5x_10" localSheetId="50">'301'!$O$48</definedName>
    <definedName name="OSRRefE21_5x_10" localSheetId="52">'307'!$O$48</definedName>
    <definedName name="OSRRefE21_5x_10" localSheetId="53">'308'!$O$61</definedName>
    <definedName name="OSRRefE21_5x_10" localSheetId="63">'310'!$O$49:$O$50</definedName>
    <definedName name="OSRRefE21_5x_10" localSheetId="70">'310 &amp; 491'!$O$53:$O$54</definedName>
    <definedName name="OSRRefE21_5x_10" localSheetId="54">'311'!$O$61</definedName>
    <definedName name="OSRRefE21_5x_10" localSheetId="57">'315'!$O$65</definedName>
    <definedName name="OSRRefE21_5x_10" localSheetId="60">'316'!$O$50:$O$51</definedName>
    <definedName name="OSRRefE21_5x_10" localSheetId="62">'317'!$O$61</definedName>
    <definedName name="OSRRefE21_5x_10" localSheetId="66">'321'!$O$48</definedName>
    <definedName name="OSRRefE21_5x_10" localSheetId="67">'325'!$O$50</definedName>
    <definedName name="OSRRefE21_5x_10" localSheetId="58">'326'!$O$51</definedName>
    <definedName name="OSRRefE21_5x_10" localSheetId="51">'330'!$O$48</definedName>
    <definedName name="OSRRefE21_5x_10" localSheetId="56">'331'!$O$65</definedName>
    <definedName name="OSRRefE21_5x_10" localSheetId="59">'332'!$O$50:$O$51</definedName>
    <definedName name="OSRRefE21_5x_10" localSheetId="72">'405'!$O$50</definedName>
    <definedName name="OSRRefE21_5x_10" localSheetId="73">'411'!$O$47</definedName>
    <definedName name="OSRRefE21_5x_10" localSheetId="76">'415'!$O$53:$O$54</definedName>
    <definedName name="OSRRefE21_5x_10" localSheetId="77">'418'!$O$50</definedName>
    <definedName name="OSRRefE21_5x_10" localSheetId="83">'430'!$O$46:$O$47</definedName>
    <definedName name="OSRRefE21_5x_10" localSheetId="84">'433'!$O$49</definedName>
    <definedName name="OSRRefE21_5x_10" localSheetId="85">'444'!$O$54</definedName>
    <definedName name="OSRRefE21_5x_10" localSheetId="86">'450'!$O$49</definedName>
    <definedName name="OSRRefE21_5x_10" localSheetId="71">'491'!$O$53:$O$54</definedName>
    <definedName name="OSRRefE21_5x_10" localSheetId="82">'492'!$O$54</definedName>
    <definedName name="OSRRefE21_5x_10" localSheetId="88">'501'!$O$47</definedName>
    <definedName name="OSRRefE21_5x_10" localSheetId="39">'Div 2'!$O$48:$O$49</definedName>
    <definedName name="OSRRefE21_5x_10" localSheetId="41">'Div 3'!$O$74:$O$75</definedName>
    <definedName name="OSRRefE21_5x_10" localSheetId="69">'Div 4'!$O$56:$O$57</definedName>
    <definedName name="OSRRefE21_5x_10" localSheetId="87">'Div 5'!$O$47</definedName>
    <definedName name="OSRRefE21_5x_10" localSheetId="61">'Div 6'!$O$61</definedName>
    <definedName name="OSRRefE21_5x_10" localSheetId="2">Summary!$O$85:$O$86</definedName>
    <definedName name="OSRRefE21_5x_2" localSheetId="42">'201'!$G$46</definedName>
    <definedName name="OSRRefE21_5x_2" localSheetId="43">'202'!$G$46</definedName>
    <definedName name="OSRRefE21_5x_2" localSheetId="44">'203'!$G$47</definedName>
    <definedName name="OSRRefE21_5x_2" localSheetId="45">'204'!$G$49:$G$50</definedName>
    <definedName name="OSRRefE21_5x_2" localSheetId="46">'205'!$G$48</definedName>
    <definedName name="OSRRefE21_5x_2" localSheetId="47">'206'!$G$46:$G$47</definedName>
    <definedName name="OSRRefE21_5x_2" localSheetId="48">'300'!$G$73:$G$74</definedName>
    <definedName name="OSRRefE21_5x_2" localSheetId="49">'300 &amp; 317'!$G$79:$G$80</definedName>
    <definedName name="OSRRefE21_5x_2" localSheetId="50">'301'!$G$48</definedName>
    <definedName name="OSRRefE21_5x_2" localSheetId="52">'307'!$G$48</definedName>
    <definedName name="OSRRefE21_5x_2" localSheetId="53">'308'!$G$61</definedName>
    <definedName name="OSRRefE21_5x_2" localSheetId="63">'310'!$G$49:$G$50</definedName>
    <definedName name="OSRRefE21_5x_2" localSheetId="70">'310 &amp; 491'!$G$53:$G$54</definedName>
    <definedName name="OSRRefE21_5x_2" localSheetId="54">'311'!$G$61</definedName>
    <definedName name="OSRRefE21_5x_2" localSheetId="57">'315'!$G$65</definedName>
    <definedName name="OSRRefE21_5x_2" localSheetId="60">'316'!$G$50:$G$51</definedName>
    <definedName name="OSRRefE21_5x_2" localSheetId="62">'317'!$G$61</definedName>
    <definedName name="OSRRefE21_5x_2" localSheetId="66">'321'!$G$48</definedName>
    <definedName name="OSRRefE21_5x_2" localSheetId="67">'325'!$G$50</definedName>
    <definedName name="OSRRefE21_5x_2" localSheetId="58">'326'!$G$51</definedName>
    <definedName name="OSRRefE21_5x_2" localSheetId="51">'330'!$G$48</definedName>
    <definedName name="OSRRefE21_5x_2" localSheetId="56">'331'!$G$65</definedName>
    <definedName name="OSRRefE21_5x_2" localSheetId="59">'332'!$G$50:$G$51</definedName>
    <definedName name="OSRRefE21_5x_2" localSheetId="72">'405'!$G$50</definedName>
    <definedName name="OSRRefE21_5x_2" localSheetId="73">'411'!$G$47</definedName>
    <definedName name="OSRRefE21_5x_2" localSheetId="76">'415'!$G$53:$G$54</definedName>
    <definedName name="OSRRefE21_5x_2" localSheetId="77">'418'!$G$50</definedName>
    <definedName name="OSRRefE21_5x_2" localSheetId="83">'430'!$G$46:$G$47</definedName>
    <definedName name="OSRRefE21_5x_2" localSheetId="84">'433'!$G$49</definedName>
    <definedName name="OSRRefE21_5x_2" localSheetId="85">'444'!$G$54</definedName>
    <definedName name="OSRRefE21_5x_2" localSheetId="86">'450'!$G$49</definedName>
    <definedName name="OSRRefE21_5x_2" localSheetId="71">'491'!$G$53:$G$54</definedName>
    <definedName name="OSRRefE21_5x_2" localSheetId="82">'492'!$G$54</definedName>
    <definedName name="OSRRefE21_5x_2" localSheetId="88">'501'!$G$47</definedName>
    <definedName name="OSRRefE21_5x_2" localSheetId="39">'Div 2'!$G$48:$G$49</definedName>
    <definedName name="OSRRefE21_5x_2" localSheetId="41">'Div 3'!$G$74:$G$75</definedName>
    <definedName name="OSRRefE21_5x_2" localSheetId="69">'Div 4'!$G$56:$G$57</definedName>
    <definedName name="OSRRefE21_5x_2" localSheetId="87">'Div 5'!$G$47</definedName>
    <definedName name="OSRRefE21_5x_2" localSheetId="61">'Div 6'!$G$61</definedName>
    <definedName name="OSRRefE21_5x_2" localSheetId="2">Summary!$G$85:$G$86</definedName>
    <definedName name="OSRRefE21_5x_3" localSheetId="42">'201'!$H$46</definedName>
    <definedName name="OSRRefE21_5x_3" localSheetId="43">'202'!$H$46</definedName>
    <definedName name="OSRRefE21_5x_3" localSheetId="44">'203'!$H$47</definedName>
    <definedName name="OSRRefE21_5x_3" localSheetId="45">'204'!$H$49:$H$50</definedName>
    <definedName name="OSRRefE21_5x_3" localSheetId="46">'205'!$H$48</definedName>
    <definedName name="OSRRefE21_5x_3" localSheetId="47">'206'!$H$46:$H$47</definedName>
    <definedName name="OSRRefE21_5x_3" localSheetId="48">'300'!$H$73:$H$74</definedName>
    <definedName name="OSRRefE21_5x_3" localSheetId="49">'300 &amp; 317'!$H$79:$H$80</definedName>
    <definedName name="OSRRefE21_5x_3" localSheetId="50">'301'!$H$48</definedName>
    <definedName name="OSRRefE21_5x_3" localSheetId="52">'307'!$H$48</definedName>
    <definedName name="OSRRefE21_5x_3" localSheetId="53">'308'!$H$61</definedName>
    <definedName name="OSRRefE21_5x_3" localSheetId="63">'310'!$H$49:$H$50</definedName>
    <definedName name="OSRRefE21_5x_3" localSheetId="70">'310 &amp; 491'!$H$53:$H$54</definedName>
    <definedName name="OSRRefE21_5x_3" localSheetId="54">'311'!$H$61</definedName>
    <definedName name="OSRRefE21_5x_3" localSheetId="57">'315'!$H$65</definedName>
    <definedName name="OSRRefE21_5x_3" localSheetId="60">'316'!$H$50:$H$51</definedName>
    <definedName name="OSRRefE21_5x_3" localSheetId="62">'317'!$H$61</definedName>
    <definedName name="OSRRefE21_5x_3" localSheetId="66">'321'!$H$48</definedName>
    <definedName name="OSRRefE21_5x_3" localSheetId="67">'325'!$H$50</definedName>
    <definedName name="OSRRefE21_5x_3" localSheetId="58">'326'!$H$51</definedName>
    <definedName name="OSRRefE21_5x_3" localSheetId="51">'330'!$H$48</definedName>
    <definedName name="OSRRefE21_5x_3" localSheetId="56">'331'!$H$65</definedName>
    <definedName name="OSRRefE21_5x_3" localSheetId="59">'332'!$H$50:$H$51</definedName>
    <definedName name="OSRRefE21_5x_3" localSheetId="72">'405'!$H$50</definedName>
    <definedName name="OSRRefE21_5x_3" localSheetId="73">'411'!$H$47</definedName>
    <definedName name="OSRRefE21_5x_3" localSheetId="76">'415'!$H$53:$H$54</definedName>
    <definedName name="OSRRefE21_5x_3" localSheetId="77">'418'!$H$50</definedName>
    <definedName name="OSRRefE21_5x_3" localSheetId="83">'430'!$H$46:$H$47</definedName>
    <definedName name="OSRRefE21_5x_3" localSheetId="84">'433'!$H$49</definedName>
    <definedName name="OSRRefE21_5x_3" localSheetId="85">'444'!$H$54</definedName>
    <definedName name="OSRRefE21_5x_3" localSheetId="86">'450'!$H$49</definedName>
    <definedName name="OSRRefE21_5x_3" localSheetId="71">'491'!$H$53:$H$54</definedName>
    <definedName name="OSRRefE21_5x_3" localSheetId="82">'492'!$H$54</definedName>
    <definedName name="OSRRefE21_5x_3" localSheetId="88">'501'!$H$47</definedName>
    <definedName name="OSRRefE21_5x_3" localSheetId="39">'Div 2'!$H$48:$H$49</definedName>
    <definedName name="OSRRefE21_5x_3" localSheetId="41">'Div 3'!$H$74:$H$75</definedName>
    <definedName name="OSRRefE21_5x_3" localSheetId="69">'Div 4'!$H$56:$H$57</definedName>
    <definedName name="OSRRefE21_5x_3" localSheetId="87">'Div 5'!$H$47</definedName>
    <definedName name="OSRRefE21_5x_3" localSheetId="61">'Div 6'!$H$61</definedName>
    <definedName name="OSRRefE21_5x_3" localSheetId="2">Summary!$H$85:$H$86</definedName>
    <definedName name="OSRRefE21_5x_4" localSheetId="42">'201'!$I$46</definedName>
    <definedName name="OSRRefE21_5x_4" localSheetId="43">'202'!$I$46</definedName>
    <definedName name="OSRRefE21_5x_4" localSheetId="44">'203'!$I$47</definedName>
    <definedName name="OSRRefE21_5x_4" localSheetId="45">'204'!$I$49:$I$50</definedName>
    <definedName name="OSRRefE21_5x_4" localSheetId="46">'205'!$I$48</definedName>
    <definedName name="OSRRefE21_5x_4" localSheetId="47">'206'!$I$46:$I$47</definedName>
    <definedName name="OSRRefE21_5x_4" localSheetId="48">'300'!$I$73:$I$74</definedName>
    <definedName name="OSRRefE21_5x_4" localSheetId="49">'300 &amp; 317'!$I$79:$I$80</definedName>
    <definedName name="OSRRefE21_5x_4" localSheetId="50">'301'!$I$48</definedName>
    <definedName name="OSRRefE21_5x_4" localSheetId="52">'307'!$I$48</definedName>
    <definedName name="OSRRefE21_5x_4" localSheetId="53">'308'!$I$61</definedName>
    <definedName name="OSRRefE21_5x_4" localSheetId="63">'310'!$I$49:$I$50</definedName>
    <definedName name="OSRRefE21_5x_4" localSheetId="70">'310 &amp; 491'!$I$53:$I$54</definedName>
    <definedName name="OSRRefE21_5x_4" localSheetId="54">'311'!$I$61</definedName>
    <definedName name="OSRRefE21_5x_4" localSheetId="57">'315'!$I$65</definedName>
    <definedName name="OSRRefE21_5x_4" localSheetId="60">'316'!$I$50:$I$51</definedName>
    <definedName name="OSRRefE21_5x_4" localSheetId="62">'317'!$I$61</definedName>
    <definedName name="OSRRefE21_5x_4" localSheetId="66">'321'!$I$48</definedName>
    <definedName name="OSRRefE21_5x_4" localSheetId="67">'325'!$I$50</definedName>
    <definedName name="OSRRefE21_5x_4" localSheetId="58">'326'!$I$51</definedName>
    <definedName name="OSRRefE21_5x_4" localSheetId="51">'330'!$I$48</definedName>
    <definedName name="OSRRefE21_5x_4" localSheetId="56">'331'!$I$65</definedName>
    <definedName name="OSRRefE21_5x_4" localSheetId="59">'332'!$I$50:$I$51</definedName>
    <definedName name="OSRRefE21_5x_4" localSheetId="72">'405'!$I$50</definedName>
    <definedName name="OSRRefE21_5x_4" localSheetId="73">'411'!$I$47</definedName>
    <definedName name="OSRRefE21_5x_4" localSheetId="76">'415'!$I$53:$I$54</definedName>
    <definedName name="OSRRefE21_5x_4" localSheetId="77">'418'!$I$50</definedName>
    <definedName name="OSRRefE21_5x_4" localSheetId="83">'430'!$I$46:$I$47</definedName>
    <definedName name="OSRRefE21_5x_4" localSheetId="84">'433'!$I$49</definedName>
    <definedName name="OSRRefE21_5x_4" localSheetId="85">'444'!$I$54</definedName>
    <definedName name="OSRRefE21_5x_4" localSheetId="86">'450'!$I$49</definedName>
    <definedName name="OSRRefE21_5x_4" localSheetId="71">'491'!$I$53:$I$54</definedName>
    <definedName name="OSRRefE21_5x_4" localSheetId="82">'492'!$I$54</definedName>
    <definedName name="OSRRefE21_5x_4" localSheetId="88">'501'!$I$47</definedName>
    <definedName name="OSRRefE21_5x_4" localSheetId="39">'Div 2'!$I$48:$I$49</definedName>
    <definedName name="OSRRefE21_5x_4" localSheetId="41">'Div 3'!$I$74:$I$75</definedName>
    <definedName name="OSRRefE21_5x_4" localSheetId="69">'Div 4'!$I$56:$I$57</definedName>
    <definedName name="OSRRefE21_5x_4" localSheetId="87">'Div 5'!$I$47</definedName>
    <definedName name="OSRRefE21_5x_4" localSheetId="61">'Div 6'!$I$61</definedName>
    <definedName name="OSRRefE21_5x_4" localSheetId="2">Summary!$I$85:$I$86</definedName>
    <definedName name="OSRRefE21_5x_5" localSheetId="42">'201'!$J$46</definedName>
    <definedName name="OSRRefE21_5x_5" localSheetId="43">'202'!$J$46</definedName>
    <definedName name="OSRRefE21_5x_5" localSheetId="44">'203'!$J$47</definedName>
    <definedName name="OSRRefE21_5x_5" localSheetId="45">'204'!$J$49:$J$50</definedName>
    <definedName name="OSRRefE21_5x_5" localSheetId="46">'205'!$J$48</definedName>
    <definedName name="OSRRefE21_5x_5" localSheetId="47">'206'!$J$46:$J$47</definedName>
    <definedName name="OSRRefE21_5x_5" localSheetId="48">'300'!$J$73:$J$74</definedName>
    <definedName name="OSRRefE21_5x_5" localSheetId="49">'300 &amp; 317'!$J$79:$J$80</definedName>
    <definedName name="OSRRefE21_5x_5" localSheetId="50">'301'!$J$48</definedName>
    <definedName name="OSRRefE21_5x_5" localSheetId="52">'307'!$J$48</definedName>
    <definedName name="OSRRefE21_5x_5" localSheetId="53">'308'!$J$61</definedName>
    <definedName name="OSRRefE21_5x_5" localSheetId="63">'310'!$J$49:$J$50</definedName>
    <definedName name="OSRRefE21_5x_5" localSheetId="70">'310 &amp; 491'!$J$53:$J$54</definedName>
    <definedName name="OSRRefE21_5x_5" localSheetId="54">'311'!$J$61</definedName>
    <definedName name="OSRRefE21_5x_5" localSheetId="57">'315'!$J$65</definedName>
    <definedName name="OSRRefE21_5x_5" localSheetId="60">'316'!$J$50:$J$51</definedName>
    <definedName name="OSRRefE21_5x_5" localSheetId="62">'317'!$J$61</definedName>
    <definedName name="OSRRefE21_5x_5" localSheetId="66">'321'!$J$48</definedName>
    <definedName name="OSRRefE21_5x_5" localSheetId="67">'325'!$J$50</definedName>
    <definedName name="OSRRefE21_5x_5" localSheetId="58">'326'!$J$51</definedName>
    <definedName name="OSRRefE21_5x_5" localSheetId="51">'330'!$J$48</definedName>
    <definedName name="OSRRefE21_5x_5" localSheetId="56">'331'!$J$65</definedName>
    <definedName name="OSRRefE21_5x_5" localSheetId="59">'332'!$J$50:$J$51</definedName>
    <definedName name="OSRRefE21_5x_5" localSheetId="72">'405'!$J$50</definedName>
    <definedName name="OSRRefE21_5x_5" localSheetId="73">'411'!$J$47</definedName>
    <definedName name="OSRRefE21_5x_5" localSheetId="76">'415'!$J$53:$J$54</definedName>
    <definedName name="OSRRefE21_5x_5" localSheetId="77">'418'!$J$50</definedName>
    <definedName name="OSRRefE21_5x_5" localSheetId="83">'430'!$J$46:$J$47</definedName>
    <definedName name="OSRRefE21_5x_5" localSheetId="84">'433'!$J$49</definedName>
    <definedName name="OSRRefE21_5x_5" localSheetId="85">'444'!$J$54</definedName>
    <definedName name="OSRRefE21_5x_5" localSheetId="86">'450'!$J$49</definedName>
    <definedName name="OSRRefE21_5x_5" localSheetId="71">'491'!$J$53:$J$54</definedName>
    <definedName name="OSRRefE21_5x_5" localSheetId="82">'492'!$J$54</definedName>
    <definedName name="OSRRefE21_5x_5" localSheetId="88">'501'!$J$47</definedName>
    <definedName name="OSRRefE21_5x_5" localSheetId="39">'Div 2'!$J$48:$J$49</definedName>
    <definedName name="OSRRefE21_5x_5" localSheetId="41">'Div 3'!$J$74:$J$75</definedName>
    <definedName name="OSRRefE21_5x_5" localSheetId="69">'Div 4'!$J$56:$J$57</definedName>
    <definedName name="OSRRefE21_5x_5" localSheetId="87">'Div 5'!$J$47</definedName>
    <definedName name="OSRRefE21_5x_5" localSheetId="61">'Div 6'!$J$61</definedName>
    <definedName name="OSRRefE21_5x_5" localSheetId="2">Summary!$J$85:$J$86</definedName>
    <definedName name="OSRRefE21_5x_6" localSheetId="42">'201'!$K$46</definedName>
    <definedName name="OSRRefE21_5x_6" localSheetId="43">'202'!$K$46</definedName>
    <definedName name="OSRRefE21_5x_6" localSheetId="44">'203'!$K$47</definedName>
    <definedName name="OSRRefE21_5x_6" localSheetId="45">'204'!$K$49:$K$50</definedName>
    <definedName name="OSRRefE21_5x_6" localSheetId="46">'205'!$K$48</definedName>
    <definedName name="OSRRefE21_5x_6" localSheetId="47">'206'!$K$46:$K$47</definedName>
    <definedName name="OSRRefE21_5x_6" localSheetId="48">'300'!$K$73:$K$74</definedName>
    <definedName name="OSRRefE21_5x_6" localSheetId="49">'300 &amp; 317'!$K$79:$K$80</definedName>
    <definedName name="OSRRefE21_5x_6" localSheetId="50">'301'!$K$48</definedName>
    <definedName name="OSRRefE21_5x_6" localSheetId="52">'307'!$K$48</definedName>
    <definedName name="OSRRefE21_5x_6" localSheetId="53">'308'!$K$61</definedName>
    <definedName name="OSRRefE21_5x_6" localSheetId="63">'310'!$K$49:$K$50</definedName>
    <definedName name="OSRRefE21_5x_6" localSheetId="70">'310 &amp; 491'!$K$53:$K$54</definedName>
    <definedName name="OSRRefE21_5x_6" localSheetId="54">'311'!$K$61</definedName>
    <definedName name="OSRRefE21_5x_6" localSheetId="57">'315'!$K$65</definedName>
    <definedName name="OSRRefE21_5x_6" localSheetId="60">'316'!$K$50:$K$51</definedName>
    <definedName name="OSRRefE21_5x_6" localSheetId="62">'317'!$K$61</definedName>
    <definedName name="OSRRefE21_5x_6" localSheetId="66">'321'!$K$48</definedName>
    <definedName name="OSRRefE21_5x_6" localSheetId="67">'325'!$K$50</definedName>
    <definedName name="OSRRefE21_5x_6" localSheetId="58">'326'!$K$51</definedName>
    <definedName name="OSRRefE21_5x_6" localSheetId="51">'330'!$K$48</definedName>
    <definedName name="OSRRefE21_5x_6" localSheetId="56">'331'!$K$65</definedName>
    <definedName name="OSRRefE21_5x_6" localSheetId="59">'332'!$K$50:$K$51</definedName>
    <definedName name="OSRRefE21_5x_6" localSheetId="72">'405'!$K$50</definedName>
    <definedName name="OSRRefE21_5x_6" localSheetId="73">'411'!$K$47</definedName>
    <definedName name="OSRRefE21_5x_6" localSheetId="76">'415'!$K$53:$K$54</definedName>
    <definedName name="OSRRefE21_5x_6" localSheetId="77">'418'!$K$50</definedName>
    <definedName name="OSRRefE21_5x_6" localSheetId="83">'430'!$K$46:$K$47</definedName>
    <definedName name="OSRRefE21_5x_6" localSheetId="84">'433'!$K$49</definedName>
    <definedName name="OSRRefE21_5x_6" localSheetId="85">'444'!$K$54</definedName>
    <definedName name="OSRRefE21_5x_6" localSheetId="86">'450'!$K$49</definedName>
    <definedName name="OSRRefE21_5x_6" localSheetId="71">'491'!$K$53:$K$54</definedName>
    <definedName name="OSRRefE21_5x_6" localSheetId="82">'492'!$K$54</definedName>
    <definedName name="OSRRefE21_5x_6" localSheetId="88">'501'!$K$47</definedName>
    <definedName name="OSRRefE21_5x_6" localSheetId="39">'Div 2'!$K$48:$K$49</definedName>
    <definedName name="OSRRefE21_5x_6" localSheetId="41">'Div 3'!$K$74:$K$75</definedName>
    <definedName name="OSRRefE21_5x_6" localSheetId="69">'Div 4'!$K$56:$K$57</definedName>
    <definedName name="OSRRefE21_5x_6" localSheetId="87">'Div 5'!$K$47</definedName>
    <definedName name="OSRRefE21_5x_6" localSheetId="61">'Div 6'!$K$61</definedName>
    <definedName name="OSRRefE21_5x_6" localSheetId="2">Summary!$K$85:$K$86</definedName>
    <definedName name="OSRRefE21_5x_7" localSheetId="42">'201'!$L$46</definedName>
    <definedName name="OSRRefE21_5x_7" localSheetId="43">'202'!$L$46</definedName>
    <definedName name="OSRRefE21_5x_7" localSheetId="44">'203'!$L$47</definedName>
    <definedName name="OSRRefE21_5x_7" localSheetId="45">'204'!$L$49:$L$50</definedName>
    <definedName name="OSRRefE21_5x_7" localSheetId="46">'205'!$L$48</definedName>
    <definedName name="OSRRefE21_5x_7" localSheetId="47">'206'!$L$46:$L$47</definedName>
    <definedName name="OSRRefE21_5x_7" localSheetId="48">'300'!$L$73:$L$74</definedName>
    <definedName name="OSRRefE21_5x_7" localSheetId="49">'300 &amp; 317'!$L$79:$L$80</definedName>
    <definedName name="OSRRefE21_5x_7" localSheetId="50">'301'!$L$48</definedName>
    <definedName name="OSRRefE21_5x_7" localSheetId="52">'307'!$L$48</definedName>
    <definedName name="OSRRefE21_5x_7" localSheetId="53">'308'!$L$61</definedName>
    <definedName name="OSRRefE21_5x_7" localSheetId="63">'310'!$L$49:$L$50</definedName>
    <definedName name="OSRRefE21_5x_7" localSheetId="70">'310 &amp; 491'!$L$53:$L$54</definedName>
    <definedName name="OSRRefE21_5x_7" localSheetId="54">'311'!$L$61</definedName>
    <definedName name="OSRRefE21_5x_7" localSheetId="57">'315'!$L$65</definedName>
    <definedName name="OSRRefE21_5x_7" localSheetId="60">'316'!$L$50:$L$51</definedName>
    <definedName name="OSRRefE21_5x_7" localSheetId="62">'317'!$L$61</definedName>
    <definedName name="OSRRefE21_5x_7" localSheetId="66">'321'!$L$48</definedName>
    <definedName name="OSRRefE21_5x_7" localSheetId="67">'325'!$L$50</definedName>
    <definedName name="OSRRefE21_5x_7" localSheetId="58">'326'!$L$51</definedName>
    <definedName name="OSRRefE21_5x_7" localSheetId="51">'330'!$L$48</definedName>
    <definedName name="OSRRefE21_5x_7" localSheetId="56">'331'!$L$65</definedName>
    <definedName name="OSRRefE21_5x_7" localSheetId="59">'332'!$L$50:$L$51</definedName>
    <definedName name="OSRRefE21_5x_7" localSheetId="72">'405'!$L$50</definedName>
    <definedName name="OSRRefE21_5x_7" localSheetId="73">'411'!$L$47</definedName>
    <definedName name="OSRRefE21_5x_7" localSheetId="76">'415'!$L$53:$L$54</definedName>
    <definedName name="OSRRefE21_5x_7" localSheetId="77">'418'!$L$50</definedName>
    <definedName name="OSRRefE21_5x_7" localSheetId="83">'430'!$L$46:$L$47</definedName>
    <definedName name="OSRRefE21_5x_7" localSheetId="84">'433'!$L$49</definedName>
    <definedName name="OSRRefE21_5x_7" localSheetId="85">'444'!$L$54</definedName>
    <definedName name="OSRRefE21_5x_7" localSheetId="86">'450'!$L$49</definedName>
    <definedName name="OSRRefE21_5x_7" localSheetId="71">'491'!$L$53:$L$54</definedName>
    <definedName name="OSRRefE21_5x_7" localSheetId="82">'492'!$L$54</definedName>
    <definedName name="OSRRefE21_5x_7" localSheetId="88">'501'!$L$47</definedName>
    <definedName name="OSRRefE21_5x_7" localSheetId="39">'Div 2'!$L$48:$L$49</definedName>
    <definedName name="OSRRefE21_5x_7" localSheetId="41">'Div 3'!$L$74:$L$75</definedName>
    <definedName name="OSRRefE21_5x_7" localSheetId="69">'Div 4'!$L$56:$L$57</definedName>
    <definedName name="OSRRefE21_5x_7" localSheetId="87">'Div 5'!$L$47</definedName>
    <definedName name="OSRRefE21_5x_7" localSheetId="61">'Div 6'!$L$61</definedName>
    <definedName name="OSRRefE21_5x_7" localSheetId="2">Summary!$L$85:$L$86</definedName>
    <definedName name="OSRRefE21_5x_8" localSheetId="42">'201'!$M$46</definedName>
    <definedName name="OSRRefE21_5x_8" localSheetId="43">'202'!$M$46</definedName>
    <definedName name="OSRRefE21_5x_8" localSheetId="44">'203'!$M$47</definedName>
    <definedName name="OSRRefE21_5x_8" localSheetId="45">'204'!$M$49:$M$50</definedName>
    <definedName name="OSRRefE21_5x_8" localSheetId="46">'205'!$M$48</definedName>
    <definedName name="OSRRefE21_5x_8" localSheetId="47">'206'!$M$46:$M$47</definedName>
    <definedName name="OSRRefE21_5x_8" localSheetId="48">'300'!$M$73:$M$74</definedName>
    <definedName name="OSRRefE21_5x_8" localSheetId="49">'300 &amp; 317'!$M$79:$M$80</definedName>
    <definedName name="OSRRefE21_5x_8" localSheetId="50">'301'!$M$48</definedName>
    <definedName name="OSRRefE21_5x_8" localSheetId="52">'307'!$M$48</definedName>
    <definedName name="OSRRefE21_5x_8" localSheetId="53">'308'!$M$61</definedName>
    <definedName name="OSRRefE21_5x_8" localSheetId="63">'310'!$M$49:$M$50</definedName>
    <definedName name="OSRRefE21_5x_8" localSheetId="70">'310 &amp; 491'!$M$53:$M$54</definedName>
    <definedName name="OSRRefE21_5x_8" localSheetId="54">'311'!$M$61</definedName>
    <definedName name="OSRRefE21_5x_8" localSheetId="57">'315'!$M$65</definedName>
    <definedName name="OSRRefE21_5x_8" localSheetId="60">'316'!$M$50:$M$51</definedName>
    <definedName name="OSRRefE21_5x_8" localSheetId="62">'317'!$M$61</definedName>
    <definedName name="OSRRefE21_5x_8" localSheetId="66">'321'!$M$48</definedName>
    <definedName name="OSRRefE21_5x_8" localSheetId="67">'325'!$M$50</definedName>
    <definedName name="OSRRefE21_5x_8" localSheetId="58">'326'!$M$51</definedName>
    <definedName name="OSRRefE21_5x_8" localSheetId="51">'330'!$M$48</definedName>
    <definedName name="OSRRefE21_5x_8" localSheetId="56">'331'!$M$65</definedName>
    <definedName name="OSRRefE21_5x_8" localSheetId="59">'332'!$M$50:$M$51</definedName>
    <definedName name="OSRRefE21_5x_8" localSheetId="72">'405'!$M$50</definedName>
    <definedName name="OSRRefE21_5x_8" localSheetId="73">'411'!$M$47</definedName>
    <definedName name="OSRRefE21_5x_8" localSheetId="76">'415'!$M$53:$M$54</definedName>
    <definedName name="OSRRefE21_5x_8" localSheetId="77">'418'!$M$50</definedName>
    <definedName name="OSRRefE21_5x_8" localSheetId="83">'430'!$M$46:$M$47</definedName>
    <definedName name="OSRRefE21_5x_8" localSheetId="84">'433'!$M$49</definedName>
    <definedName name="OSRRefE21_5x_8" localSheetId="85">'444'!$M$54</definedName>
    <definedName name="OSRRefE21_5x_8" localSheetId="86">'450'!$M$49</definedName>
    <definedName name="OSRRefE21_5x_8" localSheetId="71">'491'!$M$53:$M$54</definedName>
    <definedName name="OSRRefE21_5x_8" localSheetId="82">'492'!$M$54</definedName>
    <definedName name="OSRRefE21_5x_8" localSheetId="88">'501'!$M$47</definedName>
    <definedName name="OSRRefE21_5x_8" localSheetId="39">'Div 2'!$M$48:$M$49</definedName>
    <definedName name="OSRRefE21_5x_8" localSheetId="41">'Div 3'!$M$74:$M$75</definedName>
    <definedName name="OSRRefE21_5x_8" localSheetId="69">'Div 4'!$M$56:$M$57</definedName>
    <definedName name="OSRRefE21_5x_8" localSheetId="87">'Div 5'!$M$47</definedName>
    <definedName name="OSRRefE21_5x_8" localSheetId="61">'Div 6'!$M$61</definedName>
    <definedName name="OSRRefE21_5x_8" localSheetId="2">Summary!$M$85:$M$86</definedName>
    <definedName name="OSRRefE21_5x_9" localSheetId="42">'201'!$N$46</definedName>
    <definedName name="OSRRefE21_5x_9" localSheetId="43">'202'!$N$46</definedName>
    <definedName name="OSRRefE21_5x_9" localSheetId="44">'203'!$N$47</definedName>
    <definedName name="OSRRefE21_5x_9" localSheetId="45">'204'!$N$49:$N$50</definedName>
    <definedName name="OSRRefE21_5x_9" localSheetId="46">'205'!$N$48</definedName>
    <definedName name="OSRRefE21_5x_9" localSheetId="47">'206'!$N$46:$N$47</definedName>
    <definedName name="OSRRefE21_5x_9" localSheetId="48">'300'!$N$73:$N$74</definedName>
    <definedName name="OSRRefE21_5x_9" localSheetId="49">'300 &amp; 317'!$N$79:$N$80</definedName>
    <definedName name="OSRRefE21_5x_9" localSheetId="50">'301'!$N$48</definedName>
    <definedName name="OSRRefE21_5x_9" localSheetId="52">'307'!$N$48</definedName>
    <definedName name="OSRRefE21_5x_9" localSheetId="53">'308'!$N$61</definedName>
    <definedName name="OSRRefE21_5x_9" localSheetId="63">'310'!$N$49:$N$50</definedName>
    <definedName name="OSRRefE21_5x_9" localSheetId="70">'310 &amp; 491'!$N$53:$N$54</definedName>
    <definedName name="OSRRefE21_5x_9" localSheetId="54">'311'!$N$61</definedName>
    <definedName name="OSRRefE21_5x_9" localSheetId="57">'315'!$N$65</definedName>
    <definedName name="OSRRefE21_5x_9" localSheetId="60">'316'!$N$50:$N$51</definedName>
    <definedName name="OSRRefE21_5x_9" localSheetId="62">'317'!$N$61</definedName>
    <definedName name="OSRRefE21_5x_9" localSheetId="66">'321'!$N$48</definedName>
    <definedName name="OSRRefE21_5x_9" localSheetId="67">'325'!$N$50</definedName>
    <definedName name="OSRRefE21_5x_9" localSheetId="58">'326'!$N$51</definedName>
    <definedName name="OSRRefE21_5x_9" localSheetId="51">'330'!$N$48</definedName>
    <definedName name="OSRRefE21_5x_9" localSheetId="56">'331'!$N$65</definedName>
    <definedName name="OSRRefE21_5x_9" localSheetId="59">'332'!$N$50:$N$51</definedName>
    <definedName name="OSRRefE21_5x_9" localSheetId="72">'405'!$N$50</definedName>
    <definedName name="OSRRefE21_5x_9" localSheetId="73">'411'!$N$47</definedName>
    <definedName name="OSRRefE21_5x_9" localSheetId="76">'415'!$N$53:$N$54</definedName>
    <definedName name="OSRRefE21_5x_9" localSheetId="77">'418'!$N$50</definedName>
    <definedName name="OSRRefE21_5x_9" localSheetId="83">'430'!$N$46:$N$47</definedName>
    <definedName name="OSRRefE21_5x_9" localSheetId="84">'433'!$N$49</definedName>
    <definedName name="OSRRefE21_5x_9" localSheetId="85">'444'!$N$54</definedName>
    <definedName name="OSRRefE21_5x_9" localSheetId="86">'450'!$N$49</definedName>
    <definedName name="OSRRefE21_5x_9" localSheetId="71">'491'!$N$53:$N$54</definedName>
    <definedName name="OSRRefE21_5x_9" localSheetId="82">'492'!$N$54</definedName>
    <definedName name="OSRRefE21_5x_9" localSheetId="88">'501'!$N$47</definedName>
    <definedName name="OSRRefE21_5x_9" localSheetId="39">'Div 2'!$N$48:$N$49</definedName>
    <definedName name="OSRRefE21_5x_9" localSheetId="41">'Div 3'!$N$74:$N$75</definedName>
    <definedName name="OSRRefE21_5x_9" localSheetId="69">'Div 4'!$N$56:$N$57</definedName>
    <definedName name="OSRRefE21_5x_9" localSheetId="87">'Div 5'!$N$47</definedName>
    <definedName name="OSRRefE21_5x_9" localSheetId="61">'Div 6'!$N$61</definedName>
    <definedName name="OSRRefE21_5x_9" localSheetId="2">Summary!$N$85:$N$86</definedName>
    <definedName name="OSRRefE21_6_0x" localSheetId="42">'201'!$E$48:$O$48</definedName>
    <definedName name="OSRRefE21_6_0x" localSheetId="43">'202'!$E$48:$O$48</definedName>
    <definedName name="OSRRefE21_6_0x" localSheetId="44">'203'!$E$49:$O$49</definedName>
    <definedName name="OSRRefE21_6_0x" localSheetId="45">'204'!$E$52:$O$52</definedName>
    <definedName name="OSRRefE21_6_0x" localSheetId="46">'205'!$E$50:$O$50</definedName>
    <definedName name="OSRRefE21_6_0x" localSheetId="48">'300'!$E$76:$O$76</definedName>
    <definedName name="OSRRefE21_6_0x" localSheetId="49">'300 &amp; 317'!$E$82:$O$82</definedName>
    <definedName name="OSRRefE21_6_0x" localSheetId="50">'301'!$E$50:$O$50</definedName>
    <definedName name="OSRRefE21_6_0x" localSheetId="52">'307'!$E$50:$O$50</definedName>
    <definedName name="OSRRefE21_6_0x" localSheetId="53">'308'!$E$63:$O$63</definedName>
    <definedName name="OSRRefE21_6_0x" localSheetId="63">'310'!$E$52:$O$52</definedName>
    <definedName name="OSRRefE21_6_0x" localSheetId="70">'310 &amp; 491'!$E$56:$O$56</definedName>
    <definedName name="OSRRefE21_6_0x" localSheetId="54">'311'!$E$63:$O$63</definedName>
    <definedName name="OSRRefE21_6_0x" localSheetId="57">'315'!$E$67:$O$67</definedName>
    <definedName name="OSRRefE21_6_0x" localSheetId="60">'316'!$E$53:$O$53</definedName>
    <definedName name="OSRRefE21_6_0x" localSheetId="62">'317'!$E$63:$O$63</definedName>
    <definedName name="OSRRefE21_6_0x" localSheetId="66">'321'!$E$50:$O$50</definedName>
    <definedName name="OSRRefE21_6_0x" localSheetId="67">'325'!$E$52:$O$52</definedName>
    <definedName name="OSRRefE21_6_0x" localSheetId="58">'326'!$E$53:$O$53</definedName>
    <definedName name="OSRRefE21_6_0x" localSheetId="51">'330'!$E$50:$O$50</definedName>
    <definedName name="OSRRefE21_6_0x" localSheetId="56">'331'!$E$67:$O$67</definedName>
    <definedName name="OSRRefE21_6_0x" localSheetId="59">'332'!$E$53:$O$53</definedName>
    <definedName name="OSRRefE21_6_0x" localSheetId="72">'405'!$E$52:$O$52</definedName>
    <definedName name="OSRRefE21_6_0x" localSheetId="73">'411'!$E$49:$O$49</definedName>
    <definedName name="OSRRefE21_6_0x" localSheetId="76">'415'!$E$56:$O$56</definedName>
    <definedName name="OSRRefE21_6_0x" localSheetId="77">'418'!$E$52:$O$52</definedName>
    <definedName name="OSRRefE21_6_0x" localSheetId="83">'430'!$E$49:$O$49</definedName>
    <definedName name="OSRRefE21_6_0x" localSheetId="84">'433'!$E$51:$O$51</definedName>
    <definedName name="OSRRefE21_6_0x" localSheetId="85">'444'!$E$56:$O$56</definedName>
    <definedName name="OSRRefE21_6_0x" localSheetId="86">'450'!$E$51:$O$51</definedName>
    <definedName name="OSRRefE21_6_0x" localSheetId="71">'491'!$E$56:$O$56</definedName>
    <definedName name="OSRRefE21_6_0x" localSheetId="82">'492'!$E$56:$O$56</definedName>
    <definedName name="OSRRefE21_6_0x" localSheetId="88">'501'!$E$49:$O$49</definedName>
    <definedName name="OSRRefE21_6_0x" localSheetId="39">'Div 2'!$E$51:$O$51</definedName>
    <definedName name="OSRRefE21_6_0x" localSheetId="41">'Div 3'!$E$77:$O$77</definedName>
    <definedName name="OSRRefE21_6_0x" localSheetId="69">'Div 4'!$E$59:$O$59</definedName>
    <definedName name="OSRRefE21_6_0x" localSheetId="87">'Div 5'!$E$49:$O$49</definedName>
    <definedName name="OSRRefE21_6_0x" localSheetId="61">'Div 6'!$E$63:$O$63</definedName>
    <definedName name="OSRRefE21_6_0x" localSheetId="2">Summary!$E$88:$O$88</definedName>
    <definedName name="OSRRefE21_6_1x" localSheetId="43">'202'!$E$49:$O$49</definedName>
    <definedName name="OSRRefE21_6_1x" localSheetId="48">'300'!$E$77:$O$77</definedName>
    <definedName name="OSRRefE21_6_1x" localSheetId="49">'300 &amp; 317'!$E$83:$O$83</definedName>
    <definedName name="OSRRefE21_6_1x" localSheetId="57">'315'!$E$68:$O$68</definedName>
    <definedName name="OSRRefE21_6_1x" localSheetId="60">'316'!$E$54:$O$54</definedName>
    <definedName name="OSRRefE21_6_1x" localSheetId="66">'321'!$E$51:$O$51</definedName>
    <definedName name="OSRRefE21_6_1x" localSheetId="56">'331'!$E$68:$O$68</definedName>
    <definedName name="OSRRefE21_6_1x" localSheetId="59">'332'!$E$54:$O$54</definedName>
    <definedName name="OSRRefE21_6_1x" localSheetId="41">'Div 3'!$E$78:$O$78</definedName>
    <definedName name="OSRRefE21_6_1x" localSheetId="2">Summary!$E$89:$O$89</definedName>
    <definedName name="OSRRefE21_6_2x" localSheetId="43">'202'!$E$50:$O$50</definedName>
    <definedName name="OSRRefE21_6_2x" localSheetId="60">'316'!$E$55:$O$55</definedName>
    <definedName name="OSRRefE21_6_2x" localSheetId="59">'332'!$E$55:$O$55</definedName>
    <definedName name="OSRRefE21_6x_0" localSheetId="42">'201'!$E$48</definedName>
    <definedName name="OSRRefE21_6x_0" localSheetId="43">'202'!$E$48:$E$50</definedName>
    <definedName name="OSRRefE21_6x_0" localSheetId="44">'203'!$E$49</definedName>
    <definedName name="OSRRefE21_6x_0" localSheetId="45">'204'!$E$52</definedName>
    <definedName name="OSRRefE21_6x_0" localSheetId="46">'205'!$E$50</definedName>
    <definedName name="OSRRefE21_6x_0" localSheetId="48">'300'!$E$76:$E$77</definedName>
    <definedName name="OSRRefE21_6x_0" localSheetId="49">'300 &amp; 317'!$E$82:$E$83</definedName>
    <definedName name="OSRRefE21_6x_0" localSheetId="50">'301'!$E$50</definedName>
    <definedName name="OSRRefE21_6x_0" localSheetId="52">'307'!$E$50</definedName>
    <definedName name="OSRRefE21_6x_0" localSheetId="53">'308'!$E$63</definedName>
    <definedName name="OSRRefE21_6x_0" localSheetId="63">'310'!$E$52</definedName>
    <definedName name="OSRRefE21_6x_0" localSheetId="70">'310 &amp; 491'!$E$56</definedName>
    <definedName name="OSRRefE21_6x_0" localSheetId="54">'311'!$E$63</definedName>
    <definedName name="OSRRefE21_6x_0" localSheetId="57">'315'!$E$67:$E$68</definedName>
    <definedName name="OSRRefE21_6x_0" localSheetId="60">'316'!$E$53:$E$55</definedName>
    <definedName name="OSRRefE21_6x_0" localSheetId="62">'317'!$E$63</definedName>
    <definedName name="OSRRefE21_6x_0" localSheetId="66">'321'!$E$50:$E$51</definedName>
    <definedName name="OSRRefE21_6x_0" localSheetId="67">'325'!$E$52</definedName>
    <definedName name="OSRRefE21_6x_0" localSheetId="58">'326'!$E$53</definedName>
    <definedName name="OSRRefE21_6x_0" localSheetId="51">'330'!$E$50</definedName>
    <definedName name="OSRRefE21_6x_0" localSheetId="56">'331'!$E$67:$E$68</definedName>
    <definedName name="OSRRefE21_6x_0" localSheetId="59">'332'!$E$53:$E$55</definedName>
    <definedName name="OSRRefE21_6x_0" localSheetId="72">'405'!$E$52</definedName>
    <definedName name="OSRRefE21_6x_0" localSheetId="73">'411'!$E$49</definedName>
    <definedName name="OSRRefE21_6x_0" localSheetId="76">'415'!$E$56</definedName>
    <definedName name="OSRRefE21_6x_0" localSheetId="77">'418'!$E$52</definedName>
    <definedName name="OSRRefE21_6x_0" localSheetId="83">'430'!$E$49</definedName>
    <definedName name="OSRRefE21_6x_0" localSheetId="84">'433'!$E$51</definedName>
    <definedName name="OSRRefE21_6x_0" localSheetId="85">'444'!$E$56</definedName>
    <definedName name="OSRRefE21_6x_0" localSheetId="86">'450'!$E$51</definedName>
    <definedName name="OSRRefE21_6x_0" localSheetId="71">'491'!$E$56</definedName>
    <definedName name="OSRRefE21_6x_0" localSheetId="82">'492'!$E$56</definedName>
    <definedName name="OSRRefE21_6x_0" localSheetId="88">'501'!$E$49</definedName>
    <definedName name="OSRRefE21_6x_0" localSheetId="39">'Div 2'!$E$51</definedName>
    <definedName name="OSRRefE21_6x_0" localSheetId="41">'Div 3'!$E$77:$E$78</definedName>
    <definedName name="OSRRefE21_6x_0" localSheetId="69">'Div 4'!$E$59</definedName>
    <definedName name="OSRRefE21_6x_0" localSheetId="87">'Div 5'!$E$49</definedName>
    <definedName name="OSRRefE21_6x_0" localSheetId="61">'Div 6'!$E$63</definedName>
    <definedName name="OSRRefE21_6x_0" localSheetId="2">Summary!$E$88:$E$89</definedName>
    <definedName name="OSRRefE21_6x_1" localSheetId="42">'201'!$F$48</definedName>
    <definedName name="OSRRefE21_6x_1" localSheetId="43">'202'!$F$48:$F$50</definedName>
    <definedName name="OSRRefE21_6x_1" localSheetId="44">'203'!$F$49</definedName>
    <definedName name="OSRRefE21_6x_1" localSheetId="45">'204'!$F$52</definedName>
    <definedName name="OSRRefE21_6x_1" localSheetId="46">'205'!$F$50</definedName>
    <definedName name="OSRRefE21_6x_1" localSheetId="48">'300'!$F$76:$F$77</definedName>
    <definedName name="OSRRefE21_6x_1" localSheetId="49">'300 &amp; 317'!$F$82:$F$83</definedName>
    <definedName name="OSRRefE21_6x_1" localSheetId="50">'301'!$F$50</definedName>
    <definedName name="OSRRefE21_6x_1" localSheetId="52">'307'!$F$50</definedName>
    <definedName name="OSRRefE21_6x_1" localSheetId="53">'308'!$F$63</definedName>
    <definedName name="OSRRefE21_6x_1" localSheetId="63">'310'!$F$52</definedName>
    <definedName name="OSRRefE21_6x_1" localSheetId="70">'310 &amp; 491'!$F$56</definedName>
    <definedName name="OSRRefE21_6x_1" localSheetId="54">'311'!$F$63</definedName>
    <definedName name="OSRRefE21_6x_1" localSheetId="57">'315'!$F$67:$F$68</definedName>
    <definedName name="OSRRefE21_6x_1" localSheetId="60">'316'!$F$53:$F$55</definedName>
    <definedName name="OSRRefE21_6x_1" localSheetId="62">'317'!$F$63</definedName>
    <definedName name="OSRRefE21_6x_1" localSheetId="66">'321'!$F$50:$F$51</definedName>
    <definedName name="OSRRefE21_6x_1" localSheetId="67">'325'!$F$52</definedName>
    <definedName name="OSRRefE21_6x_1" localSheetId="58">'326'!$F$53</definedName>
    <definedName name="OSRRefE21_6x_1" localSheetId="51">'330'!$F$50</definedName>
    <definedName name="OSRRefE21_6x_1" localSheetId="56">'331'!$F$67:$F$68</definedName>
    <definedName name="OSRRefE21_6x_1" localSheetId="59">'332'!$F$53:$F$55</definedName>
    <definedName name="OSRRefE21_6x_1" localSheetId="72">'405'!$F$52</definedName>
    <definedName name="OSRRefE21_6x_1" localSheetId="73">'411'!$F$49</definedName>
    <definedName name="OSRRefE21_6x_1" localSheetId="76">'415'!$F$56</definedName>
    <definedName name="OSRRefE21_6x_1" localSheetId="77">'418'!$F$52</definedName>
    <definedName name="OSRRefE21_6x_1" localSheetId="83">'430'!$F$49</definedName>
    <definedName name="OSRRefE21_6x_1" localSheetId="84">'433'!$F$51</definedName>
    <definedName name="OSRRefE21_6x_1" localSheetId="85">'444'!$F$56</definedName>
    <definedName name="OSRRefE21_6x_1" localSheetId="86">'450'!$F$51</definedName>
    <definedName name="OSRRefE21_6x_1" localSheetId="71">'491'!$F$56</definedName>
    <definedName name="OSRRefE21_6x_1" localSheetId="82">'492'!$F$56</definedName>
    <definedName name="OSRRefE21_6x_1" localSheetId="88">'501'!$F$49</definedName>
    <definedName name="OSRRefE21_6x_1" localSheetId="39">'Div 2'!$F$51</definedName>
    <definedName name="OSRRefE21_6x_1" localSheetId="41">'Div 3'!$F$77:$F$78</definedName>
    <definedName name="OSRRefE21_6x_1" localSheetId="69">'Div 4'!$F$59</definedName>
    <definedName name="OSRRefE21_6x_1" localSheetId="87">'Div 5'!$F$49</definedName>
    <definedName name="OSRRefE21_6x_1" localSheetId="61">'Div 6'!$F$63</definedName>
    <definedName name="OSRRefE21_6x_1" localSheetId="2">Summary!$F$88:$F$89</definedName>
    <definedName name="OSRRefE21_6x_10" localSheetId="42">'201'!$O$48</definedName>
    <definedName name="OSRRefE21_6x_10" localSheetId="43">'202'!$O$48:$O$50</definedName>
    <definedName name="OSRRefE21_6x_10" localSheetId="44">'203'!$O$49</definedName>
    <definedName name="OSRRefE21_6x_10" localSheetId="45">'204'!$O$52</definedName>
    <definedName name="OSRRefE21_6x_10" localSheetId="46">'205'!$O$50</definedName>
    <definedName name="OSRRefE21_6x_10" localSheetId="48">'300'!$O$76:$O$77</definedName>
    <definedName name="OSRRefE21_6x_10" localSheetId="49">'300 &amp; 317'!$O$82:$O$83</definedName>
    <definedName name="OSRRefE21_6x_10" localSheetId="50">'301'!$O$50</definedName>
    <definedName name="OSRRefE21_6x_10" localSheetId="52">'307'!$O$50</definedName>
    <definedName name="OSRRefE21_6x_10" localSheetId="53">'308'!$O$63</definedName>
    <definedName name="OSRRefE21_6x_10" localSheetId="63">'310'!$O$52</definedName>
    <definedName name="OSRRefE21_6x_10" localSheetId="70">'310 &amp; 491'!$O$56</definedName>
    <definedName name="OSRRefE21_6x_10" localSheetId="54">'311'!$O$63</definedName>
    <definedName name="OSRRefE21_6x_10" localSheetId="57">'315'!$O$67:$O$68</definedName>
    <definedName name="OSRRefE21_6x_10" localSheetId="60">'316'!$O$53:$O$55</definedName>
    <definedName name="OSRRefE21_6x_10" localSheetId="62">'317'!$O$63</definedName>
    <definedName name="OSRRefE21_6x_10" localSheetId="66">'321'!$O$50:$O$51</definedName>
    <definedName name="OSRRefE21_6x_10" localSheetId="67">'325'!$O$52</definedName>
    <definedName name="OSRRefE21_6x_10" localSheetId="58">'326'!$O$53</definedName>
    <definedName name="OSRRefE21_6x_10" localSheetId="51">'330'!$O$50</definedName>
    <definedName name="OSRRefE21_6x_10" localSheetId="56">'331'!$O$67:$O$68</definedName>
    <definedName name="OSRRefE21_6x_10" localSheetId="59">'332'!$O$53:$O$55</definedName>
    <definedName name="OSRRefE21_6x_10" localSheetId="72">'405'!$O$52</definedName>
    <definedName name="OSRRefE21_6x_10" localSheetId="73">'411'!$O$49</definedName>
    <definedName name="OSRRefE21_6x_10" localSheetId="76">'415'!$O$56</definedName>
    <definedName name="OSRRefE21_6x_10" localSheetId="77">'418'!$O$52</definedName>
    <definedName name="OSRRefE21_6x_10" localSheetId="83">'430'!$O$49</definedName>
    <definedName name="OSRRefE21_6x_10" localSheetId="84">'433'!$O$51</definedName>
    <definedName name="OSRRefE21_6x_10" localSheetId="85">'444'!$O$56</definedName>
    <definedName name="OSRRefE21_6x_10" localSheetId="86">'450'!$O$51</definedName>
    <definedName name="OSRRefE21_6x_10" localSheetId="71">'491'!$O$56</definedName>
    <definedName name="OSRRefE21_6x_10" localSheetId="82">'492'!$O$56</definedName>
    <definedName name="OSRRefE21_6x_10" localSheetId="88">'501'!$O$49</definedName>
    <definedName name="OSRRefE21_6x_10" localSheetId="39">'Div 2'!$O$51</definedName>
    <definedName name="OSRRefE21_6x_10" localSheetId="41">'Div 3'!$O$77:$O$78</definedName>
    <definedName name="OSRRefE21_6x_10" localSheetId="69">'Div 4'!$O$59</definedName>
    <definedName name="OSRRefE21_6x_10" localSheetId="87">'Div 5'!$O$49</definedName>
    <definedName name="OSRRefE21_6x_10" localSheetId="61">'Div 6'!$O$63</definedName>
    <definedName name="OSRRefE21_6x_10" localSheetId="2">Summary!$O$88:$O$89</definedName>
    <definedName name="OSRRefE21_6x_2" localSheetId="42">'201'!$G$48</definedName>
    <definedName name="OSRRefE21_6x_2" localSheetId="43">'202'!$G$48:$G$50</definedName>
    <definedName name="OSRRefE21_6x_2" localSheetId="44">'203'!$G$49</definedName>
    <definedName name="OSRRefE21_6x_2" localSheetId="45">'204'!$G$52</definedName>
    <definedName name="OSRRefE21_6x_2" localSheetId="46">'205'!$G$50</definedName>
    <definedName name="OSRRefE21_6x_2" localSheetId="48">'300'!$G$76:$G$77</definedName>
    <definedName name="OSRRefE21_6x_2" localSheetId="49">'300 &amp; 317'!$G$82:$G$83</definedName>
    <definedName name="OSRRefE21_6x_2" localSheetId="50">'301'!$G$50</definedName>
    <definedName name="OSRRefE21_6x_2" localSheetId="52">'307'!$G$50</definedName>
    <definedName name="OSRRefE21_6x_2" localSheetId="53">'308'!$G$63</definedName>
    <definedName name="OSRRefE21_6x_2" localSheetId="63">'310'!$G$52</definedName>
    <definedName name="OSRRefE21_6x_2" localSheetId="70">'310 &amp; 491'!$G$56</definedName>
    <definedName name="OSRRefE21_6x_2" localSheetId="54">'311'!$G$63</definedName>
    <definedName name="OSRRefE21_6x_2" localSheetId="57">'315'!$G$67:$G$68</definedName>
    <definedName name="OSRRefE21_6x_2" localSheetId="60">'316'!$G$53:$G$55</definedName>
    <definedName name="OSRRefE21_6x_2" localSheetId="62">'317'!$G$63</definedName>
    <definedName name="OSRRefE21_6x_2" localSheetId="66">'321'!$G$50:$G$51</definedName>
    <definedName name="OSRRefE21_6x_2" localSheetId="67">'325'!$G$52</definedName>
    <definedName name="OSRRefE21_6x_2" localSheetId="58">'326'!$G$53</definedName>
    <definedName name="OSRRefE21_6x_2" localSheetId="51">'330'!$G$50</definedName>
    <definedName name="OSRRefE21_6x_2" localSheetId="56">'331'!$G$67:$G$68</definedName>
    <definedName name="OSRRefE21_6x_2" localSheetId="59">'332'!$G$53:$G$55</definedName>
    <definedName name="OSRRefE21_6x_2" localSheetId="72">'405'!$G$52</definedName>
    <definedName name="OSRRefE21_6x_2" localSheetId="73">'411'!$G$49</definedName>
    <definedName name="OSRRefE21_6x_2" localSheetId="76">'415'!$G$56</definedName>
    <definedName name="OSRRefE21_6x_2" localSheetId="77">'418'!$G$52</definedName>
    <definedName name="OSRRefE21_6x_2" localSheetId="83">'430'!$G$49</definedName>
    <definedName name="OSRRefE21_6x_2" localSheetId="84">'433'!$G$51</definedName>
    <definedName name="OSRRefE21_6x_2" localSheetId="85">'444'!$G$56</definedName>
    <definedName name="OSRRefE21_6x_2" localSheetId="86">'450'!$G$51</definedName>
    <definedName name="OSRRefE21_6x_2" localSheetId="71">'491'!$G$56</definedName>
    <definedName name="OSRRefE21_6x_2" localSheetId="82">'492'!$G$56</definedName>
    <definedName name="OSRRefE21_6x_2" localSheetId="88">'501'!$G$49</definedName>
    <definedName name="OSRRefE21_6x_2" localSheetId="39">'Div 2'!$G$51</definedName>
    <definedName name="OSRRefE21_6x_2" localSheetId="41">'Div 3'!$G$77:$G$78</definedName>
    <definedName name="OSRRefE21_6x_2" localSheetId="69">'Div 4'!$G$59</definedName>
    <definedName name="OSRRefE21_6x_2" localSheetId="87">'Div 5'!$G$49</definedName>
    <definedName name="OSRRefE21_6x_2" localSheetId="61">'Div 6'!$G$63</definedName>
    <definedName name="OSRRefE21_6x_2" localSheetId="2">Summary!$G$88:$G$89</definedName>
    <definedName name="OSRRefE21_6x_3" localSheetId="42">'201'!$H$48</definedName>
    <definedName name="OSRRefE21_6x_3" localSheetId="43">'202'!$H$48:$H$50</definedName>
    <definedName name="OSRRefE21_6x_3" localSheetId="44">'203'!$H$49</definedName>
    <definedName name="OSRRefE21_6x_3" localSheetId="45">'204'!$H$52</definedName>
    <definedName name="OSRRefE21_6x_3" localSheetId="46">'205'!$H$50</definedName>
    <definedName name="OSRRefE21_6x_3" localSheetId="48">'300'!$H$76:$H$77</definedName>
    <definedName name="OSRRefE21_6x_3" localSheetId="49">'300 &amp; 317'!$H$82:$H$83</definedName>
    <definedName name="OSRRefE21_6x_3" localSheetId="50">'301'!$H$50</definedName>
    <definedName name="OSRRefE21_6x_3" localSheetId="52">'307'!$H$50</definedName>
    <definedName name="OSRRefE21_6x_3" localSheetId="53">'308'!$H$63</definedName>
    <definedName name="OSRRefE21_6x_3" localSheetId="63">'310'!$H$52</definedName>
    <definedName name="OSRRefE21_6x_3" localSheetId="70">'310 &amp; 491'!$H$56</definedName>
    <definedName name="OSRRefE21_6x_3" localSheetId="54">'311'!$H$63</definedName>
    <definedName name="OSRRefE21_6x_3" localSheetId="57">'315'!$H$67:$H$68</definedName>
    <definedName name="OSRRefE21_6x_3" localSheetId="60">'316'!$H$53:$H$55</definedName>
    <definedName name="OSRRefE21_6x_3" localSheetId="62">'317'!$H$63</definedName>
    <definedName name="OSRRefE21_6x_3" localSheetId="66">'321'!$H$50:$H$51</definedName>
    <definedName name="OSRRefE21_6x_3" localSheetId="67">'325'!$H$52</definedName>
    <definedName name="OSRRefE21_6x_3" localSheetId="58">'326'!$H$53</definedName>
    <definedName name="OSRRefE21_6x_3" localSheetId="51">'330'!$H$50</definedName>
    <definedName name="OSRRefE21_6x_3" localSheetId="56">'331'!$H$67:$H$68</definedName>
    <definedName name="OSRRefE21_6x_3" localSheetId="59">'332'!$H$53:$H$55</definedName>
    <definedName name="OSRRefE21_6x_3" localSheetId="72">'405'!$H$52</definedName>
    <definedName name="OSRRefE21_6x_3" localSheetId="73">'411'!$H$49</definedName>
    <definedName name="OSRRefE21_6x_3" localSheetId="76">'415'!$H$56</definedName>
    <definedName name="OSRRefE21_6x_3" localSheetId="77">'418'!$H$52</definedName>
    <definedName name="OSRRefE21_6x_3" localSheetId="83">'430'!$H$49</definedName>
    <definedName name="OSRRefE21_6x_3" localSheetId="84">'433'!$H$51</definedName>
    <definedName name="OSRRefE21_6x_3" localSheetId="85">'444'!$H$56</definedName>
    <definedName name="OSRRefE21_6x_3" localSheetId="86">'450'!$H$51</definedName>
    <definedName name="OSRRefE21_6x_3" localSheetId="71">'491'!$H$56</definedName>
    <definedName name="OSRRefE21_6x_3" localSheetId="82">'492'!$H$56</definedName>
    <definedName name="OSRRefE21_6x_3" localSheetId="88">'501'!$H$49</definedName>
    <definedName name="OSRRefE21_6x_3" localSheetId="39">'Div 2'!$H$51</definedName>
    <definedName name="OSRRefE21_6x_3" localSheetId="41">'Div 3'!$H$77:$H$78</definedName>
    <definedName name="OSRRefE21_6x_3" localSheetId="69">'Div 4'!$H$59</definedName>
    <definedName name="OSRRefE21_6x_3" localSheetId="87">'Div 5'!$H$49</definedName>
    <definedName name="OSRRefE21_6x_3" localSheetId="61">'Div 6'!$H$63</definedName>
    <definedName name="OSRRefE21_6x_3" localSheetId="2">Summary!$H$88:$H$89</definedName>
    <definedName name="OSRRefE21_6x_4" localSheetId="42">'201'!$I$48</definedName>
    <definedName name="OSRRefE21_6x_4" localSheetId="43">'202'!$I$48:$I$50</definedName>
    <definedName name="OSRRefE21_6x_4" localSheetId="44">'203'!$I$49</definedName>
    <definedName name="OSRRefE21_6x_4" localSheetId="45">'204'!$I$52</definedName>
    <definedName name="OSRRefE21_6x_4" localSheetId="46">'205'!$I$50</definedName>
    <definedName name="OSRRefE21_6x_4" localSheetId="48">'300'!$I$76:$I$77</definedName>
    <definedName name="OSRRefE21_6x_4" localSheetId="49">'300 &amp; 317'!$I$82:$I$83</definedName>
    <definedName name="OSRRefE21_6x_4" localSheetId="50">'301'!$I$50</definedName>
    <definedName name="OSRRefE21_6x_4" localSheetId="52">'307'!$I$50</definedName>
    <definedName name="OSRRefE21_6x_4" localSheetId="53">'308'!$I$63</definedName>
    <definedName name="OSRRefE21_6x_4" localSheetId="63">'310'!$I$52</definedName>
    <definedName name="OSRRefE21_6x_4" localSheetId="70">'310 &amp; 491'!$I$56</definedName>
    <definedName name="OSRRefE21_6x_4" localSheetId="54">'311'!$I$63</definedName>
    <definedName name="OSRRefE21_6x_4" localSheetId="57">'315'!$I$67:$I$68</definedName>
    <definedName name="OSRRefE21_6x_4" localSheetId="60">'316'!$I$53:$I$55</definedName>
    <definedName name="OSRRefE21_6x_4" localSheetId="62">'317'!$I$63</definedName>
    <definedName name="OSRRefE21_6x_4" localSheetId="66">'321'!$I$50:$I$51</definedName>
    <definedName name="OSRRefE21_6x_4" localSheetId="67">'325'!$I$52</definedName>
    <definedName name="OSRRefE21_6x_4" localSheetId="58">'326'!$I$53</definedName>
    <definedName name="OSRRefE21_6x_4" localSheetId="51">'330'!$I$50</definedName>
    <definedName name="OSRRefE21_6x_4" localSheetId="56">'331'!$I$67:$I$68</definedName>
    <definedName name="OSRRefE21_6x_4" localSheetId="59">'332'!$I$53:$I$55</definedName>
    <definedName name="OSRRefE21_6x_4" localSheetId="72">'405'!$I$52</definedName>
    <definedName name="OSRRefE21_6x_4" localSheetId="73">'411'!$I$49</definedName>
    <definedName name="OSRRefE21_6x_4" localSheetId="76">'415'!$I$56</definedName>
    <definedName name="OSRRefE21_6x_4" localSheetId="77">'418'!$I$52</definedName>
    <definedName name="OSRRefE21_6x_4" localSheetId="83">'430'!$I$49</definedName>
    <definedName name="OSRRefE21_6x_4" localSheetId="84">'433'!$I$51</definedName>
    <definedName name="OSRRefE21_6x_4" localSheetId="85">'444'!$I$56</definedName>
    <definedName name="OSRRefE21_6x_4" localSheetId="86">'450'!$I$51</definedName>
    <definedName name="OSRRefE21_6x_4" localSheetId="71">'491'!$I$56</definedName>
    <definedName name="OSRRefE21_6x_4" localSheetId="82">'492'!$I$56</definedName>
    <definedName name="OSRRefE21_6x_4" localSheetId="88">'501'!$I$49</definedName>
    <definedName name="OSRRefE21_6x_4" localSheetId="39">'Div 2'!$I$51</definedName>
    <definedName name="OSRRefE21_6x_4" localSheetId="41">'Div 3'!$I$77:$I$78</definedName>
    <definedName name="OSRRefE21_6x_4" localSheetId="69">'Div 4'!$I$59</definedName>
    <definedName name="OSRRefE21_6x_4" localSheetId="87">'Div 5'!$I$49</definedName>
    <definedName name="OSRRefE21_6x_4" localSheetId="61">'Div 6'!$I$63</definedName>
    <definedName name="OSRRefE21_6x_4" localSheetId="2">Summary!$I$88:$I$89</definedName>
    <definedName name="OSRRefE21_6x_5" localSheetId="42">'201'!$J$48</definedName>
    <definedName name="OSRRefE21_6x_5" localSheetId="43">'202'!$J$48:$J$50</definedName>
    <definedName name="OSRRefE21_6x_5" localSheetId="44">'203'!$J$49</definedName>
    <definedName name="OSRRefE21_6x_5" localSheetId="45">'204'!$J$52</definedName>
    <definedName name="OSRRefE21_6x_5" localSheetId="46">'205'!$J$50</definedName>
    <definedName name="OSRRefE21_6x_5" localSheetId="48">'300'!$J$76:$J$77</definedName>
    <definedName name="OSRRefE21_6x_5" localSheetId="49">'300 &amp; 317'!$J$82:$J$83</definedName>
    <definedName name="OSRRefE21_6x_5" localSheetId="50">'301'!$J$50</definedName>
    <definedName name="OSRRefE21_6x_5" localSheetId="52">'307'!$J$50</definedName>
    <definedName name="OSRRefE21_6x_5" localSheetId="53">'308'!$J$63</definedName>
    <definedName name="OSRRefE21_6x_5" localSheetId="63">'310'!$J$52</definedName>
    <definedName name="OSRRefE21_6x_5" localSheetId="70">'310 &amp; 491'!$J$56</definedName>
    <definedName name="OSRRefE21_6x_5" localSheetId="54">'311'!$J$63</definedName>
    <definedName name="OSRRefE21_6x_5" localSheetId="57">'315'!$J$67:$J$68</definedName>
    <definedName name="OSRRefE21_6x_5" localSheetId="60">'316'!$J$53:$J$55</definedName>
    <definedName name="OSRRefE21_6x_5" localSheetId="62">'317'!$J$63</definedName>
    <definedName name="OSRRefE21_6x_5" localSheetId="66">'321'!$J$50:$J$51</definedName>
    <definedName name="OSRRefE21_6x_5" localSheetId="67">'325'!$J$52</definedName>
    <definedName name="OSRRefE21_6x_5" localSheetId="58">'326'!$J$53</definedName>
    <definedName name="OSRRefE21_6x_5" localSheetId="51">'330'!$J$50</definedName>
    <definedName name="OSRRefE21_6x_5" localSheetId="56">'331'!$J$67:$J$68</definedName>
    <definedName name="OSRRefE21_6x_5" localSheetId="59">'332'!$J$53:$J$55</definedName>
    <definedName name="OSRRefE21_6x_5" localSheetId="72">'405'!$J$52</definedName>
    <definedName name="OSRRefE21_6x_5" localSheetId="73">'411'!$J$49</definedName>
    <definedName name="OSRRefE21_6x_5" localSheetId="76">'415'!$J$56</definedName>
    <definedName name="OSRRefE21_6x_5" localSheetId="77">'418'!$J$52</definedName>
    <definedName name="OSRRefE21_6x_5" localSheetId="83">'430'!$J$49</definedName>
    <definedName name="OSRRefE21_6x_5" localSheetId="84">'433'!$J$51</definedName>
    <definedName name="OSRRefE21_6x_5" localSheetId="85">'444'!$J$56</definedName>
    <definedName name="OSRRefE21_6x_5" localSheetId="86">'450'!$J$51</definedName>
    <definedName name="OSRRefE21_6x_5" localSheetId="71">'491'!$J$56</definedName>
    <definedName name="OSRRefE21_6x_5" localSheetId="82">'492'!$J$56</definedName>
    <definedName name="OSRRefE21_6x_5" localSheetId="88">'501'!$J$49</definedName>
    <definedName name="OSRRefE21_6x_5" localSheetId="39">'Div 2'!$J$51</definedName>
    <definedName name="OSRRefE21_6x_5" localSheetId="41">'Div 3'!$J$77:$J$78</definedName>
    <definedName name="OSRRefE21_6x_5" localSheetId="69">'Div 4'!$J$59</definedName>
    <definedName name="OSRRefE21_6x_5" localSheetId="87">'Div 5'!$J$49</definedName>
    <definedName name="OSRRefE21_6x_5" localSheetId="61">'Div 6'!$J$63</definedName>
    <definedName name="OSRRefE21_6x_5" localSheetId="2">Summary!$J$88:$J$89</definedName>
    <definedName name="OSRRefE21_6x_6" localSheetId="42">'201'!$K$48</definedName>
    <definedName name="OSRRefE21_6x_6" localSheetId="43">'202'!$K$48:$K$50</definedName>
    <definedName name="OSRRefE21_6x_6" localSheetId="44">'203'!$K$49</definedName>
    <definedName name="OSRRefE21_6x_6" localSheetId="45">'204'!$K$52</definedName>
    <definedName name="OSRRefE21_6x_6" localSheetId="46">'205'!$K$50</definedName>
    <definedName name="OSRRefE21_6x_6" localSheetId="48">'300'!$K$76:$K$77</definedName>
    <definedName name="OSRRefE21_6x_6" localSheetId="49">'300 &amp; 317'!$K$82:$K$83</definedName>
    <definedName name="OSRRefE21_6x_6" localSheetId="50">'301'!$K$50</definedName>
    <definedName name="OSRRefE21_6x_6" localSheetId="52">'307'!$K$50</definedName>
    <definedName name="OSRRefE21_6x_6" localSheetId="53">'308'!$K$63</definedName>
    <definedName name="OSRRefE21_6x_6" localSheetId="63">'310'!$K$52</definedName>
    <definedName name="OSRRefE21_6x_6" localSheetId="70">'310 &amp; 491'!$K$56</definedName>
    <definedName name="OSRRefE21_6x_6" localSheetId="54">'311'!$K$63</definedName>
    <definedName name="OSRRefE21_6x_6" localSheetId="57">'315'!$K$67:$K$68</definedName>
    <definedName name="OSRRefE21_6x_6" localSheetId="60">'316'!$K$53:$K$55</definedName>
    <definedName name="OSRRefE21_6x_6" localSheetId="62">'317'!$K$63</definedName>
    <definedName name="OSRRefE21_6x_6" localSheetId="66">'321'!$K$50:$K$51</definedName>
    <definedName name="OSRRefE21_6x_6" localSheetId="67">'325'!$K$52</definedName>
    <definedName name="OSRRefE21_6x_6" localSheetId="58">'326'!$K$53</definedName>
    <definedName name="OSRRefE21_6x_6" localSheetId="51">'330'!$K$50</definedName>
    <definedName name="OSRRefE21_6x_6" localSheetId="56">'331'!$K$67:$K$68</definedName>
    <definedName name="OSRRefE21_6x_6" localSheetId="59">'332'!$K$53:$K$55</definedName>
    <definedName name="OSRRefE21_6x_6" localSheetId="72">'405'!$K$52</definedName>
    <definedName name="OSRRefE21_6x_6" localSheetId="73">'411'!$K$49</definedName>
    <definedName name="OSRRefE21_6x_6" localSheetId="76">'415'!$K$56</definedName>
    <definedName name="OSRRefE21_6x_6" localSheetId="77">'418'!$K$52</definedName>
    <definedName name="OSRRefE21_6x_6" localSheetId="83">'430'!$K$49</definedName>
    <definedName name="OSRRefE21_6x_6" localSheetId="84">'433'!$K$51</definedName>
    <definedName name="OSRRefE21_6x_6" localSheetId="85">'444'!$K$56</definedName>
    <definedName name="OSRRefE21_6x_6" localSheetId="86">'450'!$K$51</definedName>
    <definedName name="OSRRefE21_6x_6" localSheetId="71">'491'!$K$56</definedName>
    <definedName name="OSRRefE21_6x_6" localSheetId="82">'492'!$K$56</definedName>
    <definedName name="OSRRefE21_6x_6" localSheetId="88">'501'!$K$49</definedName>
    <definedName name="OSRRefE21_6x_6" localSheetId="39">'Div 2'!$K$51</definedName>
    <definedName name="OSRRefE21_6x_6" localSheetId="41">'Div 3'!$K$77:$K$78</definedName>
    <definedName name="OSRRefE21_6x_6" localSheetId="69">'Div 4'!$K$59</definedName>
    <definedName name="OSRRefE21_6x_6" localSheetId="87">'Div 5'!$K$49</definedName>
    <definedName name="OSRRefE21_6x_6" localSheetId="61">'Div 6'!$K$63</definedName>
    <definedName name="OSRRefE21_6x_6" localSheetId="2">Summary!$K$88:$K$89</definedName>
    <definedName name="OSRRefE21_6x_7" localSheetId="42">'201'!$L$48</definedName>
    <definedName name="OSRRefE21_6x_7" localSheetId="43">'202'!$L$48:$L$50</definedName>
    <definedName name="OSRRefE21_6x_7" localSheetId="44">'203'!$L$49</definedName>
    <definedName name="OSRRefE21_6x_7" localSheetId="45">'204'!$L$52</definedName>
    <definedName name="OSRRefE21_6x_7" localSheetId="46">'205'!$L$50</definedName>
    <definedName name="OSRRefE21_6x_7" localSheetId="48">'300'!$L$76:$L$77</definedName>
    <definedName name="OSRRefE21_6x_7" localSheetId="49">'300 &amp; 317'!$L$82:$L$83</definedName>
    <definedName name="OSRRefE21_6x_7" localSheetId="50">'301'!$L$50</definedName>
    <definedName name="OSRRefE21_6x_7" localSheetId="52">'307'!$L$50</definedName>
    <definedName name="OSRRefE21_6x_7" localSheetId="53">'308'!$L$63</definedName>
    <definedName name="OSRRefE21_6x_7" localSheetId="63">'310'!$L$52</definedName>
    <definedName name="OSRRefE21_6x_7" localSheetId="70">'310 &amp; 491'!$L$56</definedName>
    <definedName name="OSRRefE21_6x_7" localSheetId="54">'311'!$L$63</definedName>
    <definedName name="OSRRefE21_6x_7" localSheetId="57">'315'!$L$67:$L$68</definedName>
    <definedName name="OSRRefE21_6x_7" localSheetId="60">'316'!$L$53:$L$55</definedName>
    <definedName name="OSRRefE21_6x_7" localSheetId="62">'317'!$L$63</definedName>
    <definedName name="OSRRefE21_6x_7" localSheetId="66">'321'!$L$50:$L$51</definedName>
    <definedName name="OSRRefE21_6x_7" localSheetId="67">'325'!$L$52</definedName>
    <definedName name="OSRRefE21_6x_7" localSheetId="58">'326'!$L$53</definedName>
    <definedName name="OSRRefE21_6x_7" localSheetId="51">'330'!$L$50</definedName>
    <definedName name="OSRRefE21_6x_7" localSheetId="56">'331'!$L$67:$L$68</definedName>
    <definedName name="OSRRefE21_6x_7" localSheetId="59">'332'!$L$53:$L$55</definedName>
    <definedName name="OSRRefE21_6x_7" localSheetId="72">'405'!$L$52</definedName>
    <definedName name="OSRRefE21_6x_7" localSheetId="73">'411'!$L$49</definedName>
    <definedName name="OSRRefE21_6x_7" localSheetId="76">'415'!$L$56</definedName>
    <definedName name="OSRRefE21_6x_7" localSheetId="77">'418'!$L$52</definedName>
    <definedName name="OSRRefE21_6x_7" localSheetId="83">'430'!$L$49</definedName>
    <definedName name="OSRRefE21_6x_7" localSheetId="84">'433'!$L$51</definedName>
    <definedName name="OSRRefE21_6x_7" localSheetId="85">'444'!$L$56</definedName>
    <definedName name="OSRRefE21_6x_7" localSheetId="86">'450'!$L$51</definedName>
    <definedName name="OSRRefE21_6x_7" localSheetId="71">'491'!$L$56</definedName>
    <definedName name="OSRRefE21_6x_7" localSheetId="82">'492'!$L$56</definedName>
    <definedName name="OSRRefE21_6x_7" localSheetId="88">'501'!$L$49</definedName>
    <definedName name="OSRRefE21_6x_7" localSheetId="39">'Div 2'!$L$51</definedName>
    <definedName name="OSRRefE21_6x_7" localSheetId="41">'Div 3'!$L$77:$L$78</definedName>
    <definedName name="OSRRefE21_6x_7" localSheetId="69">'Div 4'!$L$59</definedName>
    <definedName name="OSRRefE21_6x_7" localSheetId="87">'Div 5'!$L$49</definedName>
    <definedName name="OSRRefE21_6x_7" localSheetId="61">'Div 6'!$L$63</definedName>
    <definedName name="OSRRefE21_6x_7" localSheetId="2">Summary!$L$88:$L$89</definedName>
    <definedName name="OSRRefE21_6x_8" localSheetId="42">'201'!$M$48</definedName>
    <definedName name="OSRRefE21_6x_8" localSheetId="43">'202'!$M$48:$M$50</definedName>
    <definedName name="OSRRefE21_6x_8" localSheetId="44">'203'!$M$49</definedName>
    <definedName name="OSRRefE21_6x_8" localSheetId="45">'204'!$M$52</definedName>
    <definedName name="OSRRefE21_6x_8" localSheetId="46">'205'!$M$50</definedName>
    <definedName name="OSRRefE21_6x_8" localSheetId="48">'300'!$M$76:$M$77</definedName>
    <definedName name="OSRRefE21_6x_8" localSheetId="49">'300 &amp; 317'!$M$82:$M$83</definedName>
    <definedName name="OSRRefE21_6x_8" localSheetId="50">'301'!$M$50</definedName>
    <definedName name="OSRRefE21_6x_8" localSheetId="52">'307'!$M$50</definedName>
    <definedName name="OSRRefE21_6x_8" localSheetId="53">'308'!$M$63</definedName>
    <definedName name="OSRRefE21_6x_8" localSheetId="63">'310'!$M$52</definedName>
    <definedName name="OSRRefE21_6x_8" localSheetId="70">'310 &amp; 491'!$M$56</definedName>
    <definedName name="OSRRefE21_6x_8" localSheetId="54">'311'!$M$63</definedName>
    <definedName name="OSRRefE21_6x_8" localSheetId="57">'315'!$M$67:$M$68</definedName>
    <definedName name="OSRRefE21_6x_8" localSheetId="60">'316'!$M$53:$M$55</definedName>
    <definedName name="OSRRefE21_6x_8" localSheetId="62">'317'!$M$63</definedName>
    <definedName name="OSRRefE21_6x_8" localSheetId="66">'321'!$M$50:$M$51</definedName>
    <definedName name="OSRRefE21_6x_8" localSheetId="67">'325'!$M$52</definedName>
    <definedName name="OSRRefE21_6x_8" localSheetId="58">'326'!$M$53</definedName>
    <definedName name="OSRRefE21_6x_8" localSheetId="51">'330'!$M$50</definedName>
    <definedName name="OSRRefE21_6x_8" localSheetId="56">'331'!$M$67:$M$68</definedName>
    <definedName name="OSRRefE21_6x_8" localSheetId="59">'332'!$M$53:$M$55</definedName>
    <definedName name="OSRRefE21_6x_8" localSheetId="72">'405'!$M$52</definedName>
    <definedName name="OSRRefE21_6x_8" localSheetId="73">'411'!$M$49</definedName>
    <definedName name="OSRRefE21_6x_8" localSheetId="76">'415'!$M$56</definedName>
    <definedName name="OSRRefE21_6x_8" localSheetId="77">'418'!$M$52</definedName>
    <definedName name="OSRRefE21_6x_8" localSheetId="83">'430'!$M$49</definedName>
    <definedName name="OSRRefE21_6x_8" localSheetId="84">'433'!$M$51</definedName>
    <definedName name="OSRRefE21_6x_8" localSheetId="85">'444'!$M$56</definedName>
    <definedName name="OSRRefE21_6x_8" localSheetId="86">'450'!$M$51</definedName>
    <definedName name="OSRRefE21_6x_8" localSheetId="71">'491'!$M$56</definedName>
    <definedName name="OSRRefE21_6x_8" localSheetId="82">'492'!$M$56</definedName>
    <definedName name="OSRRefE21_6x_8" localSheetId="88">'501'!$M$49</definedName>
    <definedName name="OSRRefE21_6x_8" localSheetId="39">'Div 2'!$M$51</definedName>
    <definedName name="OSRRefE21_6x_8" localSheetId="41">'Div 3'!$M$77:$M$78</definedName>
    <definedName name="OSRRefE21_6x_8" localSheetId="69">'Div 4'!$M$59</definedName>
    <definedName name="OSRRefE21_6x_8" localSheetId="87">'Div 5'!$M$49</definedName>
    <definedName name="OSRRefE21_6x_8" localSheetId="61">'Div 6'!$M$63</definedName>
    <definedName name="OSRRefE21_6x_8" localSheetId="2">Summary!$M$88:$M$89</definedName>
    <definedName name="OSRRefE21_6x_9" localSheetId="42">'201'!$N$48</definedName>
    <definedName name="OSRRefE21_6x_9" localSheetId="43">'202'!$N$48:$N$50</definedName>
    <definedName name="OSRRefE21_6x_9" localSheetId="44">'203'!$N$49</definedName>
    <definedName name="OSRRefE21_6x_9" localSheetId="45">'204'!$N$52</definedName>
    <definedName name="OSRRefE21_6x_9" localSheetId="46">'205'!$N$50</definedName>
    <definedName name="OSRRefE21_6x_9" localSheetId="48">'300'!$N$76:$N$77</definedName>
    <definedName name="OSRRefE21_6x_9" localSheetId="49">'300 &amp; 317'!$N$82:$N$83</definedName>
    <definedName name="OSRRefE21_6x_9" localSheetId="50">'301'!$N$50</definedName>
    <definedName name="OSRRefE21_6x_9" localSheetId="52">'307'!$N$50</definedName>
    <definedName name="OSRRefE21_6x_9" localSheetId="53">'308'!$N$63</definedName>
    <definedName name="OSRRefE21_6x_9" localSheetId="63">'310'!$N$52</definedName>
    <definedName name="OSRRefE21_6x_9" localSheetId="70">'310 &amp; 491'!$N$56</definedName>
    <definedName name="OSRRefE21_6x_9" localSheetId="54">'311'!$N$63</definedName>
    <definedName name="OSRRefE21_6x_9" localSheetId="57">'315'!$N$67:$N$68</definedName>
    <definedName name="OSRRefE21_6x_9" localSheetId="60">'316'!$N$53:$N$55</definedName>
    <definedName name="OSRRefE21_6x_9" localSheetId="62">'317'!$N$63</definedName>
    <definedName name="OSRRefE21_6x_9" localSheetId="66">'321'!$N$50:$N$51</definedName>
    <definedName name="OSRRefE21_6x_9" localSheetId="67">'325'!$N$52</definedName>
    <definedName name="OSRRefE21_6x_9" localSheetId="58">'326'!$N$53</definedName>
    <definedName name="OSRRefE21_6x_9" localSheetId="51">'330'!$N$50</definedName>
    <definedName name="OSRRefE21_6x_9" localSheetId="56">'331'!$N$67:$N$68</definedName>
    <definedName name="OSRRefE21_6x_9" localSheetId="59">'332'!$N$53:$N$55</definedName>
    <definedName name="OSRRefE21_6x_9" localSheetId="72">'405'!$N$52</definedName>
    <definedName name="OSRRefE21_6x_9" localSheetId="73">'411'!$N$49</definedName>
    <definedName name="OSRRefE21_6x_9" localSheetId="76">'415'!$N$56</definedName>
    <definedName name="OSRRefE21_6x_9" localSheetId="77">'418'!$N$52</definedName>
    <definedName name="OSRRefE21_6x_9" localSheetId="83">'430'!$N$49</definedName>
    <definedName name="OSRRefE21_6x_9" localSheetId="84">'433'!$N$51</definedName>
    <definedName name="OSRRefE21_6x_9" localSheetId="85">'444'!$N$56</definedName>
    <definedName name="OSRRefE21_6x_9" localSheetId="86">'450'!$N$51</definedName>
    <definedName name="OSRRefE21_6x_9" localSheetId="71">'491'!$N$56</definedName>
    <definedName name="OSRRefE21_6x_9" localSheetId="82">'492'!$N$56</definedName>
    <definedName name="OSRRefE21_6x_9" localSheetId="88">'501'!$N$49</definedName>
    <definedName name="OSRRefE21_6x_9" localSheetId="39">'Div 2'!$N$51</definedName>
    <definedName name="OSRRefE21_6x_9" localSheetId="41">'Div 3'!$N$77:$N$78</definedName>
    <definedName name="OSRRefE21_6x_9" localSheetId="69">'Div 4'!$N$59</definedName>
    <definedName name="OSRRefE21_6x_9" localSheetId="87">'Div 5'!$N$49</definedName>
    <definedName name="OSRRefE21_6x_9" localSheetId="61">'Div 6'!$N$63</definedName>
    <definedName name="OSRRefE21_6x_9" localSheetId="2">Summary!$N$88:$N$89</definedName>
    <definedName name="OSRRefE21_7_0x" localSheetId="42">'201'!$E$50:$O$50</definedName>
    <definedName name="OSRRefE21_7_0x" localSheetId="43">'202'!$E$52:$O$52</definedName>
    <definedName name="OSRRefE21_7_0x" localSheetId="44">'203'!$E$51:$O$51</definedName>
    <definedName name="OSRRefE21_7_0x" localSheetId="45">'204'!$E$54:$O$54</definedName>
    <definedName name="OSRRefE21_7_0x" localSheetId="46">'205'!$E$52:$O$52</definedName>
    <definedName name="OSRRefE21_7_0x" localSheetId="48">'300'!$E$79:$O$79</definedName>
    <definedName name="OSRRefE21_7_0x" localSheetId="49">'300 &amp; 317'!$E$85:$O$85</definedName>
    <definedName name="OSRRefE21_7_0x" localSheetId="50">'301'!$E$52:$O$52</definedName>
    <definedName name="OSRRefE21_7_0x" localSheetId="52">'307'!$E$52:$O$52</definedName>
    <definedName name="OSRRefE21_7_0x" localSheetId="53">'308'!$E$65:$O$65</definedName>
    <definedName name="OSRRefE21_7_0x" localSheetId="63">'310'!$E$54:$O$54</definedName>
    <definedName name="OSRRefE21_7_0x" localSheetId="70">'310 &amp; 491'!$E$58:$O$58</definedName>
    <definedName name="OSRRefE21_7_0x" localSheetId="54">'311'!$E$65:$O$65</definedName>
    <definedName name="OSRRefE21_7_0x" localSheetId="57">'315'!$E$70:$O$70</definedName>
    <definedName name="OSRRefE21_7_0x" localSheetId="60">'316'!$E$57:$O$57</definedName>
    <definedName name="OSRRefE21_7_0x" localSheetId="62">'317'!$E$65:$O$65</definedName>
    <definedName name="OSRRefE21_7_0x" localSheetId="66">'321'!$E$53:$O$53</definedName>
    <definedName name="OSRRefE21_7_0x" localSheetId="67">'325'!$E$54:$O$54</definedName>
    <definedName name="OSRRefE21_7_0x" localSheetId="58">'326'!$E$55:$O$55</definedName>
    <definedName name="OSRRefE21_7_0x" localSheetId="51">'330'!$E$52:$O$52</definedName>
    <definedName name="OSRRefE21_7_0x" localSheetId="56">'331'!$E$70:$O$70</definedName>
    <definedName name="OSRRefE21_7_0x" localSheetId="59">'332'!$E$57:$O$57</definedName>
    <definedName name="OSRRefE21_7_0x" localSheetId="72">'405'!$E$54:$O$54</definedName>
    <definedName name="OSRRefE21_7_0x" localSheetId="73">'411'!$E$51:$O$51</definedName>
    <definedName name="OSRRefE21_7_0x" localSheetId="76">'415'!$E$58:$O$58</definedName>
    <definedName name="OSRRefE21_7_0x" localSheetId="77">'418'!$E$54:$O$54</definedName>
    <definedName name="OSRRefE21_7_0x" localSheetId="84">'433'!$E$53:$O$53</definedName>
    <definedName name="OSRRefE21_7_0x" localSheetId="85">'444'!$E$58:$O$58</definedName>
    <definedName name="OSRRefE21_7_0x" localSheetId="86">'450'!$E$53:$O$53</definedName>
    <definedName name="OSRRefE21_7_0x" localSheetId="71">'491'!$E$58:$O$58</definedName>
    <definedName name="OSRRefE21_7_0x" localSheetId="82">'492'!$E$58:$O$58</definedName>
    <definedName name="OSRRefE21_7_0x" localSheetId="88">'501'!$E$51:$O$51</definedName>
    <definedName name="OSRRefE21_7_0x" localSheetId="39">'Div 2'!$E$53:$O$53</definedName>
    <definedName name="OSRRefE21_7_0x" localSheetId="41">'Div 3'!$E$80:$O$80</definedName>
    <definedName name="OSRRefE21_7_0x" localSheetId="69">'Div 4'!$E$61:$O$61</definedName>
    <definedName name="OSRRefE21_7_0x" localSheetId="87">'Div 5'!$E$51:$O$51</definedName>
    <definedName name="OSRRefE21_7_0x" localSheetId="61">'Div 6'!$E$65:$O$65</definedName>
    <definedName name="OSRRefE21_7_0x" localSheetId="2">Summary!$E$91:$O$91</definedName>
    <definedName name="OSRRefE21_7_1x" localSheetId="45">'204'!$E$55:$O$55</definedName>
    <definedName name="OSRRefE21_7_1x" localSheetId="56">'331'!$E$71:$O$71</definedName>
    <definedName name="OSRRefE21_7_1x" localSheetId="73">'411'!$E$52:$O$52</definedName>
    <definedName name="OSRRefE21_7_1x" localSheetId="77">'418'!$E$55:$O$55</definedName>
    <definedName name="OSRRefE21_7_2x" localSheetId="73">'411'!$E$53:$O$53</definedName>
    <definedName name="OSRRefE21_7x_0" localSheetId="42">'201'!$E$50</definedName>
    <definedName name="OSRRefE21_7x_0" localSheetId="43">'202'!$E$52</definedName>
    <definedName name="OSRRefE21_7x_0" localSheetId="44">'203'!$E$51</definedName>
    <definedName name="OSRRefE21_7x_0" localSheetId="45">'204'!$E$54:$E$55</definedName>
    <definedName name="OSRRefE21_7x_0" localSheetId="46">'205'!$E$52</definedName>
    <definedName name="OSRRefE21_7x_0" localSheetId="48">'300'!$E$79</definedName>
    <definedName name="OSRRefE21_7x_0" localSheetId="49">'300 &amp; 317'!$E$85</definedName>
    <definedName name="OSRRefE21_7x_0" localSheetId="50">'301'!$E$52</definedName>
    <definedName name="OSRRefE21_7x_0" localSheetId="52">'307'!$E$52</definedName>
    <definedName name="OSRRefE21_7x_0" localSheetId="53">'308'!$E$65</definedName>
    <definedName name="OSRRefE21_7x_0" localSheetId="63">'310'!$E$54</definedName>
    <definedName name="OSRRefE21_7x_0" localSheetId="70">'310 &amp; 491'!$E$58</definedName>
    <definedName name="OSRRefE21_7x_0" localSheetId="54">'311'!$E$65</definedName>
    <definedName name="OSRRefE21_7x_0" localSheetId="57">'315'!$E$70</definedName>
    <definedName name="OSRRefE21_7x_0" localSheetId="60">'316'!$E$57</definedName>
    <definedName name="OSRRefE21_7x_0" localSheetId="62">'317'!$E$65</definedName>
    <definedName name="OSRRefE21_7x_0" localSheetId="66">'321'!$E$53</definedName>
    <definedName name="OSRRefE21_7x_0" localSheetId="67">'325'!$E$54</definedName>
    <definedName name="OSRRefE21_7x_0" localSheetId="58">'326'!$E$55</definedName>
    <definedName name="OSRRefE21_7x_0" localSheetId="51">'330'!$E$52</definedName>
    <definedName name="OSRRefE21_7x_0" localSheetId="56">'331'!$E$70:$E$71</definedName>
    <definedName name="OSRRefE21_7x_0" localSheetId="59">'332'!$E$57</definedName>
    <definedName name="OSRRefE21_7x_0" localSheetId="72">'405'!$E$54</definedName>
    <definedName name="OSRRefE21_7x_0" localSheetId="73">'411'!$E$51:$E$53</definedName>
    <definedName name="OSRRefE21_7x_0" localSheetId="76">'415'!$E$58</definedName>
    <definedName name="OSRRefE21_7x_0" localSheetId="77">'418'!$E$54:$E$55</definedName>
    <definedName name="OSRRefE21_7x_0" localSheetId="84">'433'!$E$53</definedName>
    <definedName name="OSRRefE21_7x_0" localSheetId="85">'444'!$E$58</definedName>
    <definedName name="OSRRefE21_7x_0" localSheetId="86">'450'!$E$53</definedName>
    <definedName name="OSRRefE21_7x_0" localSheetId="71">'491'!$E$58</definedName>
    <definedName name="OSRRefE21_7x_0" localSheetId="82">'492'!$E$58</definedName>
    <definedName name="OSRRefE21_7x_0" localSheetId="88">'501'!$E$51</definedName>
    <definedName name="OSRRefE21_7x_0" localSheetId="39">'Div 2'!$E$53</definedName>
    <definedName name="OSRRefE21_7x_0" localSheetId="41">'Div 3'!$E$80</definedName>
    <definedName name="OSRRefE21_7x_0" localSheetId="69">'Div 4'!$E$61</definedName>
    <definedName name="OSRRefE21_7x_0" localSheetId="87">'Div 5'!$E$51</definedName>
    <definedName name="OSRRefE21_7x_0" localSheetId="61">'Div 6'!$E$65</definedName>
    <definedName name="OSRRefE21_7x_0" localSheetId="2">Summary!$E$91</definedName>
    <definedName name="OSRRefE21_7x_1" localSheetId="42">'201'!$F$50</definedName>
    <definedName name="OSRRefE21_7x_1" localSheetId="43">'202'!$F$52</definedName>
    <definedName name="OSRRefE21_7x_1" localSheetId="44">'203'!$F$51</definedName>
    <definedName name="OSRRefE21_7x_1" localSheetId="45">'204'!$F$54:$F$55</definedName>
    <definedName name="OSRRefE21_7x_1" localSheetId="46">'205'!$F$52</definedName>
    <definedName name="OSRRefE21_7x_1" localSheetId="48">'300'!$F$79</definedName>
    <definedName name="OSRRefE21_7x_1" localSheetId="49">'300 &amp; 317'!$F$85</definedName>
    <definedName name="OSRRefE21_7x_1" localSheetId="50">'301'!$F$52</definedName>
    <definedName name="OSRRefE21_7x_1" localSheetId="52">'307'!$F$52</definedName>
    <definedName name="OSRRefE21_7x_1" localSheetId="53">'308'!$F$65</definedName>
    <definedName name="OSRRefE21_7x_1" localSheetId="63">'310'!$F$54</definedName>
    <definedName name="OSRRefE21_7x_1" localSheetId="70">'310 &amp; 491'!$F$58</definedName>
    <definedName name="OSRRefE21_7x_1" localSheetId="54">'311'!$F$65</definedName>
    <definedName name="OSRRefE21_7x_1" localSheetId="57">'315'!$F$70</definedName>
    <definedName name="OSRRefE21_7x_1" localSheetId="60">'316'!$F$57</definedName>
    <definedName name="OSRRefE21_7x_1" localSheetId="62">'317'!$F$65</definedName>
    <definedName name="OSRRefE21_7x_1" localSheetId="66">'321'!$F$53</definedName>
    <definedName name="OSRRefE21_7x_1" localSheetId="67">'325'!$F$54</definedName>
    <definedName name="OSRRefE21_7x_1" localSheetId="58">'326'!$F$55</definedName>
    <definedName name="OSRRefE21_7x_1" localSheetId="51">'330'!$F$52</definedName>
    <definedName name="OSRRefE21_7x_1" localSheetId="56">'331'!$F$70:$F$71</definedName>
    <definedName name="OSRRefE21_7x_1" localSheetId="59">'332'!$F$57</definedName>
    <definedName name="OSRRefE21_7x_1" localSheetId="72">'405'!$F$54</definedName>
    <definedName name="OSRRefE21_7x_1" localSheetId="73">'411'!$F$51:$F$53</definedName>
    <definedName name="OSRRefE21_7x_1" localSheetId="76">'415'!$F$58</definedName>
    <definedName name="OSRRefE21_7x_1" localSheetId="77">'418'!$F$54:$F$55</definedName>
    <definedName name="OSRRefE21_7x_1" localSheetId="84">'433'!$F$53</definedName>
    <definedName name="OSRRefE21_7x_1" localSheetId="85">'444'!$F$58</definedName>
    <definedName name="OSRRefE21_7x_1" localSheetId="86">'450'!$F$53</definedName>
    <definedName name="OSRRefE21_7x_1" localSheetId="71">'491'!$F$58</definedName>
    <definedName name="OSRRefE21_7x_1" localSheetId="82">'492'!$F$58</definedName>
    <definedName name="OSRRefE21_7x_1" localSheetId="88">'501'!$F$51</definedName>
    <definedName name="OSRRefE21_7x_1" localSheetId="39">'Div 2'!$F$53</definedName>
    <definedName name="OSRRefE21_7x_1" localSheetId="41">'Div 3'!$F$80</definedName>
    <definedName name="OSRRefE21_7x_1" localSheetId="69">'Div 4'!$F$61</definedName>
    <definedName name="OSRRefE21_7x_1" localSheetId="87">'Div 5'!$F$51</definedName>
    <definedName name="OSRRefE21_7x_1" localSheetId="61">'Div 6'!$F$65</definedName>
    <definedName name="OSRRefE21_7x_1" localSheetId="2">Summary!$F$91</definedName>
    <definedName name="OSRRefE21_7x_10" localSheetId="42">'201'!$O$50</definedName>
    <definedName name="OSRRefE21_7x_10" localSheetId="43">'202'!$O$52</definedName>
    <definedName name="OSRRefE21_7x_10" localSheetId="44">'203'!$O$51</definedName>
    <definedName name="OSRRefE21_7x_10" localSheetId="45">'204'!$O$54:$O$55</definedName>
    <definedName name="OSRRefE21_7x_10" localSheetId="46">'205'!$O$52</definedName>
    <definedName name="OSRRefE21_7x_10" localSheetId="48">'300'!$O$79</definedName>
    <definedName name="OSRRefE21_7x_10" localSheetId="49">'300 &amp; 317'!$O$85</definedName>
    <definedName name="OSRRefE21_7x_10" localSheetId="50">'301'!$O$52</definedName>
    <definedName name="OSRRefE21_7x_10" localSheetId="52">'307'!$O$52</definedName>
    <definedName name="OSRRefE21_7x_10" localSheetId="53">'308'!$O$65</definedName>
    <definedName name="OSRRefE21_7x_10" localSheetId="63">'310'!$O$54</definedName>
    <definedName name="OSRRefE21_7x_10" localSheetId="70">'310 &amp; 491'!$O$58</definedName>
    <definedName name="OSRRefE21_7x_10" localSheetId="54">'311'!$O$65</definedName>
    <definedName name="OSRRefE21_7x_10" localSheetId="57">'315'!$O$70</definedName>
    <definedName name="OSRRefE21_7x_10" localSheetId="60">'316'!$O$57</definedName>
    <definedName name="OSRRefE21_7x_10" localSheetId="62">'317'!$O$65</definedName>
    <definedName name="OSRRefE21_7x_10" localSheetId="66">'321'!$O$53</definedName>
    <definedName name="OSRRefE21_7x_10" localSheetId="67">'325'!$O$54</definedName>
    <definedName name="OSRRefE21_7x_10" localSheetId="58">'326'!$O$55</definedName>
    <definedName name="OSRRefE21_7x_10" localSheetId="51">'330'!$O$52</definedName>
    <definedName name="OSRRefE21_7x_10" localSheetId="56">'331'!$O$70:$O$71</definedName>
    <definedName name="OSRRefE21_7x_10" localSheetId="59">'332'!$O$57</definedName>
    <definedName name="OSRRefE21_7x_10" localSheetId="72">'405'!$O$54</definedName>
    <definedName name="OSRRefE21_7x_10" localSheetId="73">'411'!$O$51:$O$53</definedName>
    <definedName name="OSRRefE21_7x_10" localSheetId="76">'415'!$O$58</definedName>
    <definedName name="OSRRefE21_7x_10" localSheetId="77">'418'!$O$54:$O$55</definedName>
    <definedName name="OSRRefE21_7x_10" localSheetId="84">'433'!$O$53</definedName>
    <definedName name="OSRRefE21_7x_10" localSheetId="85">'444'!$O$58</definedName>
    <definedName name="OSRRefE21_7x_10" localSheetId="86">'450'!$O$53</definedName>
    <definedName name="OSRRefE21_7x_10" localSheetId="71">'491'!$O$58</definedName>
    <definedName name="OSRRefE21_7x_10" localSheetId="82">'492'!$O$58</definedName>
    <definedName name="OSRRefE21_7x_10" localSheetId="88">'501'!$O$51</definedName>
    <definedName name="OSRRefE21_7x_10" localSheetId="39">'Div 2'!$O$53</definedName>
    <definedName name="OSRRefE21_7x_10" localSheetId="41">'Div 3'!$O$80</definedName>
    <definedName name="OSRRefE21_7x_10" localSheetId="69">'Div 4'!$O$61</definedName>
    <definedName name="OSRRefE21_7x_10" localSheetId="87">'Div 5'!$O$51</definedName>
    <definedName name="OSRRefE21_7x_10" localSheetId="61">'Div 6'!$O$65</definedName>
    <definedName name="OSRRefE21_7x_10" localSheetId="2">Summary!$O$91</definedName>
    <definedName name="OSRRefE21_7x_2" localSheetId="42">'201'!$G$50</definedName>
    <definedName name="OSRRefE21_7x_2" localSheetId="43">'202'!$G$52</definedName>
    <definedName name="OSRRefE21_7x_2" localSheetId="44">'203'!$G$51</definedName>
    <definedName name="OSRRefE21_7x_2" localSheetId="45">'204'!$G$54:$G$55</definedName>
    <definedName name="OSRRefE21_7x_2" localSheetId="46">'205'!$G$52</definedName>
    <definedName name="OSRRefE21_7x_2" localSheetId="48">'300'!$G$79</definedName>
    <definedName name="OSRRefE21_7x_2" localSheetId="49">'300 &amp; 317'!$G$85</definedName>
    <definedName name="OSRRefE21_7x_2" localSheetId="50">'301'!$G$52</definedName>
    <definedName name="OSRRefE21_7x_2" localSheetId="52">'307'!$G$52</definedName>
    <definedName name="OSRRefE21_7x_2" localSheetId="53">'308'!$G$65</definedName>
    <definedName name="OSRRefE21_7x_2" localSheetId="63">'310'!$G$54</definedName>
    <definedName name="OSRRefE21_7x_2" localSheetId="70">'310 &amp; 491'!$G$58</definedName>
    <definedName name="OSRRefE21_7x_2" localSheetId="54">'311'!$G$65</definedName>
    <definedName name="OSRRefE21_7x_2" localSheetId="57">'315'!$G$70</definedName>
    <definedName name="OSRRefE21_7x_2" localSheetId="60">'316'!$G$57</definedName>
    <definedName name="OSRRefE21_7x_2" localSheetId="62">'317'!$G$65</definedName>
    <definedName name="OSRRefE21_7x_2" localSheetId="66">'321'!$G$53</definedName>
    <definedName name="OSRRefE21_7x_2" localSheetId="67">'325'!$G$54</definedName>
    <definedName name="OSRRefE21_7x_2" localSheetId="58">'326'!$G$55</definedName>
    <definedName name="OSRRefE21_7x_2" localSheetId="51">'330'!$G$52</definedName>
    <definedName name="OSRRefE21_7x_2" localSheetId="56">'331'!$G$70:$G$71</definedName>
    <definedName name="OSRRefE21_7x_2" localSheetId="59">'332'!$G$57</definedName>
    <definedName name="OSRRefE21_7x_2" localSheetId="72">'405'!$G$54</definedName>
    <definedName name="OSRRefE21_7x_2" localSheetId="73">'411'!$G$51:$G$53</definedName>
    <definedName name="OSRRefE21_7x_2" localSheetId="76">'415'!$G$58</definedName>
    <definedName name="OSRRefE21_7x_2" localSheetId="77">'418'!$G$54:$G$55</definedName>
    <definedName name="OSRRefE21_7x_2" localSheetId="84">'433'!$G$53</definedName>
    <definedName name="OSRRefE21_7x_2" localSheetId="85">'444'!$G$58</definedName>
    <definedName name="OSRRefE21_7x_2" localSheetId="86">'450'!$G$53</definedName>
    <definedName name="OSRRefE21_7x_2" localSheetId="71">'491'!$G$58</definedName>
    <definedName name="OSRRefE21_7x_2" localSheetId="82">'492'!$G$58</definedName>
    <definedName name="OSRRefE21_7x_2" localSheetId="88">'501'!$G$51</definedName>
    <definedName name="OSRRefE21_7x_2" localSheetId="39">'Div 2'!$G$53</definedName>
    <definedName name="OSRRefE21_7x_2" localSheetId="41">'Div 3'!$G$80</definedName>
    <definedName name="OSRRefE21_7x_2" localSheetId="69">'Div 4'!$G$61</definedName>
    <definedName name="OSRRefE21_7x_2" localSheetId="87">'Div 5'!$G$51</definedName>
    <definedName name="OSRRefE21_7x_2" localSheetId="61">'Div 6'!$G$65</definedName>
    <definedName name="OSRRefE21_7x_2" localSheetId="2">Summary!$G$91</definedName>
    <definedName name="OSRRefE21_7x_3" localSheetId="42">'201'!$H$50</definedName>
    <definedName name="OSRRefE21_7x_3" localSheetId="43">'202'!$H$52</definedName>
    <definedName name="OSRRefE21_7x_3" localSheetId="44">'203'!$H$51</definedName>
    <definedName name="OSRRefE21_7x_3" localSheetId="45">'204'!$H$54:$H$55</definedName>
    <definedName name="OSRRefE21_7x_3" localSheetId="46">'205'!$H$52</definedName>
    <definedName name="OSRRefE21_7x_3" localSheetId="48">'300'!$H$79</definedName>
    <definedName name="OSRRefE21_7x_3" localSheetId="49">'300 &amp; 317'!$H$85</definedName>
    <definedName name="OSRRefE21_7x_3" localSheetId="50">'301'!$H$52</definedName>
    <definedName name="OSRRefE21_7x_3" localSheetId="52">'307'!$H$52</definedName>
    <definedName name="OSRRefE21_7x_3" localSheetId="53">'308'!$H$65</definedName>
    <definedName name="OSRRefE21_7x_3" localSheetId="63">'310'!$H$54</definedName>
    <definedName name="OSRRefE21_7x_3" localSheetId="70">'310 &amp; 491'!$H$58</definedName>
    <definedName name="OSRRefE21_7x_3" localSheetId="54">'311'!$H$65</definedName>
    <definedName name="OSRRefE21_7x_3" localSheetId="57">'315'!$H$70</definedName>
    <definedName name="OSRRefE21_7x_3" localSheetId="60">'316'!$H$57</definedName>
    <definedName name="OSRRefE21_7x_3" localSheetId="62">'317'!$H$65</definedName>
    <definedName name="OSRRefE21_7x_3" localSheetId="66">'321'!$H$53</definedName>
    <definedName name="OSRRefE21_7x_3" localSheetId="67">'325'!$H$54</definedName>
    <definedName name="OSRRefE21_7x_3" localSheetId="58">'326'!$H$55</definedName>
    <definedName name="OSRRefE21_7x_3" localSheetId="51">'330'!$H$52</definedName>
    <definedName name="OSRRefE21_7x_3" localSheetId="56">'331'!$H$70:$H$71</definedName>
    <definedName name="OSRRefE21_7x_3" localSheetId="59">'332'!$H$57</definedName>
    <definedName name="OSRRefE21_7x_3" localSheetId="72">'405'!$H$54</definedName>
    <definedName name="OSRRefE21_7x_3" localSheetId="73">'411'!$H$51:$H$53</definedName>
    <definedName name="OSRRefE21_7x_3" localSheetId="76">'415'!$H$58</definedName>
    <definedName name="OSRRefE21_7x_3" localSheetId="77">'418'!$H$54:$H$55</definedName>
    <definedName name="OSRRefE21_7x_3" localSheetId="84">'433'!$H$53</definedName>
    <definedName name="OSRRefE21_7x_3" localSheetId="85">'444'!$H$58</definedName>
    <definedName name="OSRRefE21_7x_3" localSheetId="86">'450'!$H$53</definedName>
    <definedName name="OSRRefE21_7x_3" localSheetId="71">'491'!$H$58</definedName>
    <definedName name="OSRRefE21_7x_3" localSheetId="82">'492'!$H$58</definedName>
    <definedName name="OSRRefE21_7x_3" localSheetId="88">'501'!$H$51</definedName>
    <definedName name="OSRRefE21_7x_3" localSheetId="39">'Div 2'!$H$53</definedName>
    <definedName name="OSRRefE21_7x_3" localSheetId="41">'Div 3'!$H$80</definedName>
    <definedName name="OSRRefE21_7x_3" localSheetId="69">'Div 4'!$H$61</definedName>
    <definedName name="OSRRefE21_7x_3" localSheetId="87">'Div 5'!$H$51</definedName>
    <definedName name="OSRRefE21_7x_3" localSheetId="61">'Div 6'!$H$65</definedName>
    <definedName name="OSRRefE21_7x_3" localSheetId="2">Summary!$H$91</definedName>
    <definedName name="OSRRefE21_7x_4" localSheetId="42">'201'!$I$50</definedName>
    <definedName name="OSRRefE21_7x_4" localSheetId="43">'202'!$I$52</definedName>
    <definedName name="OSRRefE21_7x_4" localSheetId="44">'203'!$I$51</definedName>
    <definedName name="OSRRefE21_7x_4" localSheetId="45">'204'!$I$54:$I$55</definedName>
    <definedName name="OSRRefE21_7x_4" localSheetId="46">'205'!$I$52</definedName>
    <definedName name="OSRRefE21_7x_4" localSheetId="48">'300'!$I$79</definedName>
    <definedName name="OSRRefE21_7x_4" localSheetId="49">'300 &amp; 317'!$I$85</definedName>
    <definedName name="OSRRefE21_7x_4" localSheetId="50">'301'!$I$52</definedName>
    <definedName name="OSRRefE21_7x_4" localSheetId="52">'307'!$I$52</definedName>
    <definedName name="OSRRefE21_7x_4" localSheetId="53">'308'!$I$65</definedName>
    <definedName name="OSRRefE21_7x_4" localSheetId="63">'310'!$I$54</definedName>
    <definedName name="OSRRefE21_7x_4" localSheetId="70">'310 &amp; 491'!$I$58</definedName>
    <definedName name="OSRRefE21_7x_4" localSheetId="54">'311'!$I$65</definedName>
    <definedName name="OSRRefE21_7x_4" localSheetId="57">'315'!$I$70</definedName>
    <definedName name="OSRRefE21_7x_4" localSheetId="60">'316'!$I$57</definedName>
    <definedName name="OSRRefE21_7x_4" localSheetId="62">'317'!$I$65</definedName>
    <definedName name="OSRRefE21_7x_4" localSheetId="66">'321'!$I$53</definedName>
    <definedName name="OSRRefE21_7x_4" localSheetId="67">'325'!$I$54</definedName>
    <definedName name="OSRRefE21_7x_4" localSheetId="58">'326'!$I$55</definedName>
    <definedName name="OSRRefE21_7x_4" localSheetId="51">'330'!$I$52</definedName>
    <definedName name="OSRRefE21_7x_4" localSheetId="56">'331'!$I$70:$I$71</definedName>
    <definedName name="OSRRefE21_7x_4" localSheetId="59">'332'!$I$57</definedName>
    <definedName name="OSRRefE21_7x_4" localSheetId="72">'405'!$I$54</definedName>
    <definedName name="OSRRefE21_7x_4" localSheetId="73">'411'!$I$51:$I$53</definedName>
    <definedName name="OSRRefE21_7x_4" localSheetId="76">'415'!$I$58</definedName>
    <definedName name="OSRRefE21_7x_4" localSheetId="77">'418'!$I$54:$I$55</definedName>
    <definedName name="OSRRefE21_7x_4" localSheetId="84">'433'!$I$53</definedName>
    <definedName name="OSRRefE21_7x_4" localSheetId="85">'444'!$I$58</definedName>
    <definedName name="OSRRefE21_7x_4" localSheetId="86">'450'!$I$53</definedName>
    <definedName name="OSRRefE21_7x_4" localSheetId="71">'491'!$I$58</definedName>
    <definedName name="OSRRefE21_7x_4" localSheetId="82">'492'!$I$58</definedName>
    <definedName name="OSRRefE21_7x_4" localSheetId="88">'501'!$I$51</definedName>
    <definedName name="OSRRefE21_7x_4" localSheetId="39">'Div 2'!$I$53</definedName>
    <definedName name="OSRRefE21_7x_4" localSheetId="41">'Div 3'!$I$80</definedName>
    <definedName name="OSRRefE21_7x_4" localSheetId="69">'Div 4'!$I$61</definedName>
    <definedName name="OSRRefE21_7x_4" localSheetId="87">'Div 5'!$I$51</definedName>
    <definedName name="OSRRefE21_7x_4" localSheetId="61">'Div 6'!$I$65</definedName>
    <definedName name="OSRRefE21_7x_4" localSheetId="2">Summary!$I$91</definedName>
    <definedName name="OSRRefE21_7x_5" localSheetId="42">'201'!$J$50</definedName>
    <definedName name="OSRRefE21_7x_5" localSheetId="43">'202'!$J$52</definedName>
    <definedName name="OSRRefE21_7x_5" localSheetId="44">'203'!$J$51</definedName>
    <definedName name="OSRRefE21_7x_5" localSheetId="45">'204'!$J$54:$J$55</definedName>
    <definedName name="OSRRefE21_7x_5" localSheetId="46">'205'!$J$52</definedName>
    <definedName name="OSRRefE21_7x_5" localSheetId="48">'300'!$J$79</definedName>
    <definedName name="OSRRefE21_7x_5" localSheetId="49">'300 &amp; 317'!$J$85</definedName>
    <definedName name="OSRRefE21_7x_5" localSheetId="50">'301'!$J$52</definedName>
    <definedName name="OSRRefE21_7x_5" localSheetId="52">'307'!$J$52</definedName>
    <definedName name="OSRRefE21_7x_5" localSheetId="53">'308'!$J$65</definedName>
    <definedName name="OSRRefE21_7x_5" localSheetId="63">'310'!$J$54</definedName>
    <definedName name="OSRRefE21_7x_5" localSheetId="70">'310 &amp; 491'!$J$58</definedName>
    <definedName name="OSRRefE21_7x_5" localSheetId="54">'311'!$J$65</definedName>
    <definedName name="OSRRefE21_7x_5" localSheetId="57">'315'!$J$70</definedName>
    <definedName name="OSRRefE21_7x_5" localSheetId="60">'316'!$J$57</definedName>
    <definedName name="OSRRefE21_7x_5" localSheetId="62">'317'!$J$65</definedName>
    <definedName name="OSRRefE21_7x_5" localSheetId="66">'321'!$J$53</definedName>
    <definedName name="OSRRefE21_7x_5" localSheetId="67">'325'!$J$54</definedName>
    <definedName name="OSRRefE21_7x_5" localSheetId="58">'326'!$J$55</definedName>
    <definedName name="OSRRefE21_7x_5" localSheetId="51">'330'!$J$52</definedName>
    <definedName name="OSRRefE21_7x_5" localSheetId="56">'331'!$J$70:$J$71</definedName>
    <definedName name="OSRRefE21_7x_5" localSheetId="59">'332'!$J$57</definedName>
    <definedName name="OSRRefE21_7x_5" localSheetId="72">'405'!$J$54</definedName>
    <definedName name="OSRRefE21_7x_5" localSheetId="73">'411'!$J$51:$J$53</definedName>
    <definedName name="OSRRefE21_7x_5" localSheetId="76">'415'!$J$58</definedName>
    <definedName name="OSRRefE21_7x_5" localSheetId="77">'418'!$J$54:$J$55</definedName>
    <definedName name="OSRRefE21_7x_5" localSheetId="84">'433'!$J$53</definedName>
    <definedName name="OSRRefE21_7x_5" localSheetId="85">'444'!$J$58</definedName>
    <definedName name="OSRRefE21_7x_5" localSheetId="86">'450'!$J$53</definedName>
    <definedName name="OSRRefE21_7x_5" localSheetId="71">'491'!$J$58</definedName>
    <definedName name="OSRRefE21_7x_5" localSheetId="82">'492'!$J$58</definedName>
    <definedName name="OSRRefE21_7x_5" localSheetId="88">'501'!$J$51</definedName>
    <definedName name="OSRRefE21_7x_5" localSheetId="39">'Div 2'!$J$53</definedName>
    <definedName name="OSRRefE21_7x_5" localSheetId="41">'Div 3'!$J$80</definedName>
    <definedName name="OSRRefE21_7x_5" localSheetId="69">'Div 4'!$J$61</definedName>
    <definedName name="OSRRefE21_7x_5" localSheetId="87">'Div 5'!$J$51</definedName>
    <definedName name="OSRRefE21_7x_5" localSheetId="61">'Div 6'!$J$65</definedName>
    <definedName name="OSRRefE21_7x_5" localSheetId="2">Summary!$J$91</definedName>
    <definedName name="OSRRefE21_7x_6" localSheetId="42">'201'!$K$50</definedName>
    <definedName name="OSRRefE21_7x_6" localSheetId="43">'202'!$K$52</definedName>
    <definedName name="OSRRefE21_7x_6" localSheetId="44">'203'!$K$51</definedName>
    <definedName name="OSRRefE21_7x_6" localSheetId="45">'204'!$K$54:$K$55</definedName>
    <definedName name="OSRRefE21_7x_6" localSheetId="46">'205'!$K$52</definedName>
    <definedName name="OSRRefE21_7x_6" localSheetId="48">'300'!$K$79</definedName>
    <definedName name="OSRRefE21_7x_6" localSheetId="49">'300 &amp; 317'!$K$85</definedName>
    <definedName name="OSRRefE21_7x_6" localSheetId="50">'301'!$K$52</definedName>
    <definedName name="OSRRefE21_7x_6" localSheetId="52">'307'!$K$52</definedName>
    <definedName name="OSRRefE21_7x_6" localSheetId="53">'308'!$K$65</definedName>
    <definedName name="OSRRefE21_7x_6" localSheetId="63">'310'!$K$54</definedName>
    <definedName name="OSRRefE21_7x_6" localSheetId="70">'310 &amp; 491'!$K$58</definedName>
    <definedName name="OSRRefE21_7x_6" localSheetId="54">'311'!$K$65</definedName>
    <definedName name="OSRRefE21_7x_6" localSheetId="57">'315'!$K$70</definedName>
    <definedName name="OSRRefE21_7x_6" localSheetId="60">'316'!$K$57</definedName>
    <definedName name="OSRRefE21_7x_6" localSheetId="62">'317'!$K$65</definedName>
    <definedName name="OSRRefE21_7x_6" localSheetId="66">'321'!$K$53</definedName>
    <definedName name="OSRRefE21_7x_6" localSheetId="67">'325'!$K$54</definedName>
    <definedName name="OSRRefE21_7x_6" localSheetId="58">'326'!$K$55</definedName>
    <definedName name="OSRRefE21_7x_6" localSheetId="51">'330'!$K$52</definedName>
    <definedName name="OSRRefE21_7x_6" localSheetId="56">'331'!$K$70:$K$71</definedName>
    <definedName name="OSRRefE21_7x_6" localSheetId="59">'332'!$K$57</definedName>
    <definedName name="OSRRefE21_7x_6" localSheetId="72">'405'!$K$54</definedName>
    <definedName name="OSRRefE21_7x_6" localSheetId="73">'411'!$K$51:$K$53</definedName>
    <definedName name="OSRRefE21_7x_6" localSheetId="76">'415'!$K$58</definedName>
    <definedName name="OSRRefE21_7x_6" localSheetId="77">'418'!$K$54:$K$55</definedName>
    <definedName name="OSRRefE21_7x_6" localSheetId="84">'433'!$K$53</definedName>
    <definedName name="OSRRefE21_7x_6" localSheetId="85">'444'!$K$58</definedName>
    <definedName name="OSRRefE21_7x_6" localSheetId="86">'450'!$K$53</definedName>
    <definedName name="OSRRefE21_7x_6" localSheetId="71">'491'!$K$58</definedName>
    <definedName name="OSRRefE21_7x_6" localSheetId="82">'492'!$K$58</definedName>
    <definedName name="OSRRefE21_7x_6" localSheetId="88">'501'!$K$51</definedName>
    <definedName name="OSRRefE21_7x_6" localSheetId="39">'Div 2'!$K$53</definedName>
    <definedName name="OSRRefE21_7x_6" localSheetId="41">'Div 3'!$K$80</definedName>
    <definedName name="OSRRefE21_7x_6" localSheetId="69">'Div 4'!$K$61</definedName>
    <definedName name="OSRRefE21_7x_6" localSheetId="87">'Div 5'!$K$51</definedName>
    <definedName name="OSRRefE21_7x_6" localSheetId="61">'Div 6'!$K$65</definedName>
    <definedName name="OSRRefE21_7x_6" localSheetId="2">Summary!$K$91</definedName>
    <definedName name="OSRRefE21_7x_7" localSheetId="42">'201'!$L$50</definedName>
    <definedName name="OSRRefE21_7x_7" localSheetId="43">'202'!$L$52</definedName>
    <definedName name="OSRRefE21_7x_7" localSheetId="44">'203'!$L$51</definedName>
    <definedName name="OSRRefE21_7x_7" localSheetId="45">'204'!$L$54:$L$55</definedName>
    <definedName name="OSRRefE21_7x_7" localSheetId="46">'205'!$L$52</definedName>
    <definedName name="OSRRefE21_7x_7" localSheetId="48">'300'!$L$79</definedName>
    <definedName name="OSRRefE21_7x_7" localSheetId="49">'300 &amp; 317'!$L$85</definedName>
    <definedName name="OSRRefE21_7x_7" localSheetId="50">'301'!$L$52</definedName>
    <definedName name="OSRRefE21_7x_7" localSheetId="52">'307'!$L$52</definedName>
    <definedName name="OSRRefE21_7x_7" localSheetId="53">'308'!$L$65</definedName>
    <definedName name="OSRRefE21_7x_7" localSheetId="63">'310'!$L$54</definedName>
    <definedName name="OSRRefE21_7x_7" localSheetId="70">'310 &amp; 491'!$L$58</definedName>
    <definedName name="OSRRefE21_7x_7" localSheetId="54">'311'!$L$65</definedName>
    <definedName name="OSRRefE21_7x_7" localSheetId="57">'315'!$L$70</definedName>
    <definedName name="OSRRefE21_7x_7" localSheetId="60">'316'!$L$57</definedName>
    <definedName name="OSRRefE21_7x_7" localSheetId="62">'317'!$L$65</definedName>
    <definedName name="OSRRefE21_7x_7" localSheetId="66">'321'!$L$53</definedName>
    <definedName name="OSRRefE21_7x_7" localSheetId="67">'325'!$L$54</definedName>
    <definedName name="OSRRefE21_7x_7" localSheetId="58">'326'!$L$55</definedName>
    <definedName name="OSRRefE21_7x_7" localSheetId="51">'330'!$L$52</definedName>
    <definedName name="OSRRefE21_7x_7" localSheetId="56">'331'!$L$70:$L$71</definedName>
    <definedName name="OSRRefE21_7x_7" localSheetId="59">'332'!$L$57</definedName>
    <definedName name="OSRRefE21_7x_7" localSheetId="72">'405'!$L$54</definedName>
    <definedName name="OSRRefE21_7x_7" localSheetId="73">'411'!$L$51:$L$53</definedName>
    <definedName name="OSRRefE21_7x_7" localSheetId="76">'415'!$L$58</definedName>
    <definedName name="OSRRefE21_7x_7" localSheetId="77">'418'!$L$54:$L$55</definedName>
    <definedName name="OSRRefE21_7x_7" localSheetId="84">'433'!$L$53</definedName>
    <definedName name="OSRRefE21_7x_7" localSheetId="85">'444'!$L$58</definedName>
    <definedName name="OSRRefE21_7x_7" localSheetId="86">'450'!$L$53</definedName>
    <definedName name="OSRRefE21_7x_7" localSheetId="71">'491'!$L$58</definedName>
    <definedName name="OSRRefE21_7x_7" localSheetId="82">'492'!$L$58</definedName>
    <definedName name="OSRRefE21_7x_7" localSheetId="88">'501'!$L$51</definedName>
    <definedName name="OSRRefE21_7x_7" localSheetId="39">'Div 2'!$L$53</definedName>
    <definedName name="OSRRefE21_7x_7" localSheetId="41">'Div 3'!$L$80</definedName>
    <definedName name="OSRRefE21_7x_7" localSheetId="69">'Div 4'!$L$61</definedName>
    <definedName name="OSRRefE21_7x_7" localSheetId="87">'Div 5'!$L$51</definedName>
    <definedName name="OSRRefE21_7x_7" localSheetId="61">'Div 6'!$L$65</definedName>
    <definedName name="OSRRefE21_7x_7" localSheetId="2">Summary!$L$91</definedName>
    <definedName name="OSRRefE21_7x_8" localSheetId="42">'201'!$M$50</definedName>
    <definedName name="OSRRefE21_7x_8" localSheetId="43">'202'!$M$52</definedName>
    <definedName name="OSRRefE21_7x_8" localSheetId="44">'203'!$M$51</definedName>
    <definedName name="OSRRefE21_7x_8" localSheetId="45">'204'!$M$54:$M$55</definedName>
    <definedName name="OSRRefE21_7x_8" localSheetId="46">'205'!$M$52</definedName>
    <definedName name="OSRRefE21_7x_8" localSheetId="48">'300'!$M$79</definedName>
    <definedName name="OSRRefE21_7x_8" localSheetId="49">'300 &amp; 317'!$M$85</definedName>
    <definedName name="OSRRefE21_7x_8" localSheetId="50">'301'!$M$52</definedName>
    <definedName name="OSRRefE21_7x_8" localSheetId="52">'307'!$M$52</definedName>
    <definedName name="OSRRefE21_7x_8" localSheetId="53">'308'!$M$65</definedName>
    <definedName name="OSRRefE21_7x_8" localSheetId="63">'310'!$M$54</definedName>
    <definedName name="OSRRefE21_7x_8" localSheetId="70">'310 &amp; 491'!$M$58</definedName>
    <definedName name="OSRRefE21_7x_8" localSheetId="54">'311'!$M$65</definedName>
    <definedName name="OSRRefE21_7x_8" localSheetId="57">'315'!$M$70</definedName>
    <definedName name="OSRRefE21_7x_8" localSheetId="60">'316'!$M$57</definedName>
    <definedName name="OSRRefE21_7x_8" localSheetId="62">'317'!$M$65</definedName>
    <definedName name="OSRRefE21_7x_8" localSheetId="66">'321'!$M$53</definedName>
    <definedName name="OSRRefE21_7x_8" localSheetId="67">'325'!$M$54</definedName>
    <definedName name="OSRRefE21_7x_8" localSheetId="58">'326'!$M$55</definedName>
    <definedName name="OSRRefE21_7x_8" localSheetId="51">'330'!$M$52</definedName>
    <definedName name="OSRRefE21_7x_8" localSheetId="56">'331'!$M$70:$M$71</definedName>
    <definedName name="OSRRefE21_7x_8" localSheetId="59">'332'!$M$57</definedName>
    <definedName name="OSRRefE21_7x_8" localSheetId="72">'405'!$M$54</definedName>
    <definedName name="OSRRefE21_7x_8" localSheetId="73">'411'!$M$51:$M$53</definedName>
    <definedName name="OSRRefE21_7x_8" localSheetId="76">'415'!$M$58</definedName>
    <definedName name="OSRRefE21_7x_8" localSheetId="77">'418'!$M$54:$M$55</definedName>
    <definedName name="OSRRefE21_7x_8" localSheetId="84">'433'!$M$53</definedName>
    <definedName name="OSRRefE21_7x_8" localSheetId="85">'444'!$M$58</definedName>
    <definedName name="OSRRefE21_7x_8" localSheetId="86">'450'!$M$53</definedName>
    <definedName name="OSRRefE21_7x_8" localSheetId="71">'491'!$M$58</definedName>
    <definedName name="OSRRefE21_7x_8" localSheetId="82">'492'!$M$58</definedName>
    <definedName name="OSRRefE21_7x_8" localSheetId="88">'501'!$M$51</definedName>
    <definedName name="OSRRefE21_7x_8" localSheetId="39">'Div 2'!$M$53</definedName>
    <definedName name="OSRRefE21_7x_8" localSheetId="41">'Div 3'!$M$80</definedName>
    <definedName name="OSRRefE21_7x_8" localSheetId="69">'Div 4'!$M$61</definedName>
    <definedName name="OSRRefE21_7x_8" localSheetId="87">'Div 5'!$M$51</definedName>
    <definedName name="OSRRefE21_7x_8" localSheetId="61">'Div 6'!$M$65</definedName>
    <definedName name="OSRRefE21_7x_8" localSheetId="2">Summary!$M$91</definedName>
    <definedName name="OSRRefE21_7x_9" localSheetId="42">'201'!$N$50</definedName>
    <definedName name="OSRRefE21_7x_9" localSheetId="43">'202'!$N$52</definedName>
    <definedName name="OSRRefE21_7x_9" localSheetId="44">'203'!$N$51</definedName>
    <definedName name="OSRRefE21_7x_9" localSheetId="45">'204'!$N$54:$N$55</definedName>
    <definedName name="OSRRefE21_7x_9" localSheetId="46">'205'!$N$52</definedName>
    <definedName name="OSRRefE21_7x_9" localSheetId="48">'300'!$N$79</definedName>
    <definedName name="OSRRefE21_7x_9" localSheetId="49">'300 &amp; 317'!$N$85</definedName>
    <definedName name="OSRRefE21_7x_9" localSheetId="50">'301'!$N$52</definedName>
    <definedName name="OSRRefE21_7x_9" localSheetId="52">'307'!$N$52</definedName>
    <definedName name="OSRRefE21_7x_9" localSheetId="53">'308'!$N$65</definedName>
    <definedName name="OSRRefE21_7x_9" localSheetId="63">'310'!$N$54</definedName>
    <definedName name="OSRRefE21_7x_9" localSheetId="70">'310 &amp; 491'!$N$58</definedName>
    <definedName name="OSRRefE21_7x_9" localSheetId="54">'311'!$N$65</definedName>
    <definedName name="OSRRefE21_7x_9" localSheetId="57">'315'!$N$70</definedName>
    <definedName name="OSRRefE21_7x_9" localSheetId="60">'316'!$N$57</definedName>
    <definedName name="OSRRefE21_7x_9" localSheetId="62">'317'!$N$65</definedName>
    <definedName name="OSRRefE21_7x_9" localSheetId="66">'321'!$N$53</definedName>
    <definedName name="OSRRefE21_7x_9" localSheetId="67">'325'!$N$54</definedName>
    <definedName name="OSRRefE21_7x_9" localSheetId="58">'326'!$N$55</definedName>
    <definedName name="OSRRefE21_7x_9" localSheetId="51">'330'!$N$52</definedName>
    <definedName name="OSRRefE21_7x_9" localSheetId="56">'331'!$N$70:$N$71</definedName>
    <definedName name="OSRRefE21_7x_9" localSheetId="59">'332'!$N$57</definedName>
    <definedName name="OSRRefE21_7x_9" localSheetId="72">'405'!$N$54</definedName>
    <definedName name="OSRRefE21_7x_9" localSheetId="73">'411'!$N$51:$N$53</definedName>
    <definedName name="OSRRefE21_7x_9" localSheetId="76">'415'!$N$58</definedName>
    <definedName name="OSRRefE21_7x_9" localSheetId="77">'418'!$N$54:$N$55</definedName>
    <definedName name="OSRRefE21_7x_9" localSheetId="84">'433'!$N$53</definedName>
    <definedName name="OSRRefE21_7x_9" localSheetId="85">'444'!$N$58</definedName>
    <definedName name="OSRRefE21_7x_9" localSheetId="86">'450'!$N$53</definedName>
    <definedName name="OSRRefE21_7x_9" localSheetId="71">'491'!$N$58</definedName>
    <definedName name="OSRRefE21_7x_9" localSheetId="82">'492'!$N$58</definedName>
    <definedName name="OSRRefE21_7x_9" localSheetId="88">'501'!$N$51</definedName>
    <definedName name="OSRRefE21_7x_9" localSheetId="39">'Div 2'!$N$53</definedName>
    <definedName name="OSRRefE21_7x_9" localSheetId="41">'Div 3'!$N$80</definedName>
    <definedName name="OSRRefE21_7x_9" localSheetId="69">'Div 4'!$N$61</definedName>
    <definedName name="OSRRefE21_7x_9" localSheetId="87">'Div 5'!$N$51</definedName>
    <definedName name="OSRRefE21_7x_9" localSheetId="61">'Div 6'!$N$65</definedName>
    <definedName name="OSRRefE21_7x_9" localSheetId="2">Summary!$N$91</definedName>
    <definedName name="OSRRefE21_8_0x" localSheetId="42">'201'!$E$52:$O$52</definedName>
    <definedName name="OSRRefE21_8_0x" localSheetId="43">'202'!$E$54:$O$54</definedName>
    <definedName name="OSRRefE21_8_0x" localSheetId="44">'203'!$E$53:$O$53</definedName>
    <definedName name="OSRRefE21_8_0x" localSheetId="45">'204'!$E$57:$O$57</definedName>
    <definedName name="OSRRefE21_8_0x" localSheetId="48">'300'!$E$81:$O$81</definedName>
    <definedName name="OSRRefE21_8_0x" localSheetId="49">'300 &amp; 317'!$E$87:$O$87</definedName>
    <definedName name="OSRRefE21_8_0x" localSheetId="50">'301'!$E$54:$O$54</definedName>
    <definedName name="OSRRefE21_8_0x" localSheetId="52">'307'!$E$54:$O$54</definedName>
    <definedName name="OSRRefE21_8_0x" localSheetId="53">'308'!$E$67:$O$67</definedName>
    <definedName name="OSRRefE21_8_0x" localSheetId="63">'310'!$E$56:$O$56</definedName>
    <definedName name="OSRRefE21_8_0x" localSheetId="70">'310 &amp; 491'!$E$60:$O$60</definedName>
    <definedName name="OSRRefE21_8_0x" localSheetId="54">'311'!$E$67:$O$67</definedName>
    <definedName name="OSRRefE21_8_0x" localSheetId="57">'315'!$E$72:$O$72</definedName>
    <definedName name="OSRRefE21_8_0x" localSheetId="60">'316'!$E$59:$O$59</definedName>
    <definedName name="OSRRefE21_8_0x" localSheetId="62">'317'!$E$67:$O$67</definedName>
    <definedName name="OSRRefE21_8_0x" localSheetId="66">'321'!$E$55:$O$55</definedName>
    <definedName name="OSRRefE21_8_0x" localSheetId="67">'325'!$E$56:$O$56</definedName>
    <definedName name="OSRRefE21_8_0x" localSheetId="58">'326'!$E$57:$O$57</definedName>
    <definedName name="OSRRefE21_8_0x" localSheetId="51">'330'!$E$54:$O$54</definedName>
    <definedName name="OSRRefE21_8_0x" localSheetId="56">'331'!$E$73:$O$73</definedName>
    <definedName name="OSRRefE21_8_0x" localSheetId="59">'332'!$E$59:$O$59</definedName>
    <definedName name="OSRRefE21_8_0x" localSheetId="72">'405'!$E$56:$O$56</definedName>
    <definedName name="OSRRefE21_8_0x" localSheetId="73">'411'!$E$55:$O$55</definedName>
    <definedName name="OSRRefE21_8_0x" localSheetId="76">'415'!$E$60:$O$60</definedName>
    <definedName name="OSRRefE21_8_0x" localSheetId="77">'418'!$E$57:$O$57</definedName>
    <definedName name="OSRRefE21_8_0x" localSheetId="84">'433'!$E$55:$O$55</definedName>
    <definedName name="OSRRefE21_8_0x" localSheetId="85">'444'!$E$60:$O$60</definedName>
    <definedName name="OSRRefE21_8_0x" localSheetId="86">'450'!$E$55:$O$55</definedName>
    <definedName name="OSRRefE21_8_0x" localSheetId="71">'491'!$E$60:$O$60</definedName>
    <definedName name="OSRRefE21_8_0x" localSheetId="82">'492'!$E$60:$O$60</definedName>
    <definedName name="OSRRefE21_8_0x" localSheetId="88">'501'!$E$53:$O$53</definedName>
    <definedName name="OSRRefE21_8_0x" localSheetId="39">'Div 2'!$E$55:$O$55</definedName>
    <definedName name="OSRRefE21_8_0x" localSheetId="41">'Div 3'!$E$82:$O$82</definedName>
    <definedName name="OSRRefE21_8_0x" localSheetId="69">'Div 4'!$E$63:$O$63</definedName>
    <definedName name="OSRRefE21_8_0x" localSheetId="87">'Div 5'!$E$53:$O$53</definedName>
    <definedName name="OSRRefE21_8_0x" localSheetId="61">'Div 6'!$E$67:$O$67</definedName>
    <definedName name="OSRRefE21_8_0x" localSheetId="2">Summary!$E$93:$O$93</definedName>
    <definedName name="OSRRefE21_8_1x" localSheetId="44">'203'!$E$54:$O$54</definedName>
    <definedName name="OSRRefE21_8_1x" localSheetId="52">'307'!$E$55:$O$55</definedName>
    <definedName name="OSRRefE21_8_1x" localSheetId="53">'308'!$E$68:$O$68</definedName>
    <definedName name="OSRRefE21_8_1x" localSheetId="70">'310 &amp; 491'!$E$61:$O$61</definedName>
    <definedName name="OSRRefE21_8_1x" localSheetId="54">'311'!$E$68:$O$68</definedName>
    <definedName name="OSRRefE21_8_1x" localSheetId="60">'316'!$E$60:$O$60</definedName>
    <definedName name="OSRRefE21_8_1x" localSheetId="62">'317'!$E$68:$O$68</definedName>
    <definedName name="OSRRefE21_8_1x" localSheetId="51">'330'!$E$55:$O$55</definedName>
    <definedName name="OSRRefE21_8_1x" localSheetId="59">'332'!$E$60:$O$60</definedName>
    <definedName name="OSRRefE21_8_1x" localSheetId="72">'405'!$E$57:$O$57</definedName>
    <definedName name="OSRRefE21_8_1x" localSheetId="73">'411'!$E$56:$O$56</definedName>
    <definedName name="OSRRefE21_8_1x" localSheetId="77">'418'!$E$58:$O$58</definedName>
    <definedName name="OSRRefE21_8_1x" localSheetId="71">'491'!$E$61:$O$61</definedName>
    <definedName name="OSRRefE21_8_1x" localSheetId="61">'Div 6'!$E$68:$O$68</definedName>
    <definedName name="OSRRefE21_8_2x" localSheetId="44">'203'!$E$55:$O$55</definedName>
    <definedName name="OSRRefE21_8_2x" localSheetId="52">'307'!$E$56:$O$56</definedName>
    <definedName name="OSRRefE21_8_2x" localSheetId="53">'308'!$E$69:$O$69</definedName>
    <definedName name="OSRRefE21_8_2x" localSheetId="54">'311'!$E$69:$O$69</definedName>
    <definedName name="OSRRefE21_8_2x" localSheetId="60">'316'!$E$61:$O$61</definedName>
    <definedName name="OSRRefE21_8_2x" localSheetId="51">'330'!$E$56:$O$56</definedName>
    <definedName name="OSRRefE21_8_2x" localSheetId="59">'332'!$E$61:$O$61</definedName>
    <definedName name="OSRRefE21_8_3x" localSheetId="60">'316'!$E$62:$O$62</definedName>
    <definedName name="OSRRefE21_8_3x" localSheetId="59">'332'!$E$62:$O$62</definedName>
    <definedName name="OSRRefE21_8x_0" localSheetId="42">'201'!$E$52</definedName>
    <definedName name="OSRRefE21_8x_0" localSheetId="43">'202'!$E$54</definedName>
    <definedName name="OSRRefE21_8x_0" localSheetId="44">'203'!$E$53:$E$55</definedName>
    <definedName name="OSRRefE21_8x_0" localSheetId="45">'204'!$E$57</definedName>
    <definedName name="OSRRefE21_8x_0" localSheetId="48">'300'!$E$81</definedName>
    <definedName name="OSRRefE21_8x_0" localSheetId="49">'300 &amp; 317'!$E$87</definedName>
    <definedName name="OSRRefE21_8x_0" localSheetId="50">'301'!$E$54</definedName>
    <definedName name="OSRRefE21_8x_0" localSheetId="52">'307'!$E$54:$E$56</definedName>
    <definedName name="OSRRefE21_8x_0" localSheetId="53">'308'!$E$67:$E$69</definedName>
    <definedName name="OSRRefE21_8x_0" localSheetId="63">'310'!$E$56</definedName>
    <definedName name="OSRRefE21_8x_0" localSheetId="70">'310 &amp; 491'!$E$60:$E$61</definedName>
    <definedName name="OSRRefE21_8x_0" localSheetId="54">'311'!$E$67:$E$69</definedName>
    <definedName name="OSRRefE21_8x_0" localSheetId="57">'315'!$E$72</definedName>
    <definedName name="OSRRefE21_8x_0" localSheetId="60">'316'!$E$59:$E$62</definedName>
    <definedName name="OSRRefE21_8x_0" localSheetId="62">'317'!$E$67:$E$68</definedName>
    <definedName name="OSRRefE21_8x_0" localSheetId="66">'321'!$E$55</definedName>
    <definedName name="OSRRefE21_8x_0" localSheetId="67">'325'!$E$56</definedName>
    <definedName name="OSRRefE21_8x_0" localSheetId="58">'326'!$E$57</definedName>
    <definedName name="OSRRefE21_8x_0" localSheetId="51">'330'!$E$54:$E$56</definedName>
    <definedName name="OSRRefE21_8x_0" localSheetId="56">'331'!$E$73</definedName>
    <definedName name="OSRRefE21_8x_0" localSheetId="59">'332'!$E$59:$E$62</definedName>
    <definedName name="OSRRefE21_8x_0" localSheetId="72">'405'!$E$56:$E$57</definedName>
    <definedName name="OSRRefE21_8x_0" localSheetId="73">'411'!$E$55:$E$56</definedName>
    <definedName name="OSRRefE21_8x_0" localSheetId="76">'415'!$E$60</definedName>
    <definedName name="OSRRefE21_8x_0" localSheetId="77">'418'!$E$57:$E$58</definedName>
    <definedName name="OSRRefE21_8x_0" localSheetId="84">'433'!$E$55</definedName>
    <definedName name="OSRRefE21_8x_0" localSheetId="85">'444'!$E$60</definedName>
    <definedName name="OSRRefE21_8x_0" localSheetId="86">'450'!$E$55</definedName>
    <definedName name="OSRRefE21_8x_0" localSheetId="71">'491'!$E$60:$E$61</definedName>
    <definedName name="OSRRefE21_8x_0" localSheetId="82">'492'!$E$60</definedName>
    <definedName name="OSRRefE21_8x_0" localSheetId="88">'501'!$E$53</definedName>
    <definedName name="OSRRefE21_8x_0" localSheetId="39">'Div 2'!$E$55</definedName>
    <definedName name="OSRRefE21_8x_0" localSheetId="41">'Div 3'!$E$82</definedName>
    <definedName name="OSRRefE21_8x_0" localSheetId="69">'Div 4'!$E$63</definedName>
    <definedName name="OSRRefE21_8x_0" localSheetId="87">'Div 5'!$E$53</definedName>
    <definedName name="OSRRefE21_8x_0" localSheetId="61">'Div 6'!$E$67:$E$68</definedName>
    <definedName name="OSRRefE21_8x_0" localSheetId="2">Summary!$E$93</definedName>
    <definedName name="OSRRefE21_8x_1" localSheetId="42">'201'!$F$52</definedName>
    <definedName name="OSRRefE21_8x_1" localSheetId="43">'202'!$F$54</definedName>
    <definedName name="OSRRefE21_8x_1" localSheetId="44">'203'!$F$53:$F$55</definedName>
    <definedName name="OSRRefE21_8x_1" localSheetId="45">'204'!$F$57</definedName>
    <definedName name="OSRRefE21_8x_1" localSheetId="48">'300'!$F$81</definedName>
    <definedName name="OSRRefE21_8x_1" localSheetId="49">'300 &amp; 317'!$F$87</definedName>
    <definedName name="OSRRefE21_8x_1" localSheetId="50">'301'!$F$54</definedName>
    <definedName name="OSRRefE21_8x_1" localSheetId="52">'307'!$F$54:$F$56</definedName>
    <definedName name="OSRRefE21_8x_1" localSheetId="53">'308'!$F$67:$F$69</definedName>
    <definedName name="OSRRefE21_8x_1" localSheetId="63">'310'!$F$56</definedName>
    <definedName name="OSRRefE21_8x_1" localSheetId="70">'310 &amp; 491'!$F$60:$F$61</definedName>
    <definedName name="OSRRefE21_8x_1" localSheetId="54">'311'!$F$67:$F$69</definedName>
    <definedName name="OSRRefE21_8x_1" localSheetId="57">'315'!$F$72</definedName>
    <definedName name="OSRRefE21_8x_1" localSheetId="60">'316'!$F$59:$F$62</definedName>
    <definedName name="OSRRefE21_8x_1" localSheetId="62">'317'!$F$67:$F$68</definedName>
    <definedName name="OSRRefE21_8x_1" localSheetId="66">'321'!$F$55</definedName>
    <definedName name="OSRRefE21_8x_1" localSheetId="67">'325'!$F$56</definedName>
    <definedName name="OSRRefE21_8x_1" localSheetId="58">'326'!$F$57</definedName>
    <definedName name="OSRRefE21_8x_1" localSheetId="51">'330'!$F$54:$F$56</definedName>
    <definedName name="OSRRefE21_8x_1" localSheetId="56">'331'!$F$73</definedName>
    <definedName name="OSRRefE21_8x_1" localSheetId="59">'332'!$F$59:$F$62</definedName>
    <definedName name="OSRRefE21_8x_1" localSheetId="72">'405'!$F$56:$F$57</definedName>
    <definedName name="OSRRefE21_8x_1" localSheetId="73">'411'!$F$55:$F$56</definedName>
    <definedName name="OSRRefE21_8x_1" localSheetId="76">'415'!$F$60</definedName>
    <definedName name="OSRRefE21_8x_1" localSheetId="77">'418'!$F$57:$F$58</definedName>
    <definedName name="OSRRefE21_8x_1" localSheetId="84">'433'!$F$55</definedName>
    <definedName name="OSRRefE21_8x_1" localSheetId="85">'444'!$F$60</definedName>
    <definedName name="OSRRefE21_8x_1" localSheetId="86">'450'!$F$55</definedName>
    <definedName name="OSRRefE21_8x_1" localSheetId="71">'491'!$F$60:$F$61</definedName>
    <definedName name="OSRRefE21_8x_1" localSheetId="82">'492'!$F$60</definedName>
    <definedName name="OSRRefE21_8x_1" localSheetId="88">'501'!$F$53</definedName>
    <definedName name="OSRRefE21_8x_1" localSheetId="39">'Div 2'!$F$55</definedName>
    <definedName name="OSRRefE21_8x_1" localSheetId="41">'Div 3'!$F$82</definedName>
    <definedName name="OSRRefE21_8x_1" localSheetId="69">'Div 4'!$F$63</definedName>
    <definedName name="OSRRefE21_8x_1" localSheetId="87">'Div 5'!$F$53</definedName>
    <definedName name="OSRRefE21_8x_1" localSheetId="61">'Div 6'!$F$67:$F$68</definedName>
    <definedName name="OSRRefE21_8x_1" localSheetId="2">Summary!$F$93</definedName>
    <definedName name="OSRRefE21_8x_10" localSheetId="42">'201'!$O$52</definedName>
    <definedName name="OSRRefE21_8x_10" localSheetId="43">'202'!$O$54</definedName>
    <definedName name="OSRRefE21_8x_10" localSheetId="44">'203'!$O$53:$O$55</definedName>
    <definedName name="OSRRefE21_8x_10" localSheetId="45">'204'!$O$57</definedName>
    <definedName name="OSRRefE21_8x_10" localSheetId="48">'300'!$O$81</definedName>
    <definedName name="OSRRefE21_8x_10" localSheetId="49">'300 &amp; 317'!$O$87</definedName>
    <definedName name="OSRRefE21_8x_10" localSheetId="50">'301'!$O$54</definedName>
    <definedName name="OSRRefE21_8x_10" localSheetId="52">'307'!$O$54:$O$56</definedName>
    <definedName name="OSRRefE21_8x_10" localSheetId="53">'308'!$O$67:$O$69</definedName>
    <definedName name="OSRRefE21_8x_10" localSheetId="63">'310'!$O$56</definedName>
    <definedName name="OSRRefE21_8x_10" localSheetId="70">'310 &amp; 491'!$O$60:$O$61</definedName>
    <definedName name="OSRRefE21_8x_10" localSheetId="54">'311'!$O$67:$O$69</definedName>
    <definedName name="OSRRefE21_8x_10" localSheetId="57">'315'!$O$72</definedName>
    <definedName name="OSRRefE21_8x_10" localSheetId="60">'316'!$O$59:$O$62</definedName>
    <definedName name="OSRRefE21_8x_10" localSheetId="62">'317'!$O$67:$O$68</definedName>
    <definedName name="OSRRefE21_8x_10" localSheetId="66">'321'!$O$55</definedName>
    <definedName name="OSRRefE21_8x_10" localSheetId="67">'325'!$O$56</definedName>
    <definedName name="OSRRefE21_8x_10" localSheetId="58">'326'!$O$57</definedName>
    <definedName name="OSRRefE21_8x_10" localSheetId="51">'330'!$O$54:$O$56</definedName>
    <definedName name="OSRRefE21_8x_10" localSheetId="56">'331'!$O$73</definedName>
    <definedName name="OSRRefE21_8x_10" localSheetId="59">'332'!$O$59:$O$62</definedName>
    <definedName name="OSRRefE21_8x_10" localSheetId="72">'405'!$O$56:$O$57</definedName>
    <definedName name="OSRRefE21_8x_10" localSheetId="73">'411'!$O$55:$O$56</definedName>
    <definedName name="OSRRefE21_8x_10" localSheetId="76">'415'!$O$60</definedName>
    <definedName name="OSRRefE21_8x_10" localSheetId="77">'418'!$O$57:$O$58</definedName>
    <definedName name="OSRRefE21_8x_10" localSheetId="84">'433'!$O$55</definedName>
    <definedName name="OSRRefE21_8x_10" localSheetId="85">'444'!$O$60</definedName>
    <definedName name="OSRRefE21_8x_10" localSheetId="86">'450'!$O$55</definedName>
    <definedName name="OSRRefE21_8x_10" localSheetId="71">'491'!$O$60:$O$61</definedName>
    <definedName name="OSRRefE21_8x_10" localSheetId="82">'492'!$O$60</definedName>
    <definedName name="OSRRefE21_8x_10" localSheetId="88">'501'!$O$53</definedName>
    <definedName name="OSRRefE21_8x_10" localSheetId="39">'Div 2'!$O$55</definedName>
    <definedName name="OSRRefE21_8x_10" localSheetId="41">'Div 3'!$O$82</definedName>
    <definedName name="OSRRefE21_8x_10" localSheetId="69">'Div 4'!$O$63</definedName>
    <definedName name="OSRRefE21_8x_10" localSheetId="87">'Div 5'!$O$53</definedName>
    <definedName name="OSRRefE21_8x_10" localSheetId="61">'Div 6'!$O$67:$O$68</definedName>
    <definedName name="OSRRefE21_8x_10" localSheetId="2">Summary!$O$93</definedName>
    <definedName name="OSRRefE21_8x_2" localSheetId="42">'201'!$G$52</definedName>
    <definedName name="OSRRefE21_8x_2" localSheetId="43">'202'!$G$54</definedName>
    <definedName name="OSRRefE21_8x_2" localSheetId="44">'203'!$G$53:$G$55</definedName>
    <definedName name="OSRRefE21_8x_2" localSheetId="45">'204'!$G$57</definedName>
    <definedName name="OSRRefE21_8x_2" localSheetId="48">'300'!$G$81</definedName>
    <definedName name="OSRRefE21_8x_2" localSheetId="49">'300 &amp; 317'!$G$87</definedName>
    <definedName name="OSRRefE21_8x_2" localSheetId="50">'301'!$G$54</definedName>
    <definedName name="OSRRefE21_8x_2" localSheetId="52">'307'!$G$54:$G$56</definedName>
    <definedName name="OSRRefE21_8x_2" localSheetId="53">'308'!$G$67:$G$69</definedName>
    <definedName name="OSRRefE21_8x_2" localSheetId="63">'310'!$G$56</definedName>
    <definedName name="OSRRefE21_8x_2" localSheetId="70">'310 &amp; 491'!$G$60:$G$61</definedName>
    <definedName name="OSRRefE21_8x_2" localSheetId="54">'311'!$G$67:$G$69</definedName>
    <definedName name="OSRRefE21_8x_2" localSheetId="57">'315'!$G$72</definedName>
    <definedName name="OSRRefE21_8x_2" localSheetId="60">'316'!$G$59:$G$62</definedName>
    <definedName name="OSRRefE21_8x_2" localSheetId="62">'317'!$G$67:$G$68</definedName>
    <definedName name="OSRRefE21_8x_2" localSheetId="66">'321'!$G$55</definedName>
    <definedName name="OSRRefE21_8x_2" localSheetId="67">'325'!$G$56</definedName>
    <definedName name="OSRRefE21_8x_2" localSheetId="58">'326'!$G$57</definedName>
    <definedName name="OSRRefE21_8x_2" localSheetId="51">'330'!$G$54:$G$56</definedName>
    <definedName name="OSRRefE21_8x_2" localSheetId="56">'331'!$G$73</definedName>
    <definedName name="OSRRefE21_8x_2" localSheetId="59">'332'!$G$59:$G$62</definedName>
    <definedName name="OSRRefE21_8x_2" localSheetId="72">'405'!$G$56:$G$57</definedName>
    <definedName name="OSRRefE21_8x_2" localSheetId="73">'411'!$G$55:$G$56</definedName>
    <definedName name="OSRRefE21_8x_2" localSheetId="76">'415'!$G$60</definedName>
    <definedName name="OSRRefE21_8x_2" localSheetId="77">'418'!$G$57:$G$58</definedName>
    <definedName name="OSRRefE21_8x_2" localSheetId="84">'433'!$G$55</definedName>
    <definedName name="OSRRefE21_8x_2" localSheetId="85">'444'!$G$60</definedName>
    <definedName name="OSRRefE21_8x_2" localSheetId="86">'450'!$G$55</definedName>
    <definedName name="OSRRefE21_8x_2" localSheetId="71">'491'!$G$60:$G$61</definedName>
    <definedName name="OSRRefE21_8x_2" localSheetId="82">'492'!$G$60</definedName>
    <definedName name="OSRRefE21_8x_2" localSheetId="88">'501'!$G$53</definedName>
    <definedName name="OSRRefE21_8x_2" localSheetId="39">'Div 2'!$G$55</definedName>
    <definedName name="OSRRefE21_8x_2" localSheetId="41">'Div 3'!$G$82</definedName>
    <definedName name="OSRRefE21_8x_2" localSheetId="69">'Div 4'!$G$63</definedName>
    <definedName name="OSRRefE21_8x_2" localSheetId="87">'Div 5'!$G$53</definedName>
    <definedName name="OSRRefE21_8x_2" localSheetId="61">'Div 6'!$G$67:$G$68</definedName>
    <definedName name="OSRRefE21_8x_2" localSheetId="2">Summary!$G$93</definedName>
    <definedName name="OSRRefE21_8x_3" localSheetId="42">'201'!$H$52</definedName>
    <definedName name="OSRRefE21_8x_3" localSheetId="43">'202'!$H$54</definedName>
    <definedName name="OSRRefE21_8x_3" localSheetId="44">'203'!$H$53:$H$55</definedName>
    <definedName name="OSRRefE21_8x_3" localSheetId="45">'204'!$H$57</definedName>
    <definedName name="OSRRefE21_8x_3" localSheetId="48">'300'!$H$81</definedName>
    <definedName name="OSRRefE21_8x_3" localSheetId="49">'300 &amp; 317'!$H$87</definedName>
    <definedName name="OSRRefE21_8x_3" localSheetId="50">'301'!$H$54</definedName>
    <definedName name="OSRRefE21_8x_3" localSheetId="52">'307'!$H$54:$H$56</definedName>
    <definedName name="OSRRefE21_8x_3" localSheetId="53">'308'!$H$67:$H$69</definedName>
    <definedName name="OSRRefE21_8x_3" localSheetId="63">'310'!$H$56</definedName>
    <definedName name="OSRRefE21_8x_3" localSheetId="70">'310 &amp; 491'!$H$60:$H$61</definedName>
    <definedName name="OSRRefE21_8x_3" localSheetId="54">'311'!$H$67:$H$69</definedName>
    <definedName name="OSRRefE21_8x_3" localSheetId="57">'315'!$H$72</definedName>
    <definedName name="OSRRefE21_8x_3" localSheetId="60">'316'!$H$59:$H$62</definedName>
    <definedName name="OSRRefE21_8x_3" localSheetId="62">'317'!$H$67:$H$68</definedName>
    <definedName name="OSRRefE21_8x_3" localSheetId="66">'321'!$H$55</definedName>
    <definedName name="OSRRefE21_8x_3" localSheetId="67">'325'!$H$56</definedName>
    <definedName name="OSRRefE21_8x_3" localSheetId="58">'326'!$H$57</definedName>
    <definedName name="OSRRefE21_8x_3" localSheetId="51">'330'!$H$54:$H$56</definedName>
    <definedName name="OSRRefE21_8x_3" localSheetId="56">'331'!$H$73</definedName>
    <definedName name="OSRRefE21_8x_3" localSheetId="59">'332'!$H$59:$H$62</definedName>
    <definedName name="OSRRefE21_8x_3" localSheetId="72">'405'!$H$56:$H$57</definedName>
    <definedName name="OSRRefE21_8x_3" localSheetId="73">'411'!$H$55:$H$56</definedName>
    <definedName name="OSRRefE21_8x_3" localSheetId="76">'415'!$H$60</definedName>
    <definedName name="OSRRefE21_8x_3" localSheetId="77">'418'!$H$57:$H$58</definedName>
    <definedName name="OSRRefE21_8x_3" localSheetId="84">'433'!$H$55</definedName>
    <definedName name="OSRRefE21_8x_3" localSheetId="85">'444'!$H$60</definedName>
    <definedName name="OSRRefE21_8x_3" localSheetId="86">'450'!$H$55</definedName>
    <definedName name="OSRRefE21_8x_3" localSheetId="71">'491'!$H$60:$H$61</definedName>
    <definedName name="OSRRefE21_8x_3" localSheetId="82">'492'!$H$60</definedName>
    <definedName name="OSRRefE21_8x_3" localSheetId="88">'501'!$H$53</definedName>
    <definedName name="OSRRefE21_8x_3" localSheetId="39">'Div 2'!$H$55</definedName>
    <definedName name="OSRRefE21_8x_3" localSheetId="41">'Div 3'!$H$82</definedName>
    <definedName name="OSRRefE21_8x_3" localSheetId="69">'Div 4'!$H$63</definedName>
    <definedName name="OSRRefE21_8x_3" localSheetId="87">'Div 5'!$H$53</definedName>
    <definedName name="OSRRefE21_8x_3" localSheetId="61">'Div 6'!$H$67:$H$68</definedName>
    <definedName name="OSRRefE21_8x_3" localSheetId="2">Summary!$H$93</definedName>
    <definedName name="OSRRefE21_8x_4" localSheetId="42">'201'!$I$52</definedName>
    <definedName name="OSRRefE21_8x_4" localSheetId="43">'202'!$I$54</definedName>
    <definedName name="OSRRefE21_8x_4" localSheetId="44">'203'!$I$53:$I$55</definedName>
    <definedName name="OSRRefE21_8x_4" localSheetId="45">'204'!$I$57</definedName>
    <definedName name="OSRRefE21_8x_4" localSheetId="48">'300'!$I$81</definedName>
    <definedName name="OSRRefE21_8x_4" localSheetId="49">'300 &amp; 317'!$I$87</definedName>
    <definedName name="OSRRefE21_8x_4" localSheetId="50">'301'!$I$54</definedName>
    <definedName name="OSRRefE21_8x_4" localSheetId="52">'307'!$I$54:$I$56</definedName>
    <definedName name="OSRRefE21_8x_4" localSheetId="53">'308'!$I$67:$I$69</definedName>
    <definedName name="OSRRefE21_8x_4" localSheetId="63">'310'!$I$56</definedName>
    <definedName name="OSRRefE21_8x_4" localSheetId="70">'310 &amp; 491'!$I$60:$I$61</definedName>
    <definedName name="OSRRefE21_8x_4" localSheetId="54">'311'!$I$67:$I$69</definedName>
    <definedName name="OSRRefE21_8x_4" localSheetId="57">'315'!$I$72</definedName>
    <definedName name="OSRRefE21_8x_4" localSheetId="60">'316'!$I$59:$I$62</definedName>
    <definedName name="OSRRefE21_8x_4" localSheetId="62">'317'!$I$67:$I$68</definedName>
    <definedName name="OSRRefE21_8x_4" localSheetId="66">'321'!$I$55</definedName>
    <definedName name="OSRRefE21_8x_4" localSheetId="67">'325'!$I$56</definedName>
    <definedName name="OSRRefE21_8x_4" localSheetId="58">'326'!$I$57</definedName>
    <definedName name="OSRRefE21_8x_4" localSheetId="51">'330'!$I$54:$I$56</definedName>
    <definedName name="OSRRefE21_8x_4" localSheetId="56">'331'!$I$73</definedName>
    <definedName name="OSRRefE21_8x_4" localSheetId="59">'332'!$I$59:$I$62</definedName>
    <definedName name="OSRRefE21_8x_4" localSheetId="72">'405'!$I$56:$I$57</definedName>
    <definedName name="OSRRefE21_8x_4" localSheetId="73">'411'!$I$55:$I$56</definedName>
    <definedName name="OSRRefE21_8x_4" localSheetId="76">'415'!$I$60</definedName>
    <definedName name="OSRRefE21_8x_4" localSheetId="77">'418'!$I$57:$I$58</definedName>
    <definedName name="OSRRefE21_8x_4" localSheetId="84">'433'!$I$55</definedName>
    <definedName name="OSRRefE21_8x_4" localSheetId="85">'444'!$I$60</definedName>
    <definedName name="OSRRefE21_8x_4" localSheetId="86">'450'!$I$55</definedName>
    <definedName name="OSRRefE21_8x_4" localSheetId="71">'491'!$I$60:$I$61</definedName>
    <definedName name="OSRRefE21_8x_4" localSheetId="82">'492'!$I$60</definedName>
    <definedName name="OSRRefE21_8x_4" localSheetId="88">'501'!$I$53</definedName>
    <definedName name="OSRRefE21_8x_4" localSheetId="39">'Div 2'!$I$55</definedName>
    <definedName name="OSRRefE21_8x_4" localSheetId="41">'Div 3'!$I$82</definedName>
    <definedName name="OSRRefE21_8x_4" localSheetId="69">'Div 4'!$I$63</definedName>
    <definedName name="OSRRefE21_8x_4" localSheetId="87">'Div 5'!$I$53</definedName>
    <definedName name="OSRRefE21_8x_4" localSheetId="61">'Div 6'!$I$67:$I$68</definedName>
    <definedName name="OSRRefE21_8x_4" localSheetId="2">Summary!$I$93</definedName>
    <definedName name="OSRRefE21_8x_5" localSheetId="42">'201'!$J$52</definedName>
    <definedName name="OSRRefE21_8x_5" localSheetId="43">'202'!$J$54</definedName>
    <definedName name="OSRRefE21_8x_5" localSheetId="44">'203'!$J$53:$J$55</definedName>
    <definedName name="OSRRefE21_8x_5" localSheetId="45">'204'!$J$57</definedName>
    <definedName name="OSRRefE21_8x_5" localSheetId="48">'300'!$J$81</definedName>
    <definedName name="OSRRefE21_8x_5" localSheetId="49">'300 &amp; 317'!$J$87</definedName>
    <definedName name="OSRRefE21_8x_5" localSheetId="50">'301'!$J$54</definedName>
    <definedName name="OSRRefE21_8x_5" localSheetId="52">'307'!$J$54:$J$56</definedName>
    <definedName name="OSRRefE21_8x_5" localSheetId="53">'308'!$J$67:$J$69</definedName>
    <definedName name="OSRRefE21_8x_5" localSheetId="63">'310'!$J$56</definedName>
    <definedName name="OSRRefE21_8x_5" localSheetId="70">'310 &amp; 491'!$J$60:$J$61</definedName>
    <definedName name="OSRRefE21_8x_5" localSheetId="54">'311'!$J$67:$J$69</definedName>
    <definedName name="OSRRefE21_8x_5" localSheetId="57">'315'!$J$72</definedName>
    <definedName name="OSRRefE21_8x_5" localSheetId="60">'316'!$J$59:$J$62</definedName>
    <definedName name="OSRRefE21_8x_5" localSheetId="62">'317'!$J$67:$J$68</definedName>
    <definedName name="OSRRefE21_8x_5" localSheetId="66">'321'!$J$55</definedName>
    <definedName name="OSRRefE21_8x_5" localSheetId="67">'325'!$J$56</definedName>
    <definedName name="OSRRefE21_8x_5" localSheetId="58">'326'!$J$57</definedName>
    <definedName name="OSRRefE21_8x_5" localSheetId="51">'330'!$J$54:$J$56</definedName>
    <definedName name="OSRRefE21_8x_5" localSheetId="56">'331'!$J$73</definedName>
    <definedName name="OSRRefE21_8x_5" localSheetId="59">'332'!$J$59:$J$62</definedName>
    <definedName name="OSRRefE21_8x_5" localSheetId="72">'405'!$J$56:$J$57</definedName>
    <definedName name="OSRRefE21_8x_5" localSheetId="73">'411'!$J$55:$J$56</definedName>
    <definedName name="OSRRefE21_8x_5" localSheetId="76">'415'!$J$60</definedName>
    <definedName name="OSRRefE21_8x_5" localSheetId="77">'418'!$J$57:$J$58</definedName>
    <definedName name="OSRRefE21_8x_5" localSheetId="84">'433'!$J$55</definedName>
    <definedName name="OSRRefE21_8x_5" localSheetId="85">'444'!$J$60</definedName>
    <definedName name="OSRRefE21_8x_5" localSheetId="86">'450'!$J$55</definedName>
    <definedName name="OSRRefE21_8x_5" localSheetId="71">'491'!$J$60:$J$61</definedName>
    <definedName name="OSRRefE21_8x_5" localSheetId="82">'492'!$J$60</definedName>
    <definedName name="OSRRefE21_8x_5" localSheetId="88">'501'!$J$53</definedName>
    <definedName name="OSRRefE21_8x_5" localSheetId="39">'Div 2'!$J$55</definedName>
    <definedName name="OSRRefE21_8x_5" localSheetId="41">'Div 3'!$J$82</definedName>
    <definedName name="OSRRefE21_8x_5" localSheetId="69">'Div 4'!$J$63</definedName>
    <definedName name="OSRRefE21_8x_5" localSheetId="87">'Div 5'!$J$53</definedName>
    <definedName name="OSRRefE21_8x_5" localSheetId="61">'Div 6'!$J$67:$J$68</definedName>
    <definedName name="OSRRefE21_8x_5" localSheetId="2">Summary!$J$93</definedName>
    <definedName name="OSRRefE21_8x_6" localSheetId="42">'201'!$K$52</definedName>
    <definedName name="OSRRefE21_8x_6" localSheetId="43">'202'!$K$54</definedName>
    <definedName name="OSRRefE21_8x_6" localSheetId="44">'203'!$K$53:$K$55</definedName>
    <definedName name="OSRRefE21_8x_6" localSheetId="45">'204'!$K$57</definedName>
    <definedName name="OSRRefE21_8x_6" localSheetId="48">'300'!$K$81</definedName>
    <definedName name="OSRRefE21_8x_6" localSheetId="49">'300 &amp; 317'!$K$87</definedName>
    <definedName name="OSRRefE21_8x_6" localSheetId="50">'301'!$K$54</definedName>
    <definedName name="OSRRefE21_8x_6" localSheetId="52">'307'!$K$54:$K$56</definedName>
    <definedName name="OSRRefE21_8x_6" localSheetId="53">'308'!$K$67:$K$69</definedName>
    <definedName name="OSRRefE21_8x_6" localSheetId="63">'310'!$K$56</definedName>
    <definedName name="OSRRefE21_8x_6" localSheetId="70">'310 &amp; 491'!$K$60:$K$61</definedName>
    <definedName name="OSRRefE21_8x_6" localSheetId="54">'311'!$K$67:$K$69</definedName>
    <definedName name="OSRRefE21_8x_6" localSheetId="57">'315'!$K$72</definedName>
    <definedName name="OSRRefE21_8x_6" localSheetId="60">'316'!$K$59:$K$62</definedName>
    <definedName name="OSRRefE21_8x_6" localSheetId="62">'317'!$K$67:$K$68</definedName>
    <definedName name="OSRRefE21_8x_6" localSheetId="66">'321'!$K$55</definedName>
    <definedName name="OSRRefE21_8x_6" localSheetId="67">'325'!$K$56</definedName>
    <definedName name="OSRRefE21_8x_6" localSheetId="58">'326'!$K$57</definedName>
    <definedName name="OSRRefE21_8x_6" localSheetId="51">'330'!$K$54:$K$56</definedName>
    <definedName name="OSRRefE21_8x_6" localSheetId="56">'331'!$K$73</definedName>
    <definedName name="OSRRefE21_8x_6" localSheetId="59">'332'!$K$59:$K$62</definedName>
    <definedName name="OSRRefE21_8x_6" localSheetId="72">'405'!$K$56:$K$57</definedName>
    <definedName name="OSRRefE21_8x_6" localSheetId="73">'411'!$K$55:$K$56</definedName>
    <definedName name="OSRRefE21_8x_6" localSheetId="76">'415'!$K$60</definedName>
    <definedName name="OSRRefE21_8x_6" localSheetId="77">'418'!$K$57:$K$58</definedName>
    <definedName name="OSRRefE21_8x_6" localSheetId="84">'433'!$K$55</definedName>
    <definedName name="OSRRefE21_8x_6" localSheetId="85">'444'!$K$60</definedName>
    <definedName name="OSRRefE21_8x_6" localSheetId="86">'450'!$K$55</definedName>
    <definedName name="OSRRefE21_8x_6" localSheetId="71">'491'!$K$60:$K$61</definedName>
    <definedName name="OSRRefE21_8x_6" localSheetId="82">'492'!$K$60</definedName>
    <definedName name="OSRRefE21_8x_6" localSheetId="88">'501'!$K$53</definedName>
    <definedName name="OSRRefE21_8x_6" localSheetId="39">'Div 2'!$K$55</definedName>
    <definedName name="OSRRefE21_8x_6" localSheetId="41">'Div 3'!$K$82</definedName>
    <definedName name="OSRRefE21_8x_6" localSheetId="69">'Div 4'!$K$63</definedName>
    <definedName name="OSRRefE21_8x_6" localSheetId="87">'Div 5'!$K$53</definedName>
    <definedName name="OSRRefE21_8x_6" localSheetId="61">'Div 6'!$K$67:$K$68</definedName>
    <definedName name="OSRRefE21_8x_6" localSheetId="2">Summary!$K$93</definedName>
    <definedName name="OSRRefE21_8x_7" localSheetId="42">'201'!$L$52</definedName>
    <definedName name="OSRRefE21_8x_7" localSheetId="43">'202'!$L$54</definedName>
    <definedName name="OSRRefE21_8x_7" localSheetId="44">'203'!$L$53:$L$55</definedName>
    <definedName name="OSRRefE21_8x_7" localSheetId="45">'204'!$L$57</definedName>
    <definedName name="OSRRefE21_8x_7" localSheetId="48">'300'!$L$81</definedName>
    <definedName name="OSRRefE21_8x_7" localSheetId="49">'300 &amp; 317'!$L$87</definedName>
    <definedName name="OSRRefE21_8x_7" localSheetId="50">'301'!$L$54</definedName>
    <definedName name="OSRRefE21_8x_7" localSheetId="52">'307'!$L$54:$L$56</definedName>
    <definedName name="OSRRefE21_8x_7" localSheetId="53">'308'!$L$67:$L$69</definedName>
    <definedName name="OSRRefE21_8x_7" localSheetId="63">'310'!$L$56</definedName>
    <definedName name="OSRRefE21_8x_7" localSheetId="70">'310 &amp; 491'!$L$60:$L$61</definedName>
    <definedName name="OSRRefE21_8x_7" localSheetId="54">'311'!$L$67:$L$69</definedName>
    <definedName name="OSRRefE21_8x_7" localSheetId="57">'315'!$L$72</definedName>
    <definedName name="OSRRefE21_8x_7" localSheetId="60">'316'!$L$59:$L$62</definedName>
    <definedName name="OSRRefE21_8x_7" localSheetId="62">'317'!$L$67:$L$68</definedName>
    <definedName name="OSRRefE21_8x_7" localSheetId="66">'321'!$L$55</definedName>
    <definedName name="OSRRefE21_8x_7" localSheetId="67">'325'!$L$56</definedName>
    <definedName name="OSRRefE21_8x_7" localSheetId="58">'326'!$L$57</definedName>
    <definedName name="OSRRefE21_8x_7" localSheetId="51">'330'!$L$54:$L$56</definedName>
    <definedName name="OSRRefE21_8x_7" localSheetId="56">'331'!$L$73</definedName>
    <definedName name="OSRRefE21_8x_7" localSheetId="59">'332'!$L$59:$L$62</definedName>
    <definedName name="OSRRefE21_8x_7" localSheetId="72">'405'!$L$56:$L$57</definedName>
    <definedName name="OSRRefE21_8x_7" localSheetId="73">'411'!$L$55:$L$56</definedName>
    <definedName name="OSRRefE21_8x_7" localSheetId="76">'415'!$L$60</definedName>
    <definedName name="OSRRefE21_8x_7" localSheetId="77">'418'!$L$57:$L$58</definedName>
    <definedName name="OSRRefE21_8x_7" localSheetId="84">'433'!$L$55</definedName>
    <definedName name="OSRRefE21_8x_7" localSheetId="85">'444'!$L$60</definedName>
    <definedName name="OSRRefE21_8x_7" localSheetId="86">'450'!$L$55</definedName>
    <definedName name="OSRRefE21_8x_7" localSheetId="71">'491'!$L$60:$L$61</definedName>
    <definedName name="OSRRefE21_8x_7" localSheetId="82">'492'!$L$60</definedName>
    <definedName name="OSRRefE21_8x_7" localSheetId="88">'501'!$L$53</definedName>
    <definedName name="OSRRefE21_8x_7" localSheetId="39">'Div 2'!$L$55</definedName>
    <definedName name="OSRRefE21_8x_7" localSheetId="41">'Div 3'!$L$82</definedName>
    <definedName name="OSRRefE21_8x_7" localSheetId="69">'Div 4'!$L$63</definedName>
    <definedName name="OSRRefE21_8x_7" localSheetId="87">'Div 5'!$L$53</definedName>
    <definedName name="OSRRefE21_8x_7" localSheetId="61">'Div 6'!$L$67:$L$68</definedName>
    <definedName name="OSRRefE21_8x_7" localSheetId="2">Summary!$L$93</definedName>
    <definedName name="OSRRefE21_8x_8" localSheetId="42">'201'!$M$52</definedName>
    <definedName name="OSRRefE21_8x_8" localSheetId="43">'202'!$M$54</definedName>
    <definedName name="OSRRefE21_8x_8" localSheetId="44">'203'!$M$53:$M$55</definedName>
    <definedName name="OSRRefE21_8x_8" localSheetId="45">'204'!$M$57</definedName>
    <definedName name="OSRRefE21_8x_8" localSheetId="48">'300'!$M$81</definedName>
    <definedName name="OSRRefE21_8x_8" localSheetId="49">'300 &amp; 317'!$M$87</definedName>
    <definedName name="OSRRefE21_8x_8" localSheetId="50">'301'!$M$54</definedName>
    <definedName name="OSRRefE21_8x_8" localSheetId="52">'307'!$M$54:$M$56</definedName>
    <definedName name="OSRRefE21_8x_8" localSheetId="53">'308'!$M$67:$M$69</definedName>
    <definedName name="OSRRefE21_8x_8" localSheetId="63">'310'!$M$56</definedName>
    <definedName name="OSRRefE21_8x_8" localSheetId="70">'310 &amp; 491'!$M$60:$M$61</definedName>
    <definedName name="OSRRefE21_8x_8" localSheetId="54">'311'!$M$67:$M$69</definedName>
    <definedName name="OSRRefE21_8x_8" localSheetId="57">'315'!$M$72</definedName>
    <definedName name="OSRRefE21_8x_8" localSheetId="60">'316'!$M$59:$M$62</definedName>
    <definedName name="OSRRefE21_8x_8" localSheetId="62">'317'!$M$67:$M$68</definedName>
    <definedName name="OSRRefE21_8x_8" localSheetId="66">'321'!$M$55</definedName>
    <definedName name="OSRRefE21_8x_8" localSheetId="67">'325'!$M$56</definedName>
    <definedName name="OSRRefE21_8x_8" localSheetId="58">'326'!$M$57</definedName>
    <definedName name="OSRRefE21_8x_8" localSheetId="51">'330'!$M$54:$M$56</definedName>
    <definedName name="OSRRefE21_8x_8" localSheetId="56">'331'!$M$73</definedName>
    <definedName name="OSRRefE21_8x_8" localSheetId="59">'332'!$M$59:$M$62</definedName>
    <definedName name="OSRRefE21_8x_8" localSheetId="72">'405'!$M$56:$M$57</definedName>
    <definedName name="OSRRefE21_8x_8" localSheetId="73">'411'!$M$55:$M$56</definedName>
    <definedName name="OSRRefE21_8x_8" localSheetId="76">'415'!$M$60</definedName>
    <definedName name="OSRRefE21_8x_8" localSheetId="77">'418'!$M$57:$M$58</definedName>
    <definedName name="OSRRefE21_8x_8" localSheetId="84">'433'!$M$55</definedName>
    <definedName name="OSRRefE21_8x_8" localSheetId="85">'444'!$M$60</definedName>
    <definedName name="OSRRefE21_8x_8" localSheetId="86">'450'!$M$55</definedName>
    <definedName name="OSRRefE21_8x_8" localSheetId="71">'491'!$M$60:$M$61</definedName>
    <definedName name="OSRRefE21_8x_8" localSheetId="82">'492'!$M$60</definedName>
    <definedName name="OSRRefE21_8x_8" localSheetId="88">'501'!$M$53</definedName>
    <definedName name="OSRRefE21_8x_8" localSheetId="39">'Div 2'!$M$55</definedName>
    <definedName name="OSRRefE21_8x_8" localSheetId="41">'Div 3'!$M$82</definedName>
    <definedName name="OSRRefE21_8x_8" localSheetId="69">'Div 4'!$M$63</definedName>
    <definedName name="OSRRefE21_8x_8" localSheetId="87">'Div 5'!$M$53</definedName>
    <definedName name="OSRRefE21_8x_8" localSheetId="61">'Div 6'!$M$67:$M$68</definedName>
    <definedName name="OSRRefE21_8x_8" localSheetId="2">Summary!$M$93</definedName>
    <definedName name="OSRRefE21_8x_9" localSheetId="42">'201'!$N$52</definedName>
    <definedName name="OSRRefE21_8x_9" localSheetId="43">'202'!$N$54</definedName>
    <definedName name="OSRRefE21_8x_9" localSheetId="44">'203'!$N$53:$N$55</definedName>
    <definedName name="OSRRefE21_8x_9" localSheetId="45">'204'!$N$57</definedName>
    <definedName name="OSRRefE21_8x_9" localSheetId="48">'300'!$N$81</definedName>
    <definedName name="OSRRefE21_8x_9" localSheetId="49">'300 &amp; 317'!$N$87</definedName>
    <definedName name="OSRRefE21_8x_9" localSheetId="50">'301'!$N$54</definedName>
    <definedName name="OSRRefE21_8x_9" localSheetId="52">'307'!$N$54:$N$56</definedName>
    <definedName name="OSRRefE21_8x_9" localSheetId="53">'308'!$N$67:$N$69</definedName>
    <definedName name="OSRRefE21_8x_9" localSheetId="63">'310'!$N$56</definedName>
    <definedName name="OSRRefE21_8x_9" localSheetId="70">'310 &amp; 491'!$N$60:$N$61</definedName>
    <definedName name="OSRRefE21_8x_9" localSheetId="54">'311'!$N$67:$N$69</definedName>
    <definedName name="OSRRefE21_8x_9" localSheetId="57">'315'!$N$72</definedName>
    <definedName name="OSRRefE21_8x_9" localSheetId="60">'316'!$N$59:$N$62</definedName>
    <definedName name="OSRRefE21_8x_9" localSheetId="62">'317'!$N$67:$N$68</definedName>
    <definedName name="OSRRefE21_8x_9" localSheetId="66">'321'!$N$55</definedName>
    <definedName name="OSRRefE21_8x_9" localSheetId="67">'325'!$N$56</definedName>
    <definedName name="OSRRefE21_8x_9" localSheetId="58">'326'!$N$57</definedName>
    <definedName name="OSRRefE21_8x_9" localSheetId="51">'330'!$N$54:$N$56</definedName>
    <definedName name="OSRRefE21_8x_9" localSheetId="56">'331'!$N$73</definedName>
    <definedName name="OSRRefE21_8x_9" localSheetId="59">'332'!$N$59:$N$62</definedName>
    <definedName name="OSRRefE21_8x_9" localSheetId="72">'405'!$N$56:$N$57</definedName>
    <definedName name="OSRRefE21_8x_9" localSheetId="73">'411'!$N$55:$N$56</definedName>
    <definedName name="OSRRefE21_8x_9" localSheetId="76">'415'!$N$60</definedName>
    <definedName name="OSRRefE21_8x_9" localSheetId="77">'418'!$N$57:$N$58</definedName>
    <definedName name="OSRRefE21_8x_9" localSheetId="84">'433'!$N$55</definedName>
    <definedName name="OSRRefE21_8x_9" localSheetId="85">'444'!$N$60</definedName>
    <definedName name="OSRRefE21_8x_9" localSheetId="86">'450'!$N$55</definedName>
    <definedName name="OSRRefE21_8x_9" localSheetId="71">'491'!$N$60:$N$61</definedName>
    <definedName name="OSRRefE21_8x_9" localSheetId="82">'492'!$N$60</definedName>
    <definedName name="OSRRefE21_8x_9" localSheetId="88">'501'!$N$53</definedName>
    <definedName name="OSRRefE21_8x_9" localSheetId="39">'Div 2'!$N$55</definedName>
    <definedName name="OSRRefE21_8x_9" localSheetId="41">'Div 3'!$N$82</definedName>
    <definedName name="OSRRefE21_8x_9" localSheetId="69">'Div 4'!$N$63</definedName>
    <definedName name="OSRRefE21_8x_9" localSheetId="87">'Div 5'!$N$53</definedName>
    <definedName name="OSRRefE21_8x_9" localSheetId="61">'Div 6'!$N$67:$N$68</definedName>
    <definedName name="OSRRefE21_8x_9" localSheetId="2">Summary!$N$93</definedName>
    <definedName name="OSRRefE21_9_0x" localSheetId="42">'201'!$E$54:$O$54</definedName>
    <definedName name="OSRRefE21_9_0x" localSheetId="43">'202'!$E$56:$O$56</definedName>
    <definedName name="OSRRefE21_9_0x" localSheetId="44">'203'!$E$57:$O$57</definedName>
    <definedName name="OSRRefE21_9_0x" localSheetId="48">'300'!$E$83:$O$83</definedName>
    <definedName name="OSRRefE21_9_0x" localSheetId="49">'300 &amp; 317'!$E$89:$O$89</definedName>
    <definedName name="OSRRefE21_9_0x" localSheetId="50">'301'!$E$56:$O$56</definedName>
    <definedName name="OSRRefE21_9_0x" localSheetId="52">'307'!$E$58:$O$58</definedName>
    <definedName name="OSRRefE21_9_0x" localSheetId="53">'308'!$E$71:$O$71</definedName>
    <definedName name="OSRRefE21_9_0x" localSheetId="63">'310'!$E$58:$O$58</definedName>
    <definedName name="OSRRefE21_9_0x" localSheetId="70">'310 &amp; 491'!$E$63:$O$63</definedName>
    <definedName name="OSRRefE21_9_0x" localSheetId="54">'311'!$E$71:$O$71</definedName>
    <definedName name="OSRRefE21_9_0x" localSheetId="57">'315'!$E$74:$O$74</definedName>
    <definedName name="OSRRefE21_9_0x" localSheetId="60">'316'!$E$64:$O$64</definedName>
    <definedName name="OSRRefE21_9_0x" localSheetId="62">'317'!$E$70:$O$70</definedName>
    <definedName name="OSRRefE21_9_0x" localSheetId="66">'321'!$E$57:$O$57</definedName>
    <definedName name="OSRRefE21_9_0x" localSheetId="67">'325'!$E$58:$O$58</definedName>
    <definedName name="OSRRefE21_9_0x" localSheetId="58">'326'!$E$59:$O$59</definedName>
    <definedName name="OSRRefE21_9_0x" localSheetId="51">'330'!$E$58:$O$58</definedName>
    <definedName name="OSRRefE21_9_0x" localSheetId="56">'331'!$E$75:$O$75</definedName>
    <definedName name="OSRRefE21_9_0x" localSheetId="59">'332'!$E$64:$O$64</definedName>
    <definedName name="OSRRefE21_9_0x" localSheetId="72">'405'!$E$59:$O$59</definedName>
    <definedName name="OSRRefE21_9_0x" localSheetId="73">'411'!$E$58:$O$58</definedName>
    <definedName name="OSRRefE21_9_0x" localSheetId="76">'415'!$E$62:$O$62</definedName>
    <definedName name="OSRRefE21_9_0x" localSheetId="77">'418'!$E$60:$O$60</definedName>
    <definedName name="OSRRefE21_9_0x" localSheetId="84">'433'!$E$57:$O$57</definedName>
    <definedName name="OSRRefE21_9_0x" localSheetId="85">'444'!$E$62:$O$62</definedName>
    <definedName name="OSRRefE21_9_0x" localSheetId="86">'450'!$E$57:$O$57</definedName>
    <definedName name="OSRRefE21_9_0x" localSheetId="71">'491'!$E$63:$O$63</definedName>
    <definedName name="OSRRefE21_9_0x" localSheetId="82">'492'!$E$62:$O$62</definedName>
    <definedName name="OSRRefE21_9_0x" localSheetId="88">'501'!$E$55:$O$55</definedName>
    <definedName name="OSRRefE21_9_0x" localSheetId="39">'Div 2'!$E$57:$O$57</definedName>
    <definedName name="OSRRefE21_9_0x" localSheetId="41">'Div 3'!$E$84:$O$84</definedName>
    <definedName name="OSRRefE21_9_0x" localSheetId="69">'Div 4'!$E$65:$O$65</definedName>
    <definedName name="OSRRefE21_9_0x" localSheetId="87">'Div 5'!$E$55:$O$55</definedName>
    <definedName name="OSRRefE21_9_0x" localSheetId="61">'Div 6'!$E$70:$O$70</definedName>
    <definedName name="OSRRefE21_9_0x" localSheetId="2">Summary!$E$95:$O$95</definedName>
    <definedName name="OSRRefE21_9_1x" localSheetId="42">'201'!$E$55:$O$55</definedName>
    <definedName name="OSRRefE21_9_1x" localSheetId="53">'308'!$E$72:$O$72</definedName>
    <definedName name="OSRRefE21_9_1x" localSheetId="54">'311'!$E$72:$O$72</definedName>
    <definedName name="OSRRefE21_9_1x" localSheetId="66">'321'!$E$58:$O$58</definedName>
    <definedName name="OSRRefE21_9_1x" localSheetId="72">'405'!$E$60:$O$60</definedName>
    <definedName name="OSRRefE21_9_1x" localSheetId="77">'418'!$E$61:$O$61</definedName>
    <definedName name="OSRRefE21_9_1x" localSheetId="88">'501'!$E$56:$O$56</definedName>
    <definedName name="OSRRefE21_9_1x" localSheetId="69">'Div 4'!$E$66:$O$66</definedName>
    <definedName name="OSRRefE21_9_1x" localSheetId="87">'Div 5'!$E$56:$O$56</definedName>
    <definedName name="OSRRefE21_9_2x" localSheetId="42">'201'!$E$56:$O$56</definedName>
    <definedName name="OSRRefE21_9_2x" localSheetId="72">'405'!$E$61:$O$61</definedName>
    <definedName name="OSRRefE21_9_2x" localSheetId="77">'418'!$E$62:$O$62</definedName>
    <definedName name="OSRRefE21_9_2x" localSheetId="88">'501'!$E$57:$O$57</definedName>
    <definedName name="OSRRefE21_9_2x" localSheetId="87">'Div 5'!$E$57:$O$57</definedName>
    <definedName name="OSRRefE21_9x_0" localSheetId="42">'201'!$E$54:$E$56</definedName>
    <definedName name="OSRRefE21_9x_0" localSheetId="43">'202'!$E$56</definedName>
    <definedName name="OSRRefE21_9x_0" localSheetId="44">'203'!$E$57</definedName>
    <definedName name="OSRRefE21_9x_0" localSheetId="48">'300'!$E$83</definedName>
    <definedName name="OSRRefE21_9x_0" localSheetId="49">'300 &amp; 317'!$E$89</definedName>
    <definedName name="OSRRefE21_9x_0" localSheetId="50">'301'!$E$56</definedName>
    <definedName name="OSRRefE21_9x_0" localSheetId="52">'307'!$E$58</definedName>
    <definedName name="OSRRefE21_9x_0" localSheetId="53">'308'!$E$71:$E$72</definedName>
    <definedName name="OSRRefE21_9x_0" localSheetId="63">'310'!$E$58</definedName>
    <definedName name="OSRRefE21_9x_0" localSheetId="70">'310 &amp; 491'!$E$63</definedName>
    <definedName name="OSRRefE21_9x_0" localSheetId="54">'311'!$E$71:$E$72</definedName>
    <definedName name="OSRRefE21_9x_0" localSheetId="57">'315'!$E$74</definedName>
    <definedName name="OSRRefE21_9x_0" localSheetId="60">'316'!$E$64</definedName>
    <definedName name="OSRRefE21_9x_0" localSheetId="62">'317'!$E$70</definedName>
    <definedName name="OSRRefE21_9x_0" localSheetId="66">'321'!$E$57:$E$58</definedName>
    <definedName name="OSRRefE21_9x_0" localSheetId="67">'325'!$E$58</definedName>
    <definedName name="OSRRefE21_9x_0" localSheetId="58">'326'!$E$59</definedName>
    <definedName name="OSRRefE21_9x_0" localSheetId="51">'330'!$E$58</definedName>
    <definedName name="OSRRefE21_9x_0" localSheetId="56">'331'!$E$75</definedName>
    <definedName name="OSRRefE21_9x_0" localSheetId="59">'332'!$E$64</definedName>
    <definedName name="OSRRefE21_9x_0" localSheetId="72">'405'!$E$59:$E$61</definedName>
    <definedName name="OSRRefE21_9x_0" localSheetId="73">'411'!$E$58</definedName>
    <definedName name="OSRRefE21_9x_0" localSheetId="76">'415'!$E$62</definedName>
    <definedName name="OSRRefE21_9x_0" localSheetId="77">'418'!$E$60:$E$62</definedName>
    <definedName name="OSRRefE21_9x_0" localSheetId="84">'433'!$E$57</definedName>
    <definedName name="OSRRefE21_9x_0" localSheetId="85">'444'!$E$62</definedName>
    <definedName name="OSRRefE21_9x_0" localSheetId="86">'450'!$E$57</definedName>
    <definedName name="OSRRefE21_9x_0" localSheetId="71">'491'!$E$63</definedName>
    <definedName name="OSRRefE21_9x_0" localSheetId="82">'492'!$E$62</definedName>
    <definedName name="OSRRefE21_9x_0" localSheetId="88">'501'!$E$55:$E$57</definedName>
    <definedName name="OSRRefE21_9x_0" localSheetId="39">'Div 2'!$E$57</definedName>
    <definedName name="OSRRefE21_9x_0" localSheetId="41">'Div 3'!$E$84</definedName>
    <definedName name="OSRRefE21_9x_0" localSheetId="69">'Div 4'!$E$65:$E$66</definedName>
    <definedName name="OSRRefE21_9x_0" localSheetId="87">'Div 5'!$E$55:$E$57</definedName>
    <definedName name="OSRRefE21_9x_0" localSheetId="61">'Div 6'!$E$70</definedName>
    <definedName name="OSRRefE21_9x_0" localSheetId="2">Summary!$E$95</definedName>
    <definedName name="OSRRefE21_9x_1" localSheetId="42">'201'!$F$54:$F$56</definedName>
    <definedName name="OSRRefE21_9x_1" localSheetId="43">'202'!$F$56</definedName>
    <definedName name="OSRRefE21_9x_1" localSheetId="44">'203'!$F$57</definedName>
    <definedName name="OSRRefE21_9x_1" localSheetId="48">'300'!$F$83</definedName>
    <definedName name="OSRRefE21_9x_1" localSheetId="49">'300 &amp; 317'!$F$89</definedName>
    <definedName name="OSRRefE21_9x_1" localSheetId="50">'301'!$F$56</definedName>
    <definedName name="OSRRefE21_9x_1" localSheetId="52">'307'!$F$58</definedName>
    <definedName name="OSRRefE21_9x_1" localSheetId="53">'308'!$F$71:$F$72</definedName>
    <definedName name="OSRRefE21_9x_1" localSheetId="63">'310'!$F$58</definedName>
    <definedName name="OSRRefE21_9x_1" localSheetId="70">'310 &amp; 491'!$F$63</definedName>
    <definedName name="OSRRefE21_9x_1" localSheetId="54">'311'!$F$71:$F$72</definedName>
    <definedName name="OSRRefE21_9x_1" localSheetId="57">'315'!$F$74</definedName>
    <definedName name="OSRRefE21_9x_1" localSheetId="60">'316'!$F$64</definedName>
    <definedName name="OSRRefE21_9x_1" localSheetId="62">'317'!$F$70</definedName>
    <definedName name="OSRRefE21_9x_1" localSheetId="66">'321'!$F$57:$F$58</definedName>
    <definedName name="OSRRefE21_9x_1" localSheetId="67">'325'!$F$58</definedName>
    <definedName name="OSRRefE21_9x_1" localSheetId="58">'326'!$F$59</definedName>
    <definedName name="OSRRefE21_9x_1" localSheetId="51">'330'!$F$58</definedName>
    <definedName name="OSRRefE21_9x_1" localSheetId="56">'331'!$F$75</definedName>
    <definedName name="OSRRefE21_9x_1" localSheetId="59">'332'!$F$64</definedName>
    <definedName name="OSRRefE21_9x_1" localSheetId="72">'405'!$F$59:$F$61</definedName>
    <definedName name="OSRRefE21_9x_1" localSheetId="73">'411'!$F$58</definedName>
    <definedName name="OSRRefE21_9x_1" localSheetId="76">'415'!$F$62</definedName>
    <definedName name="OSRRefE21_9x_1" localSheetId="77">'418'!$F$60:$F$62</definedName>
    <definedName name="OSRRefE21_9x_1" localSheetId="84">'433'!$F$57</definedName>
    <definedName name="OSRRefE21_9x_1" localSheetId="85">'444'!$F$62</definedName>
    <definedName name="OSRRefE21_9x_1" localSheetId="86">'450'!$F$57</definedName>
    <definedName name="OSRRefE21_9x_1" localSheetId="71">'491'!$F$63</definedName>
    <definedName name="OSRRefE21_9x_1" localSheetId="82">'492'!$F$62</definedName>
    <definedName name="OSRRefE21_9x_1" localSheetId="88">'501'!$F$55:$F$57</definedName>
    <definedName name="OSRRefE21_9x_1" localSheetId="39">'Div 2'!$F$57</definedName>
    <definedName name="OSRRefE21_9x_1" localSheetId="41">'Div 3'!$F$84</definedName>
    <definedName name="OSRRefE21_9x_1" localSheetId="69">'Div 4'!$F$65:$F$66</definedName>
    <definedName name="OSRRefE21_9x_1" localSheetId="87">'Div 5'!$F$55:$F$57</definedName>
    <definedName name="OSRRefE21_9x_1" localSheetId="61">'Div 6'!$F$70</definedName>
    <definedName name="OSRRefE21_9x_1" localSheetId="2">Summary!$F$95</definedName>
    <definedName name="OSRRefE21_9x_10" localSheetId="42">'201'!$O$54:$O$56</definedName>
    <definedName name="OSRRefE21_9x_10" localSheetId="43">'202'!$O$56</definedName>
    <definedName name="OSRRefE21_9x_10" localSheetId="44">'203'!$O$57</definedName>
    <definedName name="OSRRefE21_9x_10" localSheetId="48">'300'!$O$83</definedName>
    <definedName name="OSRRefE21_9x_10" localSheetId="49">'300 &amp; 317'!$O$89</definedName>
    <definedName name="OSRRefE21_9x_10" localSheetId="50">'301'!$O$56</definedName>
    <definedName name="OSRRefE21_9x_10" localSheetId="52">'307'!$O$58</definedName>
    <definedName name="OSRRefE21_9x_10" localSheetId="53">'308'!$O$71:$O$72</definedName>
    <definedName name="OSRRefE21_9x_10" localSheetId="63">'310'!$O$58</definedName>
    <definedName name="OSRRefE21_9x_10" localSheetId="70">'310 &amp; 491'!$O$63</definedName>
    <definedName name="OSRRefE21_9x_10" localSheetId="54">'311'!$O$71:$O$72</definedName>
    <definedName name="OSRRefE21_9x_10" localSheetId="57">'315'!$O$74</definedName>
    <definedName name="OSRRefE21_9x_10" localSheetId="60">'316'!$O$64</definedName>
    <definedName name="OSRRefE21_9x_10" localSheetId="62">'317'!$O$70</definedName>
    <definedName name="OSRRefE21_9x_10" localSheetId="66">'321'!$O$57:$O$58</definedName>
    <definedName name="OSRRefE21_9x_10" localSheetId="67">'325'!$O$58</definedName>
    <definedName name="OSRRefE21_9x_10" localSheetId="58">'326'!$O$59</definedName>
    <definedName name="OSRRefE21_9x_10" localSheetId="51">'330'!$O$58</definedName>
    <definedName name="OSRRefE21_9x_10" localSheetId="56">'331'!$O$75</definedName>
    <definedName name="OSRRefE21_9x_10" localSheetId="59">'332'!$O$64</definedName>
    <definedName name="OSRRefE21_9x_10" localSheetId="72">'405'!$O$59:$O$61</definedName>
    <definedName name="OSRRefE21_9x_10" localSheetId="73">'411'!$O$58</definedName>
    <definedName name="OSRRefE21_9x_10" localSheetId="76">'415'!$O$62</definedName>
    <definedName name="OSRRefE21_9x_10" localSheetId="77">'418'!$O$60:$O$62</definedName>
    <definedName name="OSRRefE21_9x_10" localSheetId="84">'433'!$O$57</definedName>
    <definedName name="OSRRefE21_9x_10" localSheetId="85">'444'!$O$62</definedName>
    <definedName name="OSRRefE21_9x_10" localSheetId="86">'450'!$O$57</definedName>
    <definedName name="OSRRefE21_9x_10" localSheetId="71">'491'!$O$63</definedName>
    <definedName name="OSRRefE21_9x_10" localSheetId="82">'492'!$O$62</definedName>
    <definedName name="OSRRefE21_9x_10" localSheetId="88">'501'!$O$55:$O$57</definedName>
    <definedName name="OSRRefE21_9x_10" localSheetId="39">'Div 2'!$O$57</definedName>
    <definedName name="OSRRefE21_9x_10" localSheetId="41">'Div 3'!$O$84</definedName>
    <definedName name="OSRRefE21_9x_10" localSheetId="69">'Div 4'!$O$65:$O$66</definedName>
    <definedName name="OSRRefE21_9x_10" localSheetId="87">'Div 5'!$O$55:$O$57</definedName>
    <definedName name="OSRRefE21_9x_10" localSheetId="61">'Div 6'!$O$70</definedName>
    <definedName name="OSRRefE21_9x_10" localSheetId="2">Summary!$O$95</definedName>
    <definedName name="OSRRefE21_9x_2" localSheetId="42">'201'!$G$54:$G$56</definedName>
    <definedName name="OSRRefE21_9x_2" localSheetId="43">'202'!$G$56</definedName>
    <definedName name="OSRRefE21_9x_2" localSheetId="44">'203'!$G$57</definedName>
    <definedName name="OSRRefE21_9x_2" localSheetId="48">'300'!$G$83</definedName>
    <definedName name="OSRRefE21_9x_2" localSheetId="49">'300 &amp; 317'!$G$89</definedName>
    <definedName name="OSRRefE21_9x_2" localSheetId="50">'301'!$G$56</definedName>
    <definedName name="OSRRefE21_9x_2" localSheetId="52">'307'!$G$58</definedName>
    <definedName name="OSRRefE21_9x_2" localSheetId="53">'308'!$G$71:$G$72</definedName>
    <definedName name="OSRRefE21_9x_2" localSheetId="63">'310'!$G$58</definedName>
    <definedName name="OSRRefE21_9x_2" localSheetId="70">'310 &amp; 491'!$G$63</definedName>
    <definedName name="OSRRefE21_9x_2" localSheetId="54">'311'!$G$71:$G$72</definedName>
    <definedName name="OSRRefE21_9x_2" localSheetId="57">'315'!$G$74</definedName>
    <definedName name="OSRRefE21_9x_2" localSheetId="60">'316'!$G$64</definedName>
    <definedName name="OSRRefE21_9x_2" localSheetId="62">'317'!$G$70</definedName>
    <definedName name="OSRRefE21_9x_2" localSheetId="66">'321'!$G$57:$G$58</definedName>
    <definedName name="OSRRefE21_9x_2" localSheetId="67">'325'!$G$58</definedName>
    <definedName name="OSRRefE21_9x_2" localSheetId="58">'326'!$G$59</definedName>
    <definedName name="OSRRefE21_9x_2" localSheetId="51">'330'!$G$58</definedName>
    <definedName name="OSRRefE21_9x_2" localSheetId="56">'331'!$G$75</definedName>
    <definedName name="OSRRefE21_9x_2" localSheetId="59">'332'!$G$64</definedName>
    <definedName name="OSRRefE21_9x_2" localSheetId="72">'405'!$G$59:$G$61</definedName>
    <definedName name="OSRRefE21_9x_2" localSheetId="73">'411'!$G$58</definedName>
    <definedName name="OSRRefE21_9x_2" localSheetId="76">'415'!$G$62</definedName>
    <definedName name="OSRRefE21_9x_2" localSheetId="77">'418'!$G$60:$G$62</definedName>
    <definedName name="OSRRefE21_9x_2" localSheetId="84">'433'!$G$57</definedName>
    <definedName name="OSRRefE21_9x_2" localSheetId="85">'444'!$G$62</definedName>
    <definedName name="OSRRefE21_9x_2" localSheetId="86">'450'!$G$57</definedName>
    <definedName name="OSRRefE21_9x_2" localSheetId="71">'491'!$G$63</definedName>
    <definedName name="OSRRefE21_9x_2" localSheetId="82">'492'!$G$62</definedName>
    <definedName name="OSRRefE21_9x_2" localSheetId="88">'501'!$G$55:$G$57</definedName>
    <definedName name="OSRRefE21_9x_2" localSheetId="39">'Div 2'!$G$57</definedName>
    <definedName name="OSRRefE21_9x_2" localSheetId="41">'Div 3'!$G$84</definedName>
    <definedName name="OSRRefE21_9x_2" localSheetId="69">'Div 4'!$G$65:$G$66</definedName>
    <definedName name="OSRRefE21_9x_2" localSheetId="87">'Div 5'!$G$55:$G$57</definedName>
    <definedName name="OSRRefE21_9x_2" localSheetId="61">'Div 6'!$G$70</definedName>
    <definedName name="OSRRefE21_9x_2" localSheetId="2">Summary!$G$95</definedName>
    <definedName name="OSRRefE21_9x_3" localSheetId="42">'201'!$H$54:$H$56</definedName>
    <definedName name="OSRRefE21_9x_3" localSheetId="43">'202'!$H$56</definedName>
    <definedName name="OSRRefE21_9x_3" localSheetId="44">'203'!$H$57</definedName>
    <definedName name="OSRRefE21_9x_3" localSheetId="48">'300'!$H$83</definedName>
    <definedName name="OSRRefE21_9x_3" localSheetId="49">'300 &amp; 317'!$H$89</definedName>
    <definedName name="OSRRefE21_9x_3" localSheetId="50">'301'!$H$56</definedName>
    <definedName name="OSRRefE21_9x_3" localSheetId="52">'307'!$H$58</definedName>
    <definedName name="OSRRefE21_9x_3" localSheetId="53">'308'!$H$71:$H$72</definedName>
    <definedName name="OSRRefE21_9x_3" localSheetId="63">'310'!$H$58</definedName>
    <definedName name="OSRRefE21_9x_3" localSheetId="70">'310 &amp; 491'!$H$63</definedName>
    <definedName name="OSRRefE21_9x_3" localSheetId="54">'311'!$H$71:$H$72</definedName>
    <definedName name="OSRRefE21_9x_3" localSheetId="57">'315'!$H$74</definedName>
    <definedName name="OSRRefE21_9x_3" localSheetId="60">'316'!$H$64</definedName>
    <definedName name="OSRRefE21_9x_3" localSheetId="62">'317'!$H$70</definedName>
    <definedName name="OSRRefE21_9x_3" localSheetId="66">'321'!$H$57:$H$58</definedName>
    <definedName name="OSRRefE21_9x_3" localSheetId="67">'325'!$H$58</definedName>
    <definedName name="OSRRefE21_9x_3" localSheetId="58">'326'!$H$59</definedName>
    <definedName name="OSRRefE21_9x_3" localSheetId="51">'330'!$H$58</definedName>
    <definedName name="OSRRefE21_9x_3" localSheetId="56">'331'!$H$75</definedName>
    <definedName name="OSRRefE21_9x_3" localSheetId="59">'332'!$H$64</definedName>
    <definedName name="OSRRefE21_9x_3" localSheetId="72">'405'!$H$59:$H$61</definedName>
    <definedName name="OSRRefE21_9x_3" localSheetId="73">'411'!$H$58</definedName>
    <definedName name="OSRRefE21_9x_3" localSheetId="76">'415'!$H$62</definedName>
    <definedName name="OSRRefE21_9x_3" localSheetId="77">'418'!$H$60:$H$62</definedName>
    <definedName name="OSRRefE21_9x_3" localSheetId="84">'433'!$H$57</definedName>
    <definedName name="OSRRefE21_9x_3" localSheetId="85">'444'!$H$62</definedName>
    <definedName name="OSRRefE21_9x_3" localSheetId="86">'450'!$H$57</definedName>
    <definedName name="OSRRefE21_9x_3" localSheetId="71">'491'!$H$63</definedName>
    <definedName name="OSRRefE21_9x_3" localSheetId="82">'492'!$H$62</definedName>
    <definedName name="OSRRefE21_9x_3" localSheetId="88">'501'!$H$55:$H$57</definedName>
    <definedName name="OSRRefE21_9x_3" localSheetId="39">'Div 2'!$H$57</definedName>
    <definedName name="OSRRefE21_9x_3" localSheetId="41">'Div 3'!$H$84</definedName>
    <definedName name="OSRRefE21_9x_3" localSheetId="69">'Div 4'!$H$65:$H$66</definedName>
    <definedName name="OSRRefE21_9x_3" localSheetId="87">'Div 5'!$H$55:$H$57</definedName>
    <definedName name="OSRRefE21_9x_3" localSheetId="61">'Div 6'!$H$70</definedName>
    <definedName name="OSRRefE21_9x_3" localSheetId="2">Summary!$H$95</definedName>
    <definedName name="OSRRefE21_9x_4" localSheetId="42">'201'!$I$54:$I$56</definedName>
    <definedName name="OSRRefE21_9x_4" localSheetId="43">'202'!$I$56</definedName>
    <definedName name="OSRRefE21_9x_4" localSheetId="44">'203'!$I$57</definedName>
    <definedName name="OSRRefE21_9x_4" localSheetId="48">'300'!$I$83</definedName>
    <definedName name="OSRRefE21_9x_4" localSheetId="49">'300 &amp; 317'!$I$89</definedName>
    <definedName name="OSRRefE21_9x_4" localSheetId="50">'301'!$I$56</definedName>
    <definedName name="OSRRefE21_9x_4" localSheetId="52">'307'!$I$58</definedName>
    <definedName name="OSRRefE21_9x_4" localSheetId="53">'308'!$I$71:$I$72</definedName>
    <definedName name="OSRRefE21_9x_4" localSheetId="63">'310'!$I$58</definedName>
    <definedName name="OSRRefE21_9x_4" localSheetId="70">'310 &amp; 491'!$I$63</definedName>
    <definedName name="OSRRefE21_9x_4" localSheetId="54">'311'!$I$71:$I$72</definedName>
    <definedName name="OSRRefE21_9x_4" localSheetId="57">'315'!$I$74</definedName>
    <definedName name="OSRRefE21_9x_4" localSheetId="60">'316'!$I$64</definedName>
    <definedName name="OSRRefE21_9x_4" localSheetId="62">'317'!$I$70</definedName>
    <definedName name="OSRRefE21_9x_4" localSheetId="66">'321'!$I$57:$I$58</definedName>
    <definedName name="OSRRefE21_9x_4" localSheetId="67">'325'!$I$58</definedName>
    <definedName name="OSRRefE21_9x_4" localSheetId="58">'326'!$I$59</definedName>
    <definedName name="OSRRefE21_9x_4" localSheetId="51">'330'!$I$58</definedName>
    <definedName name="OSRRefE21_9x_4" localSheetId="56">'331'!$I$75</definedName>
    <definedName name="OSRRefE21_9x_4" localSheetId="59">'332'!$I$64</definedName>
    <definedName name="OSRRefE21_9x_4" localSheetId="72">'405'!$I$59:$I$61</definedName>
    <definedName name="OSRRefE21_9x_4" localSheetId="73">'411'!$I$58</definedName>
    <definedName name="OSRRefE21_9x_4" localSheetId="76">'415'!$I$62</definedName>
    <definedName name="OSRRefE21_9x_4" localSheetId="77">'418'!$I$60:$I$62</definedName>
    <definedName name="OSRRefE21_9x_4" localSheetId="84">'433'!$I$57</definedName>
    <definedName name="OSRRefE21_9x_4" localSheetId="85">'444'!$I$62</definedName>
    <definedName name="OSRRefE21_9x_4" localSheetId="86">'450'!$I$57</definedName>
    <definedName name="OSRRefE21_9x_4" localSheetId="71">'491'!$I$63</definedName>
    <definedName name="OSRRefE21_9x_4" localSheetId="82">'492'!$I$62</definedName>
    <definedName name="OSRRefE21_9x_4" localSheetId="88">'501'!$I$55:$I$57</definedName>
    <definedName name="OSRRefE21_9x_4" localSheetId="39">'Div 2'!$I$57</definedName>
    <definedName name="OSRRefE21_9x_4" localSheetId="41">'Div 3'!$I$84</definedName>
    <definedName name="OSRRefE21_9x_4" localSheetId="69">'Div 4'!$I$65:$I$66</definedName>
    <definedName name="OSRRefE21_9x_4" localSheetId="87">'Div 5'!$I$55:$I$57</definedName>
    <definedName name="OSRRefE21_9x_4" localSheetId="61">'Div 6'!$I$70</definedName>
    <definedName name="OSRRefE21_9x_4" localSheetId="2">Summary!$I$95</definedName>
    <definedName name="OSRRefE21_9x_5" localSheetId="42">'201'!$J$54:$J$56</definedName>
    <definedName name="OSRRefE21_9x_5" localSheetId="43">'202'!$J$56</definedName>
    <definedName name="OSRRefE21_9x_5" localSheetId="44">'203'!$J$57</definedName>
    <definedName name="OSRRefE21_9x_5" localSheetId="48">'300'!$J$83</definedName>
    <definedName name="OSRRefE21_9x_5" localSheetId="49">'300 &amp; 317'!$J$89</definedName>
    <definedName name="OSRRefE21_9x_5" localSheetId="50">'301'!$J$56</definedName>
    <definedName name="OSRRefE21_9x_5" localSheetId="52">'307'!$J$58</definedName>
    <definedName name="OSRRefE21_9x_5" localSheetId="53">'308'!$J$71:$J$72</definedName>
    <definedName name="OSRRefE21_9x_5" localSheetId="63">'310'!$J$58</definedName>
    <definedName name="OSRRefE21_9x_5" localSheetId="70">'310 &amp; 491'!$J$63</definedName>
    <definedName name="OSRRefE21_9x_5" localSheetId="54">'311'!$J$71:$J$72</definedName>
    <definedName name="OSRRefE21_9x_5" localSheetId="57">'315'!$J$74</definedName>
    <definedName name="OSRRefE21_9x_5" localSheetId="60">'316'!$J$64</definedName>
    <definedName name="OSRRefE21_9x_5" localSheetId="62">'317'!$J$70</definedName>
    <definedName name="OSRRefE21_9x_5" localSheetId="66">'321'!$J$57:$J$58</definedName>
    <definedName name="OSRRefE21_9x_5" localSheetId="67">'325'!$J$58</definedName>
    <definedName name="OSRRefE21_9x_5" localSheetId="58">'326'!$J$59</definedName>
    <definedName name="OSRRefE21_9x_5" localSheetId="51">'330'!$J$58</definedName>
    <definedName name="OSRRefE21_9x_5" localSheetId="56">'331'!$J$75</definedName>
    <definedName name="OSRRefE21_9x_5" localSheetId="59">'332'!$J$64</definedName>
    <definedName name="OSRRefE21_9x_5" localSheetId="72">'405'!$J$59:$J$61</definedName>
    <definedName name="OSRRefE21_9x_5" localSheetId="73">'411'!$J$58</definedName>
    <definedName name="OSRRefE21_9x_5" localSheetId="76">'415'!$J$62</definedName>
    <definedName name="OSRRefE21_9x_5" localSheetId="77">'418'!$J$60:$J$62</definedName>
    <definedName name="OSRRefE21_9x_5" localSheetId="84">'433'!$J$57</definedName>
    <definedName name="OSRRefE21_9x_5" localSheetId="85">'444'!$J$62</definedName>
    <definedName name="OSRRefE21_9x_5" localSheetId="86">'450'!$J$57</definedName>
    <definedName name="OSRRefE21_9x_5" localSheetId="71">'491'!$J$63</definedName>
    <definedName name="OSRRefE21_9x_5" localSheetId="82">'492'!$J$62</definedName>
    <definedName name="OSRRefE21_9x_5" localSheetId="88">'501'!$J$55:$J$57</definedName>
    <definedName name="OSRRefE21_9x_5" localSheetId="39">'Div 2'!$J$57</definedName>
    <definedName name="OSRRefE21_9x_5" localSheetId="41">'Div 3'!$J$84</definedName>
    <definedName name="OSRRefE21_9x_5" localSheetId="69">'Div 4'!$J$65:$J$66</definedName>
    <definedName name="OSRRefE21_9x_5" localSheetId="87">'Div 5'!$J$55:$J$57</definedName>
    <definedName name="OSRRefE21_9x_5" localSheetId="61">'Div 6'!$J$70</definedName>
    <definedName name="OSRRefE21_9x_5" localSheetId="2">Summary!$J$95</definedName>
    <definedName name="OSRRefE21_9x_6" localSheetId="42">'201'!$K$54:$K$56</definedName>
    <definedName name="OSRRefE21_9x_6" localSheetId="43">'202'!$K$56</definedName>
    <definedName name="OSRRefE21_9x_6" localSheetId="44">'203'!$K$57</definedName>
    <definedName name="OSRRefE21_9x_6" localSheetId="48">'300'!$K$83</definedName>
    <definedName name="OSRRefE21_9x_6" localSheetId="49">'300 &amp; 317'!$K$89</definedName>
    <definedName name="OSRRefE21_9x_6" localSheetId="50">'301'!$K$56</definedName>
    <definedName name="OSRRefE21_9x_6" localSheetId="52">'307'!$K$58</definedName>
    <definedName name="OSRRefE21_9x_6" localSheetId="53">'308'!$K$71:$K$72</definedName>
    <definedName name="OSRRefE21_9x_6" localSheetId="63">'310'!$K$58</definedName>
    <definedName name="OSRRefE21_9x_6" localSheetId="70">'310 &amp; 491'!$K$63</definedName>
    <definedName name="OSRRefE21_9x_6" localSheetId="54">'311'!$K$71:$K$72</definedName>
    <definedName name="OSRRefE21_9x_6" localSheetId="57">'315'!$K$74</definedName>
    <definedName name="OSRRefE21_9x_6" localSheetId="60">'316'!$K$64</definedName>
    <definedName name="OSRRefE21_9x_6" localSheetId="62">'317'!$K$70</definedName>
    <definedName name="OSRRefE21_9x_6" localSheetId="66">'321'!$K$57:$K$58</definedName>
    <definedName name="OSRRefE21_9x_6" localSheetId="67">'325'!$K$58</definedName>
    <definedName name="OSRRefE21_9x_6" localSheetId="58">'326'!$K$59</definedName>
    <definedName name="OSRRefE21_9x_6" localSheetId="51">'330'!$K$58</definedName>
    <definedName name="OSRRefE21_9x_6" localSheetId="56">'331'!$K$75</definedName>
    <definedName name="OSRRefE21_9x_6" localSheetId="59">'332'!$K$64</definedName>
    <definedName name="OSRRefE21_9x_6" localSheetId="72">'405'!$K$59:$K$61</definedName>
    <definedName name="OSRRefE21_9x_6" localSheetId="73">'411'!$K$58</definedName>
    <definedName name="OSRRefE21_9x_6" localSheetId="76">'415'!$K$62</definedName>
    <definedName name="OSRRefE21_9x_6" localSheetId="77">'418'!$K$60:$K$62</definedName>
    <definedName name="OSRRefE21_9x_6" localSheetId="84">'433'!$K$57</definedName>
    <definedName name="OSRRefE21_9x_6" localSheetId="85">'444'!$K$62</definedName>
    <definedName name="OSRRefE21_9x_6" localSheetId="86">'450'!$K$57</definedName>
    <definedName name="OSRRefE21_9x_6" localSheetId="71">'491'!$K$63</definedName>
    <definedName name="OSRRefE21_9x_6" localSheetId="82">'492'!$K$62</definedName>
    <definedName name="OSRRefE21_9x_6" localSheetId="88">'501'!$K$55:$K$57</definedName>
    <definedName name="OSRRefE21_9x_6" localSheetId="39">'Div 2'!$K$57</definedName>
    <definedName name="OSRRefE21_9x_6" localSheetId="41">'Div 3'!$K$84</definedName>
    <definedName name="OSRRefE21_9x_6" localSheetId="69">'Div 4'!$K$65:$K$66</definedName>
    <definedName name="OSRRefE21_9x_6" localSheetId="87">'Div 5'!$K$55:$K$57</definedName>
    <definedName name="OSRRefE21_9x_6" localSheetId="61">'Div 6'!$K$70</definedName>
    <definedName name="OSRRefE21_9x_6" localSheetId="2">Summary!$K$95</definedName>
    <definedName name="OSRRefE21_9x_7" localSheetId="42">'201'!$L$54:$L$56</definedName>
    <definedName name="OSRRefE21_9x_7" localSheetId="43">'202'!$L$56</definedName>
    <definedName name="OSRRefE21_9x_7" localSheetId="44">'203'!$L$57</definedName>
    <definedName name="OSRRefE21_9x_7" localSheetId="48">'300'!$L$83</definedName>
    <definedName name="OSRRefE21_9x_7" localSheetId="49">'300 &amp; 317'!$L$89</definedName>
    <definedName name="OSRRefE21_9x_7" localSheetId="50">'301'!$L$56</definedName>
    <definedName name="OSRRefE21_9x_7" localSheetId="52">'307'!$L$58</definedName>
    <definedName name="OSRRefE21_9x_7" localSheetId="53">'308'!$L$71:$L$72</definedName>
    <definedName name="OSRRefE21_9x_7" localSheetId="63">'310'!$L$58</definedName>
    <definedName name="OSRRefE21_9x_7" localSheetId="70">'310 &amp; 491'!$L$63</definedName>
    <definedName name="OSRRefE21_9x_7" localSheetId="54">'311'!$L$71:$L$72</definedName>
    <definedName name="OSRRefE21_9x_7" localSheetId="57">'315'!$L$74</definedName>
    <definedName name="OSRRefE21_9x_7" localSheetId="60">'316'!$L$64</definedName>
    <definedName name="OSRRefE21_9x_7" localSheetId="62">'317'!$L$70</definedName>
    <definedName name="OSRRefE21_9x_7" localSheetId="66">'321'!$L$57:$L$58</definedName>
    <definedName name="OSRRefE21_9x_7" localSheetId="67">'325'!$L$58</definedName>
    <definedName name="OSRRefE21_9x_7" localSheetId="58">'326'!$L$59</definedName>
    <definedName name="OSRRefE21_9x_7" localSheetId="51">'330'!$L$58</definedName>
    <definedName name="OSRRefE21_9x_7" localSheetId="56">'331'!$L$75</definedName>
    <definedName name="OSRRefE21_9x_7" localSheetId="59">'332'!$L$64</definedName>
    <definedName name="OSRRefE21_9x_7" localSheetId="72">'405'!$L$59:$L$61</definedName>
    <definedName name="OSRRefE21_9x_7" localSheetId="73">'411'!$L$58</definedName>
    <definedName name="OSRRefE21_9x_7" localSheetId="76">'415'!$L$62</definedName>
    <definedName name="OSRRefE21_9x_7" localSheetId="77">'418'!$L$60:$L$62</definedName>
    <definedName name="OSRRefE21_9x_7" localSheetId="84">'433'!$L$57</definedName>
    <definedName name="OSRRefE21_9x_7" localSheetId="85">'444'!$L$62</definedName>
    <definedName name="OSRRefE21_9x_7" localSheetId="86">'450'!$L$57</definedName>
    <definedName name="OSRRefE21_9x_7" localSheetId="71">'491'!$L$63</definedName>
    <definedName name="OSRRefE21_9x_7" localSheetId="82">'492'!$L$62</definedName>
    <definedName name="OSRRefE21_9x_7" localSheetId="88">'501'!$L$55:$L$57</definedName>
    <definedName name="OSRRefE21_9x_7" localSheetId="39">'Div 2'!$L$57</definedName>
    <definedName name="OSRRefE21_9x_7" localSheetId="41">'Div 3'!$L$84</definedName>
    <definedName name="OSRRefE21_9x_7" localSheetId="69">'Div 4'!$L$65:$L$66</definedName>
    <definedName name="OSRRefE21_9x_7" localSheetId="87">'Div 5'!$L$55:$L$57</definedName>
    <definedName name="OSRRefE21_9x_7" localSheetId="61">'Div 6'!$L$70</definedName>
    <definedName name="OSRRefE21_9x_7" localSheetId="2">Summary!$L$95</definedName>
    <definedName name="OSRRefE21_9x_8" localSheetId="42">'201'!$M$54:$M$56</definedName>
    <definedName name="OSRRefE21_9x_8" localSheetId="43">'202'!$M$56</definedName>
    <definedName name="OSRRefE21_9x_8" localSheetId="44">'203'!$M$57</definedName>
    <definedName name="OSRRefE21_9x_8" localSheetId="48">'300'!$M$83</definedName>
    <definedName name="OSRRefE21_9x_8" localSheetId="49">'300 &amp; 317'!$M$89</definedName>
    <definedName name="OSRRefE21_9x_8" localSheetId="50">'301'!$M$56</definedName>
    <definedName name="OSRRefE21_9x_8" localSheetId="52">'307'!$M$58</definedName>
    <definedName name="OSRRefE21_9x_8" localSheetId="53">'308'!$M$71:$M$72</definedName>
    <definedName name="OSRRefE21_9x_8" localSheetId="63">'310'!$M$58</definedName>
    <definedName name="OSRRefE21_9x_8" localSheetId="70">'310 &amp; 491'!$M$63</definedName>
    <definedName name="OSRRefE21_9x_8" localSheetId="54">'311'!$M$71:$M$72</definedName>
    <definedName name="OSRRefE21_9x_8" localSheetId="57">'315'!$M$74</definedName>
    <definedName name="OSRRefE21_9x_8" localSheetId="60">'316'!$M$64</definedName>
    <definedName name="OSRRefE21_9x_8" localSheetId="62">'317'!$M$70</definedName>
    <definedName name="OSRRefE21_9x_8" localSheetId="66">'321'!$M$57:$M$58</definedName>
    <definedName name="OSRRefE21_9x_8" localSheetId="67">'325'!$M$58</definedName>
    <definedName name="OSRRefE21_9x_8" localSheetId="58">'326'!$M$59</definedName>
    <definedName name="OSRRefE21_9x_8" localSheetId="51">'330'!$M$58</definedName>
    <definedName name="OSRRefE21_9x_8" localSheetId="56">'331'!$M$75</definedName>
    <definedName name="OSRRefE21_9x_8" localSheetId="59">'332'!$M$64</definedName>
    <definedName name="OSRRefE21_9x_8" localSheetId="72">'405'!$M$59:$M$61</definedName>
    <definedName name="OSRRefE21_9x_8" localSheetId="73">'411'!$M$58</definedName>
    <definedName name="OSRRefE21_9x_8" localSheetId="76">'415'!$M$62</definedName>
    <definedName name="OSRRefE21_9x_8" localSheetId="77">'418'!$M$60:$M$62</definedName>
    <definedName name="OSRRefE21_9x_8" localSheetId="84">'433'!$M$57</definedName>
    <definedName name="OSRRefE21_9x_8" localSheetId="85">'444'!$M$62</definedName>
    <definedName name="OSRRefE21_9x_8" localSheetId="86">'450'!$M$57</definedName>
    <definedName name="OSRRefE21_9x_8" localSheetId="71">'491'!$M$63</definedName>
    <definedName name="OSRRefE21_9x_8" localSheetId="82">'492'!$M$62</definedName>
    <definedName name="OSRRefE21_9x_8" localSheetId="88">'501'!$M$55:$M$57</definedName>
    <definedName name="OSRRefE21_9x_8" localSheetId="39">'Div 2'!$M$57</definedName>
    <definedName name="OSRRefE21_9x_8" localSheetId="41">'Div 3'!$M$84</definedName>
    <definedName name="OSRRefE21_9x_8" localSheetId="69">'Div 4'!$M$65:$M$66</definedName>
    <definedName name="OSRRefE21_9x_8" localSheetId="87">'Div 5'!$M$55:$M$57</definedName>
    <definedName name="OSRRefE21_9x_8" localSheetId="61">'Div 6'!$M$70</definedName>
    <definedName name="OSRRefE21_9x_8" localSheetId="2">Summary!$M$95</definedName>
    <definedName name="OSRRefE21_9x_9" localSheetId="42">'201'!$N$54:$N$56</definedName>
    <definedName name="OSRRefE21_9x_9" localSheetId="43">'202'!$N$56</definedName>
    <definedName name="OSRRefE21_9x_9" localSheetId="44">'203'!$N$57</definedName>
    <definedName name="OSRRefE21_9x_9" localSheetId="48">'300'!$N$83</definedName>
    <definedName name="OSRRefE21_9x_9" localSheetId="49">'300 &amp; 317'!$N$89</definedName>
    <definedName name="OSRRefE21_9x_9" localSheetId="50">'301'!$N$56</definedName>
    <definedName name="OSRRefE21_9x_9" localSheetId="52">'307'!$N$58</definedName>
    <definedName name="OSRRefE21_9x_9" localSheetId="53">'308'!$N$71:$N$72</definedName>
    <definedName name="OSRRefE21_9x_9" localSheetId="63">'310'!$N$58</definedName>
    <definedName name="OSRRefE21_9x_9" localSheetId="70">'310 &amp; 491'!$N$63</definedName>
    <definedName name="OSRRefE21_9x_9" localSheetId="54">'311'!$N$71:$N$72</definedName>
    <definedName name="OSRRefE21_9x_9" localSheetId="57">'315'!$N$74</definedName>
    <definedName name="OSRRefE21_9x_9" localSheetId="60">'316'!$N$64</definedName>
    <definedName name="OSRRefE21_9x_9" localSheetId="62">'317'!$N$70</definedName>
    <definedName name="OSRRefE21_9x_9" localSheetId="66">'321'!$N$57:$N$58</definedName>
    <definedName name="OSRRefE21_9x_9" localSheetId="67">'325'!$N$58</definedName>
    <definedName name="OSRRefE21_9x_9" localSheetId="58">'326'!$N$59</definedName>
    <definedName name="OSRRefE21_9x_9" localSheetId="51">'330'!$N$58</definedName>
    <definedName name="OSRRefE21_9x_9" localSheetId="56">'331'!$N$75</definedName>
    <definedName name="OSRRefE21_9x_9" localSheetId="59">'332'!$N$64</definedName>
    <definedName name="OSRRefE21_9x_9" localSheetId="72">'405'!$N$59:$N$61</definedName>
    <definedName name="OSRRefE21_9x_9" localSheetId="73">'411'!$N$58</definedName>
    <definedName name="OSRRefE21_9x_9" localSheetId="76">'415'!$N$62</definedName>
    <definedName name="OSRRefE21_9x_9" localSheetId="77">'418'!$N$60:$N$62</definedName>
    <definedName name="OSRRefE21_9x_9" localSheetId="84">'433'!$N$57</definedName>
    <definedName name="OSRRefE21_9x_9" localSheetId="85">'444'!$N$62</definedName>
    <definedName name="OSRRefE21_9x_9" localSheetId="86">'450'!$N$57</definedName>
    <definedName name="OSRRefE21_9x_9" localSheetId="71">'491'!$N$63</definedName>
    <definedName name="OSRRefE21_9x_9" localSheetId="82">'492'!$N$62</definedName>
    <definedName name="OSRRefE21_9x_9" localSheetId="88">'501'!$N$55:$N$57</definedName>
    <definedName name="OSRRefE21_9x_9" localSheetId="39">'Div 2'!$N$57</definedName>
    <definedName name="OSRRefE21_9x_9" localSheetId="41">'Div 3'!$N$84</definedName>
    <definedName name="OSRRefE21_9x_9" localSheetId="69">'Div 4'!$N$65:$N$66</definedName>
    <definedName name="OSRRefE21_9x_9" localSheetId="87">'Div 5'!$N$55:$N$57</definedName>
    <definedName name="OSRRefE21_9x_9" localSheetId="61">'Div 6'!$N$70</definedName>
    <definedName name="OSRRefE21_9x_9" localSheetId="2">Summary!$N$95</definedName>
    <definedName name="OSRRefE23_0x" localSheetId="38">'100'!$E$19:$O$19</definedName>
    <definedName name="OSRRefE23_0x" localSheetId="40">'200'!$E$28:$O$28</definedName>
    <definedName name="OSRRefE23_0x" localSheetId="42">'201'!$E$71:$O$71</definedName>
    <definedName name="OSRRefE23_0x" localSheetId="43">'202'!$E$62:$O$62</definedName>
    <definedName name="OSRRefE23_0x" localSheetId="44">'203'!$E$72:$O$72</definedName>
    <definedName name="OSRRefE23_0x" localSheetId="45">'204'!$E$59:$O$59</definedName>
    <definedName name="OSRRefE23_0x" localSheetId="46">'205'!$E$54:$O$54</definedName>
    <definedName name="OSRRefE23_0x" localSheetId="47">'206'!$E$49:$O$49</definedName>
    <definedName name="OSRRefE23_0x" localSheetId="48">'300'!$E$135:$O$135</definedName>
    <definedName name="OSRRefE23_0x" localSheetId="49">'300 &amp; 317'!$E$141:$O$141</definedName>
    <definedName name="OSRRefE23_0x" localSheetId="50">'301'!$E$88:$O$88</definedName>
    <definedName name="OSRRefE23_0x" localSheetId="52">'307'!$E$60:$O$60</definedName>
    <definedName name="OSRRefE23_0x" localSheetId="53">'308'!$E$82:$O$82</definedName>
    <definedName name="OSRRefE23_0x" localSheetId="64">'309'!$E$25:$O$25</definedName>
    <definedName name="OSRRefE23_0x" localSheetId="63">'310'!$E$84:$O$84</definedName>
    <definedName name="OSRRefE23_0x" localSheetId="70">'310 &amp; 491'!$E$104:$O$104</definedName>
    <definedName name="OSRRefE23_0x" localSheetId="54">'311'!$E$82:$O$82</definedName>
    <definedName name="OSRRefE23_0x" localSheetId="65">'313'!$E$21:$O$21</definedName>
    <definedName name="OSRRefE23_0x" localSheetId="57">'315'!$E$93:$O$93</definedName>
    <definedName name="OSRRefE23_0x" localSheetId="60">'316'!$E$66:$O$66</definedName>
    <definedName name="OSRRefE23_0x" localSheetId="62">'317'!$E$72:$O$72</definedName>
    <definedName name="OSRRefE23_0x" localSheetId="66">'321'!$E$64:$O$64</definedName>
    <definedName name="OSRRefE23_0x" localSheetId="55">'324'!$E$22:$O$22</definedName>
    <definedName name="OSRRefE23_0x" localSheetId="67">'325'!$E$77:$O$77</definedName>
    <definedName name="OSRRefE23_0x" localSheetId="58">'326'!$E$81:$O$81</definedName>
    <definedName name="OSRRefE23_0x" localSheetId="68">'327'!$E$23:$O$23</definedName>
    <definedName name="OSRRefE23_0x" localSheetId="51">'330'!$E$60:$O$60</definedName>
    <definedName name="OSRRefE23_0x" localSheetId="56">'331'!$E$106:$O$106</definedName>
    <definedName name="OSRRefE23_0x" localSheetId="59">'332'!$E$66:$O$66</definedName>
    <definedName name="OSRRefE23_0x" localSheetId="72">'405'!$E$81:$O$81</definedName>
    <definedName name="OSRRefE23_0x" localSheetId="73">'411'!$E$66:$O$66</definedName>
    <definedName name="OSRRefE23_0x" localSheetId="74">'412'!$E$23:$O$23</definedName>
    <definedName name="OSRRefE23_0x" localSheetId="75">'413'!$E$21:$O$21</definedName>
    <definedName name="OSRRefE23_0x" localSheetId="76">'415'!$E$90:$O$90</definedName>
    <definedName name="OSRRefE23_0x" localSheetId="77">'418'!$E$83:$O$83</definedName>
    <definedName name="OSRRefE23_0x" localSheetId="78">'423'!$E$43:$O$43</definedName>
    <definedName name="OSRRefE23_0x" localSheetId="79">'424'!$E$21:$O$21</definedName>
    <definedName name="OSRRefE23_0x" localSheetId="80">'425'!$E$22:$O$22</definedName>
    <definedName name="OSRRefE23_0x" localSheetId="83">'430'!$E$51:$O$51</definedName>
    <definedName name="OSRRefE23_0x" localSheetId="84">'433'!$E$81:$O$81</definedName>
    <definedName name="OSRRefE23_0x" localSheetId="85">'444'!$E$87:$O$87</definedName>
    <definedName name="OSRRefE23_0x" localSheetId="86">'450'!$E$80:$O$80</definedName>
    <definedName name="OSRRefE23_0x" localSheetId="81">'455'!$E$19:$O$19</definedName>
    <definedName name="OSRRefE23_0x" localSheetId="71">'491'!$E$100:$O$100</definedName>
    <definedName name="OSRRefE23_0x" localSheetId="82">'492'!$E$92:$O$92</definedName>
    <definedName name="OSRRefE23_0x" localSheetId="88">'501'!$E$68:$O$68</definedName>
    <definedName name="OSRRefE23_0x" localSheetId="37">'Div 1'!$E$19:$O$19</definedName>
    <definedName name="OSRRefE23_0x" localSheetId="39">'Div 2'!$E$93:$O$93</definedName>
    <definedName name="OSRRefE23_0x" localSheetId="41">'Div 3'!$E$139:$O$139</definedName>
    <definedName name="OSRRefE23_0x" localSheetId="69">'Div 4'!$E$110:$O$110</definedName>
    <definedName name="OSRRefE23_0x" localSheetId="87">'Div 5'!$E$68:$O$68</definedName>
    <definedName name="OSRRefE23_0x" localSheetId="61">'Div 6'!$E$72:$O$72</definedName>
    <definedName name="OSRRefE23_0x" localSheetId="2">Summary!$E$157:$O$157</definedName>
    <definedName name="OSRRefE28_0x" localSheetId="38">'100'!$E$24:$O$24</definedName>
    <definedName name="OSRRefE28_0x" localSheetId="40">'200'!$E$33:$O$33</definedName>
    <definedName name="OSRRefE28_0x" localSheetId="42">'201'!$E$76:$O$76</definedName>
    <definedName name="OSRRefE28_0x" localSheetId="43">'202'!$E$67:$O$67</definedName>
    <definedName name="OSRRefE28_0x" localSheetId="44">'203'!$E$77:$O$77</definedName>
    <definedName name="OSRRefE28_0x" localSheetId="45">'204'!$E$64:$O$64</definedName>
    <definedName name="OSRRefE28_0x" localSheetId="46">'205'!$E$59:$O$59</definedName>
    <definedName name="OSRRefE28_0x" localSheetId="47">'206'!$E$54:$O$54</definedName>
    <definedName name="OSRRefE28_0x" localSheetId="48">'300'!$E$140:$O$140</definedName>
    <definedName name="OSRRefE28_0x" localSheetId="49">'300 &amp; 317'!$E$146:$O$146</definedName>
    <definedName name="OSRRefE28_0x" localSheetId="50">'301'!$E$93:$O$93</definedName>
    <definedName name="OSRRefE28_0x" localSheetId="52">'307'!$E$65:$O$65</definedName>
    <definedName name="OSRRefE28_0x" localSheetId="53">'308'!$E$87:$O$87</definedName>
    <definedName name="OSRRefE28_0x" localSheetId="64">'309'!$E$30:$O$30</definedName>
    <definedName name="OSRRefE28_0x" localSheetId="63">'310'!$E$89:$O$89</definedName>
    <definedName name="OSRRefE28_0x" localSheetId="70">'310 &amp; 491'!$E$109:$O$109</definedName>
    <definedName name="OSRRefE28_0x" localSheetId="54">'311'!$E$87:$O$87</definedName>
    <definedName name="OSRRefE28_0x" localSheetId="65">'313'!$E$26:$O$26</definedName>
    <definedName name="OSRRefE28_0x" localSheetId="57">'315'!$E$98:$O$98</definedName>
    <definedName name="OSRRefE28_0x" localSheetId="60">'316'!$E$71:$O$71</definedName>
    <definedName name="OSRRefE28_0x" localSheetId="62">'317'!$E$77:$O$77</definedName>
    <definedName name="OSRRefE28_0x" localSheetId="66">'321'!$E$69:$O$69</definedName>
    <definedName name="OSRRefE28_0x" localSheetId="55">'324'!$E$27:$O$27</definedName>
    <definedName name="OSRRefE28_0x" localSheetId="67">'325'!$E$82:$O$82</definedName>
    <definedName name="OSRRefE28_0x" localSheetId="58">'326'!$E$86:$O$86</definedName>
    <definedName name="OSRRefE28_0x" localSheetId="68">'327'!$E$28:$O$28</definedName>
    <definedName name="OSRRefE28_0x" localSheetId="51">'330'!$E$65:$O$65</definedName>
    <definedName name="OSRRefE28_0x" localSheetId="56">'331'!$E$111:$O$111</definedName>
    <definedName name="OSRRefE28_0x" localSheetId="59">'332'!$E$71:$O$71</definedName>
    <definedName name="OSRRefE28_0x" localSheetId="72">'405'!$E$86:$O$86</definedName>
    <definedName name="OSRRefE28_0x" localSheetId="73">'411'!$E$71:$O$71</definedName>
    <definedName name="OSRRefE28_0x" localSheetId="74">'412'!$E$28:$O$28</definedName>
    <definedName name="OSRRefE28_0x" localSheetId="75">'413'!$E$26:$O$26</definedName>
    <definedName name="OSRRefE28_0x" localSheetId="76">'415'!$E$95:$O$95</definedName>
    <definedName name="OSRRefE28_0x" localSheetId="77">'418'!$E$88:$O$88</definedName>
    <definedName name="OSRRefE28_0x" localSheetId="78">'423'!$E$48:$O$48</definedName>
    <definedName name="OSRRefE28_0x" localSheetId="79">'424'!$E$26:$O$26</definedName>
    <definedName name="OSRRefE28_0x" localSheetId="80">'425'!$E$27:$O$27</definedName>
    <definedName name="OSRRefE28_0x" localSheetId="83">'430'!$E$56:$O$56</definedName>
    <definedName name="OSRRefE28_0x" localSheetId="84">'433'!$E$86:$O$86</definedName>
    <definedName name="OSRRefE28_0x" localSheetId="85">'444'!$E$92:$O$92</definedName>
    <definedName name="OSRRefE28_0x" localSheetId="86">'450'!$E$85:$O$85</definedName>
    <definedName name="OSRRefE28_0x" localSheetId="81">'455'!$E$24:$O$24</definedName>
    <definedName name="OSRRefE28_0x" localSheetId="71">'491'!$E$105:$O$105</definedName>
    <definedName name="OSRRefE28_0x" localSheetId="82">'492'!$E$97:$O$97</definedName>
    <definedName name="OSRRefE28_0x" localSheetId="88">'501'!$E$73:$O$73</definedName>
    <definedName name="OSRRefE28_0x" localSheetId="41">'Div 3'!$E$144:$O$144</definedName>
    <definedName name="OSRRefE28_0x" localSheetId="69">'Div 4'!$E$115:$O$115</definedName>
    <definedName name="OSRRefE28_0x" localSheetId="87">'Div 5'!$E$73:$O$73</definedName>
    <definedName name="OSRRefE28_0x" localSheetId="61">'Div 6'!$E$77:$O$77</definedName>
    <definedName name="OSRRefE28_0x" localSheetId="2">Summary!$E$162:$O$162</definedName>
    <definedName name="OSRRefE33_0x" localSheetId="38">'100'!$E$29:$O$29</definedName>
    <definedName name="OSRRefE33_0x" localSheetId="37">'Div 1'!$E$28:$O$28</definedName>
    <definedName name="OSRRefE33_0x" localSheetId="2">Summary!$E$167:$O$167</definedName>
    <definedName name="OSRRefE34_0x" localSheetId="38">'100'!$E$30:$O$30</definedName>
    <definedName name="OSRRefE34_0x" localSheetId="37">'Div 1'!$E$29:$O$29</definedName>
    <definedName name="OSRRefE34_0x" localSheetId="2">Summary!$E$168:$O$168</definedName>
    <definedName name="OSRRefG11x" localSheetId="48">'300'!$Q$11:$Q$15</definedName>
    <definedName name="OSRRefG11x" localSheetId="49">'300 &amp; 317'!$Q$11:$Q$15</definedName>
    <definedName name="OSRRefG11x" localSheetId="52">'307'!$Q$11:$Q$12</definedName>
    <definedName name="OSRRefG11x" localSheetId="53">'308'!$Q$11:$Q$14</definedName>
    <definedName name="OSRRefG11x" localSheetId="63">'310'!$Q$11:$Q$12</definedName>
    <definedName name="OSRRefG11x" localSheetId="70">'310 &amp; 491'!$Q$11:$Q$14</definedName>
    <definedName name="OSRRefG11x" localSheetId="54">'311'!$Q$11:$Q$14</definedName>
    <definedName name="OSRRefG11x" localSheetId="57">'315'!$Q$11:$Q$14</definedName>
    <definedName name="OSRRefG11x" localSheetId="60">'316'!$Q$11:$Q$13</definedName>
    <definedName name="OSRRefG11x" localSheetId="62">'317'!$Q$11:$Q$14</definedName>
    <definedName name="OSRRefG11x" localSheetId="66">'321'!$Q$11:$Q$12</definedName>
    <definedName name="OSRRefG11x" localSheetId="55">'324'!$Q$11:$Q$12</definedName>
    <definedName name="OSRRefG11x" localSheetId="67">'325'!$Q$11:$Q$12</definedName>
    <definedName name="OSRRefG11x" localSheetId="58">'326'!$Q$11:$Q$13</definedName>
    <definedName name="OSRRefG11x" localSheetId="68">'327'!$Q$11</definedName>
    <definedName name="OSRRefG11x" localSheetId="51">'330'!$Q$11:$Q$12</definedName>
    <definedName name="OSRRefG11x" localSheetId="56">'331'!$Q$11:$Q$14</definedName>
    <definedName name="OSRRefG11x" localSheetId="59">'332'!$Q$11:$Q$13</definedName>
    <definedName name="OSRRefG11x" localSheetId="72">'405'!$Q$11:$Q$12</definedName>
    <definedName name="OSRRefG11x" localSheetId="76">'415'!$Q$11:$Q$14</definedName>
    <definedName name="OSRRefG11x" localSheetId="77">'418'!$Q$11:$Q$12</definedName>
    <definedName name="OSRRefG11x" localSheetId="84">'433'!$Q$11</definedName>
    <definedName name="OSRRefG11x" localSheetId="85">'444'!$Q$11:$Q$14</definedName>
    <definedName name="OSRRefG11x" localSheetId="86">'450'!$Q$11</definedName>
    <definedName name="OSRRefG11x" localSheetId="71">'491'!$Q$11:$Q$14</definedName>
    <definedName name="OSRRefG11x" localSheetId="82">'492'!$Q$11:$Q$14</definedName>
    <definedName name="OSRRefG11x" localSheetId="88">'501'!$Q$11</definedName>
    <definedName name="OSRRefG11x" localSheetId="41">'Div 3'!$Q$11:$Q$15</definedName>
    <definedName name="OSRRefG11x" localSheetId="69">'Div 4'!$Q$11:$Q$16</definedName>
    <definedName name="OSRRefG11x" localSheetId="87">'Div 5'!$Q$11</definedName>
    <definedName name="OSRRefG11x" localSheetId="61">'Div 6'!$Q$11:$Q$14</definedName>
    <definedName name="OSRRefG11x" localSheetId="2">Summary!$Q$11:$Q$19</definedName>
    <definedName name="OSRRefG14x" localSheetId="48">'300'!$Q$18:$Q$38</definedName>
    <definedName name="OSRRefG14x" localSheetId="49">'300 &amp; 317'!$Q$18:$Q$44</definedName>
    <definedName name="OSRRefG14x" localSheetId="52">'307'!$Q$15</definedName>
    <definedName name="OSRRefG14x" localSheetId="53">'308'!$Q$17:$Q$26</definedName>
    <definedName name="OSRRefG14x" localSheetId="63">'310'!$Q$15:$Q$16</definedName>
    <definedName name="OSRRefG14x" localSheetId="70">'310 &amp; 491'!$Q$17:$Q$19</definedName>
    <definedName name="OSRRefG14x" localSheetId="54">'311'!$Q$17:$Q$26</definedName>
    <definedName name="OSRRefG14x" localSheetId="57">'315'!$Q$17:$Q$31</definedName>
    <definedName name="OSRRefG14x" localSheetId="60">'316'!$Q$16</definedName>
    <definedName name="OSRRefG14x" localSheetId="62">'317'!$Q$17:$Q$26</definedName>
    <definedName name="OSRRefG14x" localSheetId="66">'321'!$Q$15</definedName>
    <definedName name="OSRRefG14x" localSheetId="55">'324'!$Q$15</definedName>
    <definedName name="OSRRefG14x" localSheetId="67">'325'!$Q$15:$Q$16</definedName>
    <definedName name="OSRRefG14x" localSheetId="58">'326'!$Q$16:$Q$17</definedName>
    <definedName name="OSRRefG14x" localSheetId="68">'327'!$Q$14</definedName>
    <definedName name="OSRRefG14x" localSheetId="51">'330'!$Q$15</definedName>
    <definedName name="OSRRefG14x" localSheetId="56">'331'!$Q$17:$Q$31</definedName>
    <definedName name="OSRRefG14x" localSheetId="59">'332'!$Q$16</definedName>
    <definedName name="OSRRefG14x" localSheetId="72">'405'!$Q$15</definedName>
    <definedName name="OSRRefG14x" localSheetId="76">'415'!$Q$17:$Q$19</definedName>
    <definedName name="OSRRefG14x" localSheetId="77">'418'!$Q$15</definedName>
    <definedName name="OSRRefG14x" localSheetId="80">'425'!$Q$13</definedName>
    <definedName name="OSRRefG14x" localSheetId="84">'433'!$Q$14</definedName>
    <definedName name="OSRRefG14x" localSheetId="85">'444'!$Q$17:$Q$19</definedName>
    <definedName name="OSRRefG14x" localSheetId="86">'450'!$Q$14</definedName>
    <definedName name="OSRRefG14x" localSheetId="71">'491'!$Q$17:$Q$19</definedName>
    <definedName name="OSRRefG14x" localSheetId="82">'492'!$Q$17:$Q$19</definedName>
    <definedName name="OSRRefG14x" localSheetId="41">'Div 3'!$Q$18:$Q$39</definedName>
    <definedName name="OSRRefG14x" localSheetId="69">'Div 4'!$Q$19:$Q$21</definedName>
    <definedName name="OSRRefG14x" localSheetId="61">'Div 6'!$Q$17:$Q$26</definedName>
    <definedName name="OSRRefG14x" localSheetId="2">Summary!$Q$22:$Q$50</definedName>
    <definedName name="OSRRefG20x" localSheetId="40">'200'!$Q$18,'200'!$Q$20,'200'!$Q$22,'200'!$Q$24</definedName>
    <definedName name="OSRRefG20x" localSheetId="42">'201'!$Q$18,'201'!$Q$28,'201'!$Q$39,'201'!$Q$41,'201'!$Q$43,'201'!$Q$45,'201'!$Q$47,'201'!$Q$49,'201'!$Q$51,'201'!$Q$53,'201'!$Q$57,'201'!$Q$59,'201'!$Q$61,'201'!$Q$64,'201'!$Q$66,'201'!$Q$68</definedName>
    <definedName name="OSRRefG20x" localSheetId="43">'202'!$Q$18,'202'!$Q$28,'202'!$Q$39,'202'!$Q$41,'202'!$Q$43,'202'!$Q$45,'202'!$Q$47,'202'!$Q$51,'202'!$Q$53,'202'!$Q$55,'202'!$Q$57,'202'!$Q$59</definedName>
    <definedName name="OSRRefG20x" localSheetId="44">'203'!$Q$18,'203'!$Q$29,'203'!$Q$40,'203'!$Q$42,'203'!$Q$44,'203'!$Q$46,'203'!$Q$48,'203'!$Q$50,'203'!$Q$52,'203'!$Q$56,'203'!$Q$58,'203'!$Q$60,'203'!$Q$65,'203'!$Q$67,'203'!$Q$69</definedName>
    <definedName name="OSRRefG20x" localSheetId="45">'204'!$Q$18,'204'!$Q$28,'204'!$Q$39,'204'!$Q$42,'204'!$Q$44,'204'!$Q$48,'204'!$Q$51,'204'!$Q$53,'204'!$Q$56</definedName>
    <definedName name="OSRRefG20x" localSheetId="46">'205'!$Q$18,'205'!$Q$28,'205'!$Q$39,'205'!$Q$41,'205'!$Q$43,'205'!$Q$47,'205'!$Q$49,'205'!$Q$51</definedName>
    <definedName name="OSRRefG20x" localSheetId="47">'206'!$Q$18,'206'!$Q$28,'206'!$Q$39,'206'!$Q$41,'206'!$Q$43,'206'!$Q$45</definedName>
    <definedName name="OSRRefG20x" localSheetId="48">'300'!$Q$44,'300'!$Q$55,'300'!$Q$66,'300'!$Q$68,'300'!$Q$70,'300'!$Q$72,'300'!$Q$75,'300'!$Q$78,'300'!$Q$80,'300'!$Q$82,'300'!$Q$84,'300'!$Q$87,'300'!$Q$90,'300'!$Q$92,'300'!$Q$94,'300'!$Q$96,'300'!$Q$98,'300'!$Q$103,'300'!$Q$108,'300'!$Q$112,'300'!$Q$115,'300'!$Q$123,'300'!$Q$126,'300'!$Q$128,'300'!$Q$132</definedName>
    <definedName name="OSRRefG20x" localSheetId="49">'300 &amp; 317'!$Q$50,'300 &amp; 317'!$Q$61,'300 &amp; 317'!$Q$72,'300 &amp; 317'!$Q$74,'300 &amp; 317'!$Q$76,'300 &amp; 317'!$Q$78,'300 &amp; 317'!$Q$81,'300 &amp; 317'!$Q$84,'300 &amp; 317'!$Q$86,'300 &amp; 317'!$Q$88,'300 &amp; 317'!$Q$90,'300 &amp; 317'!$Q$93,'300 &amp; 317'!$Q$96,'300 &amp; 317'!$Q$98,'300 &amp; 317'!$Q$100,'300 &amp; 317'!$Q$102,'300 &amp; 317'!$Q$104,'300 &amp; 317'!$Q$109,'300 &amp; 317'!$Q$114,'300 &amp; 317'!$Q$118,'300 &amp; 317'!$Q$121,'300 &amp; 317'!$Q$129,'300 &amp; 317'!$Q$132,'300 &amp; 317'!$Q$134,'300 &amp; 317'!$Q$138</definedName>
    <definedName name="OSRRefG20x" localSheetId="50">'301'!$Q$18,'301'!$Q$29,'301'!$Q$40,'301'!$Q$42,'301'!$Q$44,'301'!$Q$47,'301'!$Q$49,'301'!$Q$51,'301'!$Q$53,'301'!$Q$55,'301'!$Q$57,'301'!$Q$59,'301'!$Q$61,'301'!$Q$63,'301'!$Q$68,'301'!$Q$71,'301'!$Q$73,'301'!$Q$79,'301'!$Q$81,'301'!$Q$83,'301'!$Q$85</definedName>
    <definedName name="OSRRefG20x" localSheetId="52">'307'!$Q$21,'307'!$Q$30,'307'!$Q$41,'307'!$Q$43,'307'!$Q$45,'307'!$Q$47,'307'!$Q$49,'307'!$Q$51,'307'!$Q$53,'307'!$Q$57</definedName>
    <definedName name="OSRRefG20x" localSheetId="53">'308'!$Q$32,'308'!$Q$43,'308'!$Q$54,'308'!$Q$56,'308'!$Q$58,'308'!$Q$60,'308'!$Q$62,'308'!$Q$64,'308'!$Q$66,'308'!$Q$70,'308'!$Q$73,'308'!$Q$76,'308'!$Q$79</definedName>
    <definedName name="OSRRefG20x" localSheetId="64">'309'!$Q$18,'309'!$Q$20,'309'!$Q$22</definedName>
    <definedName name="OSRRefG20x" localSheetId="63">'310'!$Q$22,'310'!$Q$31,'310'!$Q$42,'310'!$Q$44,'310'!$Q$46,'310'!$Q$48,'310'!$Q$51,'310'!$Q$53,'310'!$Q$55,'310'!$Q$57,'310'!$Q$59,'310'!$Q$61,'310'!$Q$65,'310'!$Q$67,'310'!$Q$70,'310'!$Q$76,'310'!$Q$79,'310'!$Q$81</definedName>
    <definedName name="OSRRefG20x" localSheetId="70">'310 &amp; 491'!$Q$25,'310 &amp; 491'!$Q$35,'310 &amp; 491'!$Q$46,'310 &amp; 491'!$Q$48,'310 &amp; 491'!$Q$50,'310 &amp; 491'!$Q$52,'310 &amp; 491'!$Q$55,'310 &amp; 491'!$Q$57,'310 &amp; 491'!$Q$59,'310 &amp; 491'!$Q$62,'310 &amp; 491'!$Q$64,'310 &amp; 491'!$Q$66,'310 &amp; 491'!$Q$68,'310 &amp; 491'!$Q$73,'310 &amp; 491'!$Q$75,'310 &amp; 491'!$Q$81,'310 &amp; 491'!$Q$83,'310 &amp; 491'!$Q$94,'310 &amp; 491'!$Q$97,'310 &amp; 491'!$Q$99,'310 &amp; 491'!$Q$101</definedName>
    <definedName name="OSRRefG20x" localSheetId="54">'311'!$Q$32,'311'!$Q$43,'311'!$Q$54,'311'!$Q$56,'311'!$Q$58,'311'!$Q$60,'311'!$Q$62,'311'!$Q$64,'311'!$Q$66,'311'!$Q$70,'311'!$Q$73,'311'!$Q$76,'311'!$Q$79</definedName>
    <definedName name="OSRRefG20x" localSheetId="65">'313'!$Q$18</definedName>
    <definedName name="OSRRefG20x" localSheetId="57">'315'!$Q$37,'315'!$Q$47,'315'!$Q$58,'315'!$Q$60,'315'!$Q$62,'315'!$Q$64,'315'!$Q$66,'315'!$Q$69,'315'!$Q$71,'315'!$Q$73,'315'!$Q$75,'315'!$Q$77,'315'!$Q$81,'315'!$Q$84,'315'!$Q$88,'315'!$Q$90</definedName>
    <definedName name="OSRRefG20x" localSheetId="60">'316'!$Q$22,'316'!$Q$32,'316'!$Q$43,'316'!$Q$45,'316'!$Q$47,'316'!$Q$49,'316'!$Q$52,'316'!$Q$56,'316'!$Q$58,'316'!$Q$63</definedName>
    <definedName name="OSRRefG20x" localSheetId="62">'317'!$Q$32,'317'!$Q$43,'317'!$Q$54,'317'!$Q$56,'317'!$Q$58,'317'!$Q$60,'317'!$Q$62,'317'!$Q$64,'317'!$Q$66,'317'!$Q$69</definedName>
    <definedName name="OSRRefG20x" localSheetId="66">'321'!$Q$21,'321'!$Q$30,'321'!$Q$41,'321'!$Q$43,'321'!$Q$45,'321'!$Q$47,'321'!$Q$49,'321'!$Q$52,'321'!$Q$54,'321'!$Q$56,'321'!$Q$59,'321'!$Q$61</definedName>
    <definedName name="OSRRefG20x" localSheetId="67">'325'!$Q$22,'325'!$Q$31,'325'!$Q$42,'325'!$Q$44,'325'!$Q$46,'325'!$Q$49,'325'!$Q$51,'325'!$Q$53,'325'!$Q$55,'325'!$Q$57,'325'!$Q$59,'325'!$Q$62,'325'!$Q$65,'325'!$Q$71,'325'!$Q$74</definedName>
    <definedName name="OSRRefG20x" localSheetId="58">'326'!$Q$23,'326'!$Q$33,'326'!$Q$44,'326'!$Q$46,'326'!$Q$48,'326'!$Q$50,'326'!$Q$52,'326'!$Q$54,'326'!$Q$56,'326'!$Q$58,'326'!$Q$60,'326'!$Q$63,'326'!$Q$66,'326'!$Q$69,'326'!$Q$73,'326'!$Q$75,'326'!$Q$78</definedName>
    <definedName name="OSRRefG20x" localSheetId="68">'327'!$Q$20</definedName>
    <definedName name="OSRRefG20x" localSheetId="51">'330'!$Q$21,'330'!$Q$30,'330'!$Q$41,'330'!$Q$43,'330'!$Q$45,'330'!$Q$47,'330'!$Q$49,'330'!$Q$51,'330'!$Q$53,'330'!$Q$57</definedName>
    <definedName name="OSRRefG20x" localSheetId="56">'331'!$Q$37,'331'!$Q$47,'331'!$Q$58,'331'!$Q$60,'331'!$Q$62,'331'!$Q$64,'331'!$Q$66,'331'!$Q$69,'331'!$Q$72,'331'!$Q$74,'331'!$Q$76,'331'!$Q$78,'331'!$Q$80,'331'!$Q$83,'331'!$Q$87,'331'!$Q$90,'331'!$Q$93,'331'!$Q$98,'331'!$Q$100,'331'!$Q$103</definedName>
    <definedName name="OSRRefG20x" localSheetId="59">'332'!$Q$22,'332'!$Q$32,'332'!$Q$43,'332'!$Q$45,'332'!$Q$47,'332'!$Q$49,'332'!$Q$52,'332'!$Q$56,'332'!$Q$58,'332'!$Q$63</definedName>
    <definedName name="OSRRefG20x" localSheetId="72">'405'!$Q$21,'405'!$Q$31,'405'!$Q$42,'405'!$Q$44,'405'!$Q$46,'405'!$Q$49,'405'!$Q$51,'405'!$Q$53,'405'!$Q$55,'405'!$Q$58,'405'!$Q$62,'405'!$Q$64,'405'!$Q$72,'405'!$Q$74,'405'!$Q$76,'405'!$Q$78</definedName>
    <definedName name="OSRRefG20x" localSheetId="73">'411'!$Q$18,'411'!$Q$28,'411'!$Q$39,'411'!$Q$41,'411'!$Q$44,'411'!$Q$46,'411'!$Q$48,'411'!$Q$50,'411'!$Q$54,'411'!$Q$57,'411'!$Q$59,'411'!$Q$61,'411'!$Q$63</definedName>
    <definedName name="OSRRefG20x" localSheetId="74">'412'!$Q$18,'412'!$Q$20</definedName>
    <definedName name="OSRRefG20x" localSheetId="75">'413'!$Q$18</definedName>
    <definedName name="OSRRefG20x" localSheetId="76">'415'!$Q$25,'415'!$Q$35,'415'!$Q$46,'415'!$Q$48,'415'!$Q$50,'415'!$Q$52,'415'!$Q$55,'415'!$Q$57,'415'!$Q$59,'415'!$Q$61,'415'!$Q$63,'415'!$Q$65,'415'!$Q$68,'415'!$Q$73,'415'!$Q$75,'415'!$Q$82,'415'!$Q$85,'415'!$Q$87</definedName>
    <definedName name="OSRRefG20x" localSheetId="77">'418'!$Q$21,'418'!$Q$31,'418'!$Q$42,'418'!$Q$44,'418'!$Q$46,'418'!$Q$49,'418'!$Q$51,'418'!$Q$53,'418'!$Q$56,'418'!$Q$59,'418'!$Q$63,'418'!$Q$65,'418'!$Q$73,'418'!$Q$76,'418'!$Q$78,'418'!$Q$80</definedName>
    <definedName name="OSRRefG20x" localSheetId="78">'423'!$Q$18,'423'!$Q$27,'423'!$Q$38,'423'!$Q$40</definedName>
    <definedName name="OSRRefG20x" localSheetId="79">'424'!$Q$18</definedName>
    <definedName name="OSRRefG20x" localSheetId="80">'425'!$Q$19</definedName>
    <definedName name="OSRRefG20x" localSheetId="83">'430'!$Q$18,'430'!$Q$28,'430'!$Q$39,'430'!$Q$41,'430'!$Q$43,'430'!$Q$45,'430'!$Q$48</definedName>
    <definedName name="OSRRefG20x" localSheetId="84">'433'!$Q$20,'433'!$Q$31,'433'!$Q$42,'433'!$Q$44,'433'!$Q$46,'433'!$Q$48,'433'!$Q$50,'433'!$Q$52,'433'!$Q$54,'433'!$Q$56,'433'!$Q$58,'433'!$Q$60,'433'!$Q$64,'433'!$Q$69,'433'!$Q$76,'433'!$Q$78</definedName>
    <definedName name="OSRRefG20x" localSheetId="85">'444'!$Q$25,'444'!$Q$36,'444'!$Q$47,'444'!$Q$49,'444'!$Q$51,'444'!$Q$53,'444'!$Q$55,'444'!$Q$57,'444'!$Q$59,'444'!$Q$61,'444'!$Q$63,'444'!$Q$65,'444'!$Q$68,'444'!$Q$73,'444'!$Q$75,'444'!$Q$82,'444'!$Q$84</definedName>
    <definedName name="OSRRefG20x" localSheetId="86">'450'!$Q$20,'450'!$Q$31,'450'!$Q$42,'450'!$Q$44,'450'!$Q$46,'450'!$Q$48,'450'!$Q$50,'450'!$Q$52,'450'!$Q$54,'450'!$Q$56,'450'!$Q$58,'450'!$Q$60,'450'!$Q$63,'450'!$Q$68,'450'!$Q$75,'450'!$Q$77</definedName>
    <definedName name="OSRRefG20x" localSheetId="71">'491'!$Q$25,'491'!$Q$35,'491'!$Q$46,'491'!$Q$48,'491'!$Q$50,'491'!$Q$52,'491'!$Q$55,'491'!$Q$57,'491'!$Q$59,'491'!$Q$62,'491'!$Q$64,'491'!$Q$66,'491'!$Q$68,'491'!$Q$72,'491'!$Q$78,'491'!$Q$80,'491'!$Q$90,'491'!$Q$93,'491'!$Q$95,'491'!$Q$97</definedName>
    <definedName name="OSRRefG20x" localSheetId="82">'492'!$Q$25,'492'!$Q$36,'492'!$Q$47,'492'!$Q$49,'492'!$Q$51,'492'!$Q$53,'492'!$Q$55,'492'!$Q$57,'492'!$Q$59,'492'!$Q$61,'492'!$Q$63,'492'!$Q$65,'492'!$Q$67,'492'!$Q$71,'492'!$Q$76,'492'!$Q$78,'492'!$Q$86,'492'!$Q$89</definedName>
    <definedName name="OSRRefG20x" localSheetId="88">'501'!$Q$19,'501'!$Q$29,'501'!$Q$40,'501'!$Q$42,'501'!$Q$44,'501'!$Q$46,'501'!$Q$48,'501'!$Q$50,'501'!$Q$52,'501'!$Q$54,'501'!$Q$58,'501'!$Q$60,'501'!$Q$63,'501'!$Q$65</definedName>
    <definedName name="OSRRefG20x" localSheetId="39">'Div 2'!$Q$18,'Div 2'!$Q$30,'Div 2'!$Q$41,'Div 2'!$Q$43,'Div 2'!$Q$45,'Div 2'!$Q$47,'Div 2'!$Q$50,'Div 2'!$Q$52,'Div 2'!$Q$54,'Div 2'!$Q$56,'Div 2'!$Q$58,'Div 2'!$Q$60,'Div 2'!$Q$62,'Div 2'!$Q$67,'Div 2'!$Q$72,'Div 2'!$Q$75,'Div 2'!$Q$78,'Div 2'!$Q$84,'Div 2'!$Q$87,'Div 2'!$Q$89</definedName>
    <definedName name="OSRRefG20x" localSheetId="41">'Div 3'!$Q$45,'Div 3'!$Q$56,'Div 3'!$Q$67,'Div 3'!$Q$69,'Div 3'!$Q$71,'Div 3'!$Q$73,'Div 3'!$Q$76,'Div 3'!$Q$79,'Div 3'!$Q$81,'Div 3'!$Q$83,'Div 3'!$Q$85,'Div 3'!$Q$88,'Div 3'!$Q$91,'Div 3'!$Q$93,'Div 3'!$Q$95,'Div 3'!$Q$97,'Div 3'!$Q$99,'Div 3'!$Q$101,'Div 3'!$Q$106,'Div 3'!$Q$111,'Div 3'!$Q$116,'Div 3'!$Q$119,'Div 3'!$Q$127,'Div 3'!$Q$130,'Div 3'!$Q$132,'Div 3'!$Q$136</definedName>
    <definedName name="OSRRefG20x" localSheetId="69">'Div 4'!$Q$27,'Div 4'!$Q$38,'Div 4'!$Q$49,'Div 4'!$Q$51,'Div 4'!$Q$53,'Div 4'!$Q$55,'Div 4'!$Q$58,'Div 4'!$Q$60,'Div 4'!$Q$62,'Div 4'!$Q$64,'Div 4'!$Q$67,'Div 4'!$Q$69,'Div 4'!$Q$71,'Div 4'!$Q$73,'Div 4'!$Q$75,'Div 4'!$Q$80,'Div 4'!$Q$86,'Div 4'!$Q$89,'Div 4'!$Q$100,'Div 4'!$Q$103,'Div 4'!$Q$105,'Div 4'!$Q$107</definedName>
    <definedName name="OSRRefG20x" localSheetId="87">'Div 5'!$Q$19,'Div 5'!$Q$29,'Div 5'!$Q$40,'Div 5'!$Q$42,'Div 5'!$Q$44,'Div 5'!$Q$46,'Div 5'!$Q$48,'Div 5'!$Q$50,'Div 5'!$Q$52,'Div 5'!$Q$54,'Div 5'!$Q$58,'Div 5'!$Q$60,'Div 5'!$Q$63,'Div 5'!$Q$65</definedName>
    <definedName name="OSRRefG20x" localSheetId="61">'Div 6'!$Q$32,'Div 6'!$Q$43,'Div 6'!$Q$54,'Div 6'!$Q$56,'Div 6'!$Q$58,'Div 6'!$Q$60,'Div 6'!$Q$62,'Div 6'!$Q$64,'Div 6'!$Q$66,'Div 6'!$Q$69</definedName>
    <definedName name="OSRRefG20x" localSheetId="2">Summary!$Q$56,Summary!$Q$67,Summary!$Q$78,Summary!$Q$80,Summary!$Q$82,Summary!$Q$84,Summary!$Q$87,Summary!$Q$90,Summary!$Q$92,Summary!$Q$94,Summary!$Q$96,Summary!$Q$99,Summary!$Q$103,Summary!$Q$105,Summary!$Q$107,Summary!$Q$109,Summary!$Q$111,Summary!$Q$113,Summary!$Q$115,Summary!$Q$120,Summary!$Q$125,Summary!$Q$131,Summary!$Q$134,Summary!$Q$145,Summary!$Q$148,Summary!$Q$150,Summary!$Q$154</definedName>
    <definedName name="_xlnm.Print_Area" localSheetId="38">'100'!$A$1:$Q$35</definedName>
    <definedName name="_xlnm.Print_Area" localSheetId="40">'200'!$A$1:$Q$42</definedName>
    <definedName name="_xlnm.Print_Area" localSheetId="42">'201'!$A$1:$Q$85</definedName>
    <definedName name="_xlnm.Print_Area" localSheetId="43">'202'!$A$1:$Q$76</definedName>
    <definedName name="_xlnm.Print_Area" localSheetId="44">'203'!$A$1:$Q$86</definedName>
    <definedName name="_xlnm.Print_Area" localSheetId="45">'204'!$A$1:$Q$73</definedName>
    <definedName name="_xlnm.Print_Area" localSheetId="46">'205'!$A$1:$Q$68</definedName>
    <definedName name="_xlnm.Print_Area" localSheetId="47">'206'!$A$1:$Q$63</definedName>
    <definedName name="_xlnm.Print_Area" localSheetId="48">'300'!$A$1:$Q$149</definedName>
    <definedName name="_xlnm.Print_Area" localSheetId="49">'300 &amp; 317'!$A$1:$Q$155</definedName>
    <definedName name="_xlnm.Print_Area" localSheetId="50">'301'!$A$1:$Q$102</definedName>
    <definedName name="_xlnm.Print_Area" localSheetId="52">'307'!$A$1:$Q$74</definedName>
    <definedName name="_xlnm.Print_Area" localSheetId="53">'308'!$A$1:$Q$96</definedName>
    <definedName name="_xlnm.Print_Area" localSheetId="64">'309'!$A$1:$Q$39</definedName>
    <definedName name="_xlnm.Print_Area" localSheetId="63">'310'!$A$1:$Q$98</definedName>
    <definedName name="_xlnm.Print_Area" localSheetId="70">'310 &amp; 491'!$A$1:$Q$118</definedName>
    <definedName name="_xlnm.Print_Area" localSheetId="54">'311'!$A$1:$Q$96</definedName>
    <definedName name="_xlnm.Print_Area" localSheetId="65">'313'!$A$1:$Q$35</definedName>
    <definedName name="_xlnm.Print_Area" localSheetId="57">'315'!$A$1:$Q$107</definedName>
    <definedName name="_xlnm.Print_Area" localSheetId="60">'316'!$A$1:$Q$80</definedName>
    <definedName name="_xlnm.Print_Area" localSheetId="62">'317'!$A$1:$Q$86</definedName>
    <definedName name="_xlnm.Print_Area" localSheetId="66">'321'!$A$1:$Q$78</definedName>
    <definedName name="_xlnm.Print_Area" localSheetId="55">'324'!$A$1:$Q$36</definedName>
    <definedName name="_xlnm.Print_Area" localSheetId="67">'325'!$A$1:$Q$91</definedName>
    <definedName name="_xlnm.Print_Area" localSheetId="58">'326'!$A$1:$Q$95</definedName>
    <definedName name="_xlnm.Print_Area" localSheetId="68">'327'!$A$1:$Q$37</definedName>
    <definedName name="_xlnm.Print_Area" localSheetId="51">'330'!$A$1:$Q$74</definedName>
    <definedName name="_xlnm.Print_Area" localSheetId="56">'331'!$A$1:$Q$120</definedName>
    <definedName name="_xlnm.Print_Area" localSheetId="59">'332'!$A$1:$Q$80</definedName>
    <definedName name="_xlnm.Print_Area" localSheetId="72">'405'!$A$1:$Q$95</definedName>
    <definedName name="_xlnm.Print_Area" localSheetId="73">'411'!$A$1:$Q$80</definedName>
    <definedName name="_xlnm.Print_Area" localSheetId="74">'412'!$A$1:$Q$37</definedName>
    <definedName name="_xlnm.Print_Area" localSheetId="75">'413'!$A$1:$Q$35</definedName>
    <definedName name="_xlnm.Print_Area" localSheetId="76">'415'!$A$1:$Q$104</definedName>
    <definedName name="_xlnm.Print_Area" localSheetId="77">'418'!$A$1:$Q$97</definedName>
    <definedName name="_xlnm.Print_Area" localSheetId="78">'423'!$A$1:$Q$57</definedName>
    <definedName name="_xlnm.Print_Area" localSheetId="79">'424'!$A$1:$Q$35</definedName>
    <definedName name="_xlnm.Print_Area" localSheetId="80">'425'!$A$1:$Q$36</definedName>
    <definedName name="_xlnm.Print_Area" localSheetId="83">'430'!$A$1:$Q$65</definedName>
    <definedName name="_xlnm.Print_Area" localSheetId="84">'433'!$A$1:$Q$95</definedName>
    <definedName name="_xlnm.Print_Area" localSheetId="85">'444'!$A$1:$Q$101</definedName>
    <definedName name="_xlnm.Print_Area" localSheetId="86">'450'!$A$1:$Q$94</definedName>
    <definedName name="_xlnm.Print_Area" localSheetId="81">'455'!$A$1:$Q$33</definedName>
    <definedName name="_xlnm.Print_Area" localSheetId="71">'491'!$A$1:$Q$114</definedName>
    <definedName name="_xlnm.Print_Area" localSheetId="82">'492'!$A$1:$Q$106</definedName>
    <definedName name="_xlnm.Print_Area" localSheetId="88">'501'!$A$1:$Q$82</definedName>
    <definedName name="_xlnm.Print_Area" localSheetId="89">Dept!$A$1:$G$39</definedName>
    <definedName name="_xlnm.Print_Area" localSheetId="37">'Div 1'!$A$1:$Q$34</definedName>
    <definedName name="_xlnm.Print_Area" localSheetId="39">'Div 2'!$A$1:$Q$106</definedName>
    <definedName name="_xlnm.Print_Area" localSheetId="41">'Div 3'!$A$1:$Q$153</definedName>
    <definedName name="_xlnm.Print_Area" localSheetId="69">'Div 4'!$A$1:$Q$124</definedName>
    <definedName name="_xlnm.Print_Area" localSheetId="87">'Div 5'!$A$1:$Q$82</definedName>
    <definedName name="_xlnm.Print_Area" localSheetId="61">'Div 6'!$A$1:$Q$86</definedName>
    <definedName name="_xlnm.Print_Area" localSheetId="13">'OSR_300 &amp; 317_1C00ID4'!$A$1:$G$39</definedName>
    <definedName name="_xlnm.Print_Area" localSheetId="11">OSR_300_IYZXI6!$A$1:$G$39</definedName>
    <definedName name="_xlnm.Print_Area" localSheetId="19">OSR_308_UAWDAG!$A$1:$G$39</definedName>
    <definedName name="_xlnm.Print_Area" localSheetId="34">'OSR_310 &amp; 49...7615ada9_1PJ8EDG'!$A$1:$G$39</definedName>
    <definedName name="_xlnm.Print_Area" localSheetId="32">'OSR_310 &amp; 49...76bf5af7_1A2901X'!$A$1:$G$39</definedName>
    <definedName name="_xlnm.Print_Area" localSheetId="30">'OSR_310 &amp; 491...c23f2d59_X1JXXU'!$A$1:$G$39</definedName>
    <definedName name="_xlnm.Print_Area" localSheetId="27">'OSR_310 &amp; 491_1NGRCS9'!$A$1:$G$39</definedName>
    <definedName name="_xlnm.Print_Area" localSheetId="15">OSR_310_1CMTOSB!$A$1:$G$39</definedName>
    <definedName name="_xlnm.Print_Area" localSheetId="17">OSR_330_10VFP5Y!$A$1:$G$39</definedName>
    <definedName name="_xlnm.Print_Area" localSheetId="21">OSR_331_10VKQAJ!$A$1:$G$39</definedName>
    <definedName name="_xlnm.Print_Area" localSheetId="23">OSR_332_6NDVBW!$A$1:$G$39</definedName>
    <definedName name="_xlnm.Print_Area" localSheetId="29">OSR_491_9Z9JH5!$A$1:$G$39</definedName>
    <definedName name="_xlnm.Print_Area" localSheetId="31">OSR_492_943FP1!$A$1:$G$39</definedName>
    <definedName name="_xlnm.Print_Area" localSheetId="4">'OSR_Current ...69b7dd8c_1IEQKFK'!$A$1:$G$39</definedName>
    <definedName name="_xlnm.Print_Area" localSheetId="6">'OSR_Dept (2)_...dd5b15a0_2T6PUA'!$A$1:$G$39</definedName>
    <definedName name="_xlnm.Print_Area" localSheetId="90">OSR_Dept_Y0WUKY!$A$1:$G$39</definedName>
    <definedName name="_xlnm.Print_Area" localSheetId="26">'OSR_Div 1 (1...42fef80a_1JUNUIZ'!$A$1:$G$39</definedName>
    <definedName name="_xlnm.Print_Area" localSheetId="24">'OSR_Div 1 (10...e834aaf2_4B2R3Z'!$A$1:$G$39</definedName>
    <definedName name="_xlnm.Print_Area" localSheetId="8">'OSR_Div 1 (2...9b2bdc94_1Y8VZ4A'!$A$1:$G$39</definedName>
    <definedName name="_xlnm.Print_Area" localSheetId="10">'OSR_Div 1 (3...74ea2e91_1YANJVT'!$A$1:$G$39</definedName>
    <definedName name="_xlnm.Print_Area" localSheetId="12">'OSR_Div 1 (4)...cdd6f638_NQSRHK'!$A$1:$G$39</definedName>
    <definedName name="_xlnm.Print_Area" localSheetId="14">'OSR_Div 1 (5)...14c61d9ac_RUIH7'!$A$1:$G$39</definedName>
    <definedName name="_xlnm.Print_Area" localSheetId="16">'OSR_Div 1 (6)...754b1b2a_ZV1FUK'!$A$1:$G$39</definedName>
    <definedName name="_xlnm.Print_Area" localSheetId="18">'OSR_Div 1 (7)...77c4adfc_YECVQC'!$A$1:$G$39</definedName>
    <definedName name="_xlnm.Print_Area" localSheetId="20">'OSR_Div 1 (8...54681dd8_1N56J6G'!$A$1:$G$39</definedName>
    <definedName name="_xlnm.Print_Area" localSheetId="22">'OSR_Div 1 (9)...81df0cf4_TBZUNU'!$A$1:$G$39</definedName>
    <definedName name="_xlnm.Print_Area" localSheetId="5">'OSR_Div 1_7H47HR'!$A$1:$G$39</definedName>
    <definedName name="_xlnm.Print_Area" localSheetId="7">'OSR_Div 2_1PQ800A'!$A$1:$G$39</definedName>
    <definedName name="_xlnm.Print_Area" localSheetId="9">'OSR_Div 3_18723PH'!$A$1:$G$39</definedName>
    <definedName name="_xlnm.Print_Area" localSheetId="28">'OSR_Div 4 (2)...a8a8204b_XPPX5M'!$A$1:$G$39</definedName>
    <definedName name="_xlnm.Print_Area" localSheetId="25">'OSR_Div 4_1740TMT'!$A$1:$G$39</definedName>
    <definedName name="_xlnm.Print_Area" localSheetId="36">'OSR_Div 5 (2...bac05800_1LZIM8H'!$A$1:$G$39</definedName>
    <definedName name="_xlnm.Print_Area" localSheetId="33">'OSR_Div 5_16NAZO2'!$A$1:$G$39</definedName>
    <definedName name="_xlnm.Print_Area" localSheetId="35">'OSR_Div 6_P37YY7'!$A$1:$G$39</definedName>
    <definedName name="_xlnm.Print_Area" localSheetId="91">'OSR_Summary (...56e5d78f_5JEYZH'!$A$1:$G$39</definedName>
    <definedName name="_xlnm.Print_Area" localSheetId="3">OSR_Summary_18VAVWG!$A$1:$G$39</definedName>
    <definedName name="_xlnm.Print_Area" localSheetId="2">Summary!$A$1:$Q$173</definedName>
    <definedName name="_xlnm.Print_Titles" localSheetId="38">'100'!$A:$C,'100'!$1:$8</definedName>
    <definedName name="_xlnm.Print_Titles" localSheetId="40">'200'!$A:$C,'200'!$1:$8</definedName>
    <definedName name="_xlnm.Print_Titles" localSheetId="42">'201'!$A:$C,'201'!$1:$8</definedName>
    <definedName name="_xlnm.Print_Titles" localSheetId="43">'202'!$A:$C,'202'!$1:$8</definedName>
    <definedName name="_xlnm.Print_Titles" localSheetId="44">'203'!$A:$C,'203'!$1:$8</definedName>
    <definedName name="_xlnm.Print_Titles" localSheetId="45">'204'!$A:$C,'204'!$1:$8</definedName>
    <definedName name="_xlnm.Print_Titles" localSheetId="46">'205'!$A:$C,'205'!$1:$8</definedName>
    <definedName name="_xlnm.Print_Titles" localSheetId="47">'206'!$A:$C,'206'!$1:$8</definedName>
    <definedName name="_xlnm.Print_Titles" localSheetId="48">'300'!$A:$C,'300'!$1:$8</definedName>
    <definedName name="_xlnm.Print_Titles" localSheetId="49">'300 &amp; 317'!$A:$C,'300 &amp; 317'!$1:$8</definedName>
    <definedName name="_xlnm.Print_Titles" localSheetId="50">'301'!$A:$C,'301'!$1:$8</definedName>
    <definedName name="_xlnm.Print_Titles" localSheetId="52">'307'!$A:$C,'307'!$1:$8</definedName>
    <definedName name="_xlnm.Print_Titles" localSheetId="53">'308'!$A:$C,'308'!$1:$8</definedName>
    <definedName name="_xlnm.Print_Titles" localSheetId="64">'309'!$A:$C,'309'!$1:$8</definedName>
    <definedName name="_xlnm.Print_Titles" localSheetId="63">'310'!$A:$C,'310'!$1:$8</definedName>
    <definedName name="_xlnm.Print_Titles" localSheetId="70">'310 &amp; 491'!$A:$C,'310 &amp; 491'!$1:$8</definedName>
    <definedName name="_xlnm.Print_Titles" localSheetId="54">'311'!$A:$C,'311'!$1:$8</definedName>
    <definedName name="_xlnm.Print_Titles" localSheetId="65">'313'!$A:$C,'313'!$1:$8</definedName>
    <definedName name="_xlnm.Print_Titles" localSheetId="57">'315'!$A:$C,'315'!$1:$8</definedName>
    <definedName name="_xlnm.Print_Titles" localSheetId="60">'316'!$A:$C,'316'!$1:$8</definedName>
    <definedName name="_xlnm.Print_Titles" localSheetId="62">'317'!$A:$C,'317'!$1:$8</definedName>
    <definedName name="_xlnm.Print_Titles" localSheetId="66">'321'!$A:$C,'321'!$1:$8</definedName>
    <definedName name="_xlnm.Print_Titles" localSheetId="55">'324'!$A:$C,'324'!$1:$8</definedName>
    <definedName name="_xlnm.Print_Titles" localSheetId="67">'325'!$A:$C,'325'!$1:$8</definedName>
    <definedName name="_xlnm.Print_Titles" localSheetId="58">'326'!$A:$C,'326'!$1:$8</definedName>
    <definedName name="_xlnm.Print_Titles" localSheetId="68">'327'!$A:$C,'327'!$1:$8</definedName>
    <definedName name="_xlnm.Print_Titles" localSheetId="51">'330'!$A:$C,'330'!$1:$8</definedName>
    <definedName name="_xlnm.Print_Titles" localSheetId="56">'331'!$A:$C,'331'!$1:$8</definedName>
    <definedName name="_xlnm.Print_Titles" localSheetId="59">'332'!$A:$C,'332'!$1:$8</definedName>
    <definedName name="_xlnm.Print_Titles" localSheetId="72">'405'!$A:$C,'405'!$1:$8</definedName>
    <definedName name="_xlnm.Print_Titles" localSheetId="73">'411'!$A:$C,'411'!$1:$8</definedName>
    <definedName name="_xlnm.Print_Titles" localSheetId="74">'412'!$A:$C,'412'!$1:$8</definedName>
    <definedName name="_xlnm.Print_Titles" localSheetId="75">'413'!$A:$C,'413'!$1:$8</definedName>
    <definedName name="_xlnm.Print_Titles" localSheetId="76">'415'!$A:$C,'415'!$1:$8</definedName>
    <definedName name="_xlnm.Print_Titles" localSheetId="77">'418'!$A:$C,'418'!$1:$8</definedName>
    <definedName name="_xlnm.Print_Titles" localSheetId="78">'423'!$A:$C,'423'!$1:$8</definedName>
    <definedName name="_xlnm.Print_Titles" localSheetId="79">'424'!$A:$C,'424'!$1:$8</definedName>
    <definedName name="_xlnm.Print_Titles" localSheetId="80">'425'!$A:$C,'425'!$1:$8</definedName>
    <definedName name="_xlnm.Print_Titles" localSheetId="83">'430'!$A:$C,'430'!$1:$8</definedName>
    <definedName name="_xlnm.Print_Titles" localSheetId="84">'433'!$A:$C,'433'!$1:$8</definedName>
    <definedName name="_xlnm.Print_Titles" localSheetId="85">'444'!$A:$C,'444'!$1:$8</definedName>
    <definedName name="_xlnm.Print_Titles" localSheetId="86">'450'!$A:$C,'450'!$1:$8</definedName>
    <definedName name="_xlnm.Print_Titles" localSheetId="81">'455'!$A:$C,'455'!$1:$8</definedName>
    <definedName name="_xlnm.Print_Titles" localSheetId="71">'491'!$A:$C,'491'!$1:$8</definedName>
    <definedName name="_xlnm.Print_Titles" localSheetId="82">'492'!$A:$C,'492'!$1:$8</definedName>
    <definedName name="_xlnm.Print_Titles" localSheetId="88">'501'!$A:$C,'501'!$1:$8</definedName>
    <definedName name="_xlnm.Print_Titles" localSheetId="89">Dept!$A:$C,Dept!$1:$8</definedName>
    <definedName name="_xlnm.Print_Titles" localSheetId="37">'Div 1'!$A:$C,'Div 1'!$1:$8</definedName>
    <definedName name="_xlnm.Print_Titles" localSheetId="39">'Div 2'!$A:$C,'Div 2'!$1:$8</definedName>
    <definedName name="_xlnm.Print_Titles" localSheetId="41">'Div 3'!$A:$C,'Div 3'!$1:$8</definedName>
    <definedName name="_xlnm.Print_Titles" localSheetId="69">'Div 4'!$A:$C,'Div 4'!$1:$8</definedName>
    <definedName name="_xlnm.Print_Titles" localSheetId="87">'Div 5'!$A:$C,'Div 5'!$1:$8</definedName>
    <definedName name="_xlnm.Print_Titles" localSheetId="61">'Div 6'!$A:$C,'Div 6'!$1:$8</definedName>
    <definedName name="_xlnm.Print_Titles" localSheetId="13">'OSR_300 &amp; 317_1C00ID4'!$A:$C,'OSR_300 &amp; 317_1C00ID4'!$1:$8</definedName>
    <definedName name="_xlnm.Print_Titles" localSheetId="11">OSR_300_IYZXI6!$A:$C,OSR_300_IYZXI6!$1:$8</definedName>
    <definedName name="_xlnm.Print_Titles" localSheetId="19">OSR_308_UAWDAG!$A:$C,OSR_308_UAWDAG!$1:$8</definedName>
    <definedName name="_xlnm.Print_Titles" localSheetId="34">'OSR_310 &amp; 49...7615ada9_1PJ8EDG'!$A:$C,'OSR_310 &amp; 49...7615ada9_1PJ8EDG'!$1:$8</definedName>
    <definedName name="_xlnm.Print_Titles" localSheetId="32">'OSR_310 &amp; 49...76bf5af7_1A2901X'!$A:$C,'OSR_310 &amp; 49...76bf5af7_1A2901X'!$1:$8</definedName>
    <definedName name="_xlnm.Print_Titles" localSheetId="30">'OSR_310 &amp; 491...c23f2d59_X1JXXU'!$A:$C,'OSR_310 &amp; 491...c23f2d59_X1JXXU'!$1:$8</definedName>
    <definedName name="_xlnm.Print_Titles" localSheetId="27">'OSR_310 &amp; 491_1NGRCS9'!$A:$C,'OSR_310 &amp; 491_1NGRCS9'!$1:$8</definedName>
    <definedName name="_xlnm.Print_Titles" localSheetId="15">OSR_310_1CMTOSB!$A:$C,OSR_310_1CMTOSB!$1:$8</definedName>
    <definedName name="_xlnm.Print_Titles" localSheetId="17">OSR_330_10VFP5Y!$A:$C,OSR_330_10VFP5Y!$1:$8</definedName>
    <definedName name="_xlnm.Print_Titles" localSheetId="21">OSR_331_10VKQAJ!$A:$C,OSR_331_10VKQAJ!$1:$8</definedName>
    <definedName name="_xlnm.Print_Titles" localSheetId="23">OSR_332_6NDVBW!$A:$C,OSR_332_6NDVBW!$1:$8</definedName>
    <definedName name="_xlnm.Print_Titles" localSheetId="29">OSR_491_9Z9JH5!$A:$C,OSR_491_9Z9JH5!$1:$8</definedName>
    <definedName name="_xlnm.Print_Titles" localSheetId="31">OSR_492_943FP1!$A:$C,OSR_492_943FP1!$1:$8</definedName>
    <definedName name="_xlnm.Print_Titles" localSheetId="4">'OSR_Current ...69b7dd8c_1IEQKFK'!$A:$C,'OSR_Current ...69b7dd8c_1IEQKFK'!$1:$8</definedName>
    <definedName name="_xlnm.Print_Titles" localSheetId="6">'OSR_Dept (2)_...dd5b15a0_2T6PUA'!$A:$C,'OSR_Dept (2)_...dd5b15a0_2T6PUA'!$1:$8</definedName>
    <definedName name="_xlnm.Print_Titles" localSheetId="90">OSR_Dept_Y0WUKY!$A:$C,OSR_Dept_Y0WUKY!$1:$8</definedName>
    <definedName name="_xlnm.Print_Titles" localSheetId="26">'OSR_Div 1 (1...42fef80a_1JUNUIZ'!$A:$C,'OSR_Div 1 (1...42fef80a_1JUNUIZ'!$1:$8</definedName>
    <definedName name="_xlnm.Print_Titles" localSheetId="24">'OSR_Div 1 (10...e834aaf2_4B2R3Z'!$A:$C,'OSR_Div 1 (10...e834aaf2_4B2R3Z'!$1:$8</definedName>
    <definedName name="_xlnm.Print_Titles" localSheetId="8">'OSR_Div 1 (2...9b2bdc94_1Y8VZ4A'!$A:$C,'OSR_Div 1 (2...9b2bdc94_1Y8VZ4A'!$1:$8</definedName>
    <definedName name="_xlnm.Print_Titles" localSheetId="10">'OSR_Div 1 (3...74ea2e91_1YANJVT'!$A:$C,'OSR_Div 1 (3...74ea2e91_1YANJVT'!$1:$8</definedName>
    <definedName name="_xlnm.Print_Titles" localSheetId="12">'OSR_Div 1 (4)...cdd6f638_NQSRHK'!$A:$C,'OSR_Div 1 (4)...cdd6f638_NQSRHK'!$1:$8</definedName>
    <definedName name="_xlnm.Print_Titles" localSheetId="14">'OSR_Div 1 (5)...14c61d9ac_RUIH7'!$A:$C,'OSR_Div 1 (5)...14c61d9ac_RUIH7'!$1:$8</definedName>
    <definedName name="_xlnm.Print_Titles" localSheetId="16">'OSR_Div 1 (6)...754b1b2a_ZV1FUK'!$A:$C,'OSR_Div 1 (6)...754b1b2a_ZV1FUK'!$1:$8</definedName>
    <definedName name="_xlnm.Print_Titles" localSheetId="18">'OSR_Div 1 (7)...77c4adfc_YECVQC'!$A:$C,'OSR_Div 1 (7)...77c4adfc_YECVQC'!$1:$8</definedName>
    <definedName name="_xlnm.Print_Titles" localSheetId="20">'OSR_Div 1 (8...54681dd8_1N56J6G'!$A:$C,'OSR_Div 1 (8...54681dd8_1N56J6G'!$1:$8</definedName>
    <definedName name="_xlnm.Print_Titles" localSheetId="22">'OSR_Div 1 (9)...81df0cf4_TBZUNU'!$A:$C,'OSR_Div 1 (9)...81df0cf4_TBZUNU'!$1:$8</definedName>
    <definedName name="_xlnm.Print_Titles" localSheetId="5">'OSR_Div 1_7H47HR'!$A:$C,'OSR_Div 1_7H47HR'!$1:$8</definedName>
    <definedName name="_xlnm.Print_Titles" localSheetId="7">'OSR_Div 2_1PQ800A'!$A:$C,'OSR_Div 2_1PQ800A'!$1:$8</definedName>
    <definedName name="_xlnm.Print_Titles" localSheetId="9">'OSR_Div 3_18723PH'!$A:$C,'OSR_Div 3_18723PH'!$1:$8</definedName>
    <definedName name="_xlnm.Print_Titles" localSheetId="28">'OSR_Div 4 (2)...a8a8204b_XPPX5M'!$A:$C,'OSR_Div 4 (2)...a8a8204b_XPPX5M'!$1:$8</definedName>
    <definedName name="_xlnm.Print_Titles" localSheetId="25">'OSR_Div 4_1740TMT'!$A:$C,'OSR_Div 4_1740TMT'!$1:$8</definedName>
    <definedName name="_xlnm.Print_Titles" localSheetId="36">'OSR_Div 5 (2...bac05800_1LZIM8H'!$A:$C,'OSR_Div 5 (2...bac05800_1LZIM8H'!$1:$8</definedName>
    <definedName name="_xlnm.Print_Titles" localSheetId="33">'OSR_Div 5_16NAZO2'!$A:$C,'OSR_Div 5_16NAZO2'!$1:$8</definedName>
    <definedName name="_xlnm.Print_Titles" localSheetId="35">'OSR_Div 6_P37YY7'!$A:$C,'OSR_Div 6_P37YY7'!$1:$8</definedName>
    <definedName name="_xlnm.Print_Titles" localSheetId="91">'OSR_Summary (...56e5d78f_5JEYZH'!$A:$C,'OSR_Summary (...56e5d78f_5JEYZH'!$1:$8</definedName>
    <definedName name="_xlnm.Print_Titles" localSheetId="3">OSR_Summary_18VAVWG!$A:$C,OSR_Summary_18VAVWG!$1:$8</definedName>
    <definedName name="_xlnm.Print_Titles" localSheetId="2">Summary!$A:$C,Summary!$1:$8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92" l="1"/>
  <c r="B38" i="92"/>
  <c r="G34" i="92"/>
  <c r="E34" i="92"/>
  <c r="D34" i="92"/>
  <c r="G33" i="92"/>
  <c r="E33" i="92"/>
  <c r="D33" i="92"/>
  <c r="G28" i="92"/>
  <c r="E28" i="92"/>
  <c r="D28" i="92"/>
  <c r="G23" i="92"/>
  <c r="E23" i="92"/>
  <c r="D23" i="92"/>
  <c r="G21" i="92"/>
  <c r="E21" i="92"/>
  <c r="D21" i="92"/>
  <c r="B21" i="92"/>
  <c r="G20" i="92"/>
  <c r="E20" i="92"/>
  <c r="D20" i="92"/>
  <c r="B20" i="92"/>
  <c r="G19" i="92"/>
  <c r="E19" i="92"/>
  <c r="D19" i="92"/>
  <c r="G14" i="92"/>
  <c r="E14" i="92"/>
  <c r="D14" i="92"/>
  <c r="B14" i="92"/>
  <c r="G13" i="92"/>
  <c r="E13" i="92"/>
  <c r="D13" i="92"/>
  <c r="G11" i="92"/>
  <c r="E11" i="92"/>
  <c r="D11" i="92"/>
  <c r="B11" i="92"/>
  <c r="G10" i="92"/>
  <c r="E10" i="92"/>
  <c r="D10" i="92"/>
  <c r="E8" i="92"/>
  <c r="D8" i="92"/>
  <c r="B5" i="92"/>
  <c r="B39" i="91"/>
  <c r="B38" i="91"/>
  <c r="G34" i="91"/>
  <c r="E34" i="91"/>
  <c r="D34" i="91"/>
  <c r="G33" i="91"/>
  <c r="E33" i="91"/>
  <c r="D33" i="91"/>
  <c r="G28" i="91"/>
  <c r="E28" i="91"/>
  <c r="D28" i="91"/>
  <c r="G23" i="91"/>
  <c r="E23" i="91"/>
  <c r="D23" i="91"/>
  <c r="G21" i="91"/>
  <c r="E21" i="91"/>
  <c r="D21" i="91"/>
  <c r="B21" i="91"/>
  <c r="G20" i="91"/>
  <c r="E20" i="91"/>
  <c r="D20" i="91"/>
  <c r="B20" i="91"/>
  <c r="G19" i="91"/>
  <c r="E19" i="91"/>
  <c r="D19" i="91"/>
  <c r="G14" i="91"/>
  <c r="E14" i="91"/>
  <c r="D14" i="91"/>
  <c r="B14" i="91"/>
  <c r="G13" i="91"/>
  <c r="E13" i="91"/>
  <c r="D13" i="91"/>
  <c r="G11" i="91"/>
  <c r="E11" i="91"/>
  <c r="D11" i="91"/>
  <c r="B11" i="91"/>
  <c r="G10" i="91"/>
  <c r="E10" i="91"/>
  <c r="D10" i="91"/>
  <c r="E8" i="91"/>
  <c r="D8" i="91"/>
  <c r="B5" i="91"/>
  <c r="B39" i="90"/>
  <c r="B38" i="90"/>
  <c r="G34" i="90"/>
  <c r="E34" i="90"/>
  <c r="D34" i="90"/>
  <c r="G33" i="90"/>
  <c r="E33" i="90"/>
  <c r="D33" i="90"/>
  <c r="G28" i="90"/>
  <c r="E28" i="90"/>
  <c r="D28" i="90"/>
  <c r="G23" i="90"/>
  <c r="E23" i="90"/>
  <c r="D23" i="90"/>
  <c r="G21" i="90"/>
  <c r="E21" i="90"/>
  <c r="D21" i="90"/>
  <c r="B21" i="90"/>
  <c r="G20" i="90"/>
  <c r="E20" i="90"/>
  <c r="D20" i="90"/>
  <c r="B20" i="90"/>
  <c r="G19" i="90"/>
  <c r="E19" i="90"/>
  <c r="D19" i="90"/>
  <c r="G14" i="90"/>
  <c r="E14" i="90"/>
  <c r="D14" i="90"/>
  <c r="B14" i="90"/>
  <c r="G13" i="90"/>
  <c r="E13" i="90"/>
  <c r="D13" i="90"/>
  <c r="G11" i="90"/>
  <c r="E11" i="90"/>
  <c r="D11" i="90"/>
  <c r="B11" i="90"/>
  <c r="G10" i="90"/>
  <c r="E10" i="90"/>
  <c r="D10" i="90"/>
  <c r="E8" i="90"/>
  <c r="D8" i="90"/>
  <c r="B5" i="90"/>
  <c r="Q73" i="89"/>
  <c r="D68" i="89"/>
  <c r="Q68" i="89" s="1"/>
  <c r="Q66" i="89"/>
  <c r="B66" i="89"/>
  <c r="O65" i="89"/>
  <c r="N65" i="89"/>
  <c r="M65" i="89"/>
  <c r="L65" i="89"/>
  <c r="K65" i="89"/>
  <c r="J65" i="89"/>
  <c r="I65" i="89"/>
  <c r="H65" i="89"/>
  <c r="G65" i="89"/>
  <c r="F65" i="89"/>
  <c r="E65" i="89"/>
  <c r="Q65" i="89" s="1"/>
  <c r="D65" i="89"/>
  <c r="B65" i="89"/>
  <c r="Q64" i="89"/>
  <c r="B64" i="89"/>
  <c r="O63" i="89"/>
  <c r="N63" i="89"/>
  <c r="M63" i="89"/>
  <c r="L63" i="89"/>
  <c r="K63" i="89"/>
  <c r="J63" i="89"/>
  <c r="I63" i="89"/>
  <c r="H63" i="89"/>
  <c r="G63" i="89"/>
  <c r="F63" i="89"/>
  <c r="E63" i="89"/>
  <c r="Q63" i="89" s="1"/>
  <c r="D63" i="89"/>
  <c r="B63" i="89"/>
  <c r="Q62" i="89"/>
  <c r="B62" i="89"/>
  <c r="Q61" i="89"/>
  <c r="B61" i="89"/>
  <c r="O60" i="89"/>
  <c r="N60" i="89"/>
  <c r="M60" i="89"/>
  <c r="L60" i="89"/>
  <c r="K60" i="89"/>
  <c r="J60" i="89"/>
  <c r="I60" i="89"/>
  <c r="H60" i="89"/>
  <c r="G60" i="89"/>
  <c r="Q60" i="89" s="1"/>
  <c r="F60" i="89"/>
  <c r="E60" i="89"/>
  <c r="D60" i="89"/>
  <c r="B60" i="89"/>
  <c r="Q59" i="89"/>
  <c r="B59" i="89"/>
  <c r="O58" i="89"/>
  <c r="O18" i="89" s="1"/>
  <c r="N58" i="89"/>
  <c r="M58" i="89"/>
  <c r="L58" i="89"/>
  <c r="K58" i="89"/>
  <c r="J58" i="89"/>
  <c r="J18" i="89" s="1"/>
  <c r="I58" i="89"/>
  <c r="H58" i="89"/>
  <c r="G58" i="89"/>
  <c r="F58" i="89"/>
  <c r="E58" i="89"/>
  <c r="D58" i="89"/>
  <c r="B58" i="89"/>
  <c r="Q57" i="89"/>
  <c r="B57" i="89"/>
  <c r="Q56" i="89"/>
  <c r="B56" i="89"/>
  <c r="Q55" i="89"/>
  <c r="B55" i="89"/>
  <c r="O54" i="89"/>
  <c r="N54" i="89"/>
  <c r="M54" i="89"/>
  <c r="L54" i="89"/>
  <c r="K54" i="89"/>
  <c r="J54" i="89"/>
  <c r="I54" i="89"/>
  <c r="H54" i="89"/>
  <c r="G54" i="89"/>
  <c r="F54" i="89"/>
  <c r="E54" i="89"/>
  <c r="D54" i="89"/>
  <c r="B54" i="89"/>
  <c r="Q53" i="89"/>
  <c r="B53" i="89"/>
  <c r="O52" i="89"/>
  <c r="N52" i="89"/>
  <c r="M52" i="89"/>
  <c r="L52" i="89"/>
  <c r="K52" i="89"/>
  <c r="J52" i="89"/>
  <c r="I52" i="89"/>
  <c r="H52" i="89"/>
  <c r="G52" i="89"/>
  <c r="F52" i="89"/>
  <c r="E52" i="89"/>
  <c r="D52" i="89"/>
  <c r="Q52" i="89" s="1"/>
  <c r="B52" i="89"/>
  <c r="Q51" i="89"/>
  <c r="B51" i="89"/>
  <c r="O50" i="89"/>
  <c r="N50" i="89"/>
  <c r="M50" i="89"/>
  <c r="L50" i="89"/>
  <c r="K50" i="89"/>
  <c r="J50" i="89"/>
  <c r="I50" i="89"/>
  <c r="H50" i="89"/>
  <c r="G50" i="89"/>
  <c r="F50" i="89"/>
  <c r="E50" i="89"/>
  <c r="D50" i="89"/>
  <c r="B50" i="89"/>
  <c r="Q49" i="89"/>
  <c r="B49" i="89"/>
  <c r="O48" i="89"/>
  <c r="N48" i="89"/>
  <c r="M48" i="89"/>
  <c r="L48" i="89"/>
  <c r="K48" i="89"/>
  <c r="K18" i="89" s="1"/>
  <c r="J48" i="89"/>
  <c r="I48" i="89"/>
  <c r="H48" i="89"/>
  <c r="G48" i="89"/>
  <c r="F48" i="89"/>
  <c r="E48" i="89"/>
  <c r="D48" i="89"/>
  <c r="B48" i="89"/>
  <c r="Q47" i="89"/>
  <c r="B47" i="89"/>
  <c r="O46" i="89"/>
  <c r="N46" i="89"/>
  <c r="M46" i="89"/>
  <c r="L46" i="89"/>
  <c r="K46" i="89"/>
  <c r="J46" i="89"/>
  <c r="I46" i="89"/>
  <c r="H46" i="89"/>
  <c r="G46" i="89"/>
  <c r="F46" i="89"/>
  <c r="E46" i="89"/>
  <c r="D46" i="89"/>
  <c r="B46" i="89"/>
  <c r="Q45" i="89"/>
  <c r="B45" i="89"/>
  <c r="O44" i="89"/>
  <c r="N44" i="89"/>
  <c r="M44" i="89"/>
  <c r="L44" i="89"/>
  <c r="K44" i="89"/>
  <c r="J44" i="89"/>
  <c r="I44" i="89"/>
  <c r="H44" i="89"/>
  <c r="G44" i="89"/>
  <c r="F44" i="89"/>
  <c r="E44" i="89"/>
  <c r="D44" i="89"/>
  <c r="B44" i="89"/>
  <c r="Q43" i="89"/>
  <c r="B43" i="89"/>
  <c r="O42" i="89"/>
  <c r="N42" i="89"/>
  <c r="M42" i="89"/>
  <c r="L42" i="89"/>
  <c r="K42" i="89"/>
  <c r="J42" i="89"/>
  <c r="I42" i="89"/>
  <c r="H42" i="89"/>
  <c r="G42" i="89"/>
  <c r="F42" i="89"/>
  <c r="E42" i="89"/>
  <c r="D42" i="89"/>
  <c r="Q42" i="89" s="1"/>
  <c r="B42" i="89"/>
  <c r="Q41" i="89"/>
  <c r="B41" i="89"/>
  <c r="O40" i="89"/>
  <c r="N40" i="89"/>
  <c r="M40" i="89"/>
  <c r="L40" i="89"/>
  <c r="K40" i="89"/>
  <c r="J40" i="89"/>
  <c r="I40" i="89"/>
  <c r="H40" i="89"/>
  <c r="G40" i="89"/>
  <c r="F40" i="89"/>
  <c r="E40" i="89"/>
  <c r="D40" i="89"/>
  <c r="B40" i="89"/>
  <c r="Q39" i="89"/>
  <c r="B39" i="89"/>
  <c r="Q38" i="89"/>
  <c r="B38" i="89"/>
  <c r="Q37" i="89"/>
  <c r="B37" i="89"/>
  <c r="Q36" i="89"/>
  <c r="B36" i="89"/>
  <c r="Q35" i="89"/>
  <c r="B35" i="89"/>
  <c r="Q34" i="89"/>
  <c r="B34" i="89"/>
  <c r="Q33" i="89"/>
  <c r="B33" i="89"/>
  <c r="Q32" i="89"/>
  <c r="B32" i="89"/>
  <c r="Q31" i="89"/>
  <c r="B31" i="89"/>
  <c r="Q30" i="89"/>
  <c r="B30" i="89"/>
  <c r="O29" i="89"/>
  <c r="N29" i="89"/>
  <c r="M29" i="89"/>
  <c r="L29" i="89"/>
  <c r="K29" i="89"/>
  <c r="J29" i="89"/>
  <c r="I29" i="89"/>
  <c r="H29" i="89"/>
  <c r="G29" i="89"/>
  <c r="F29" i="89"/>
  <c r="E29" i="89"/>
  <c r="Q29" i="89" s="1"/>
  <c r="D29" i="89"/>
  <c r="B29" i="89"/>
  <c r="Q28" i="89"/>
  <c r="B28" i="89"/>
  <c r="Q27" i="89"/>
  <c r="B27" i="89"/>
  <c r="Q26" i="89"/>
  <c r="B26" i="89"/>
  <c r="Q25" i="89"/>
  <c r="B25" i="89"/>
  <c r="Q24" i="89"/>
  <c r="B24" i="89"/>
  <c r="Q23" i="89"/>
  <c r="B23" i="89"/>
  <c r="Q22" i="89"/>
  <c r="B22" i="89"/>
  <c r="Q21" i="89"/>
  <c r="B21" i="89"/>
  <c r="Q20" i="89"/>
  <c r="B20" i="89"/>
  <c r="O19" i="89"/>
  <c r="N19" i="89"/>
  <c r="M19" i="89"/>
  <c r="L19" i="89"/>
  <c r="K19" i="89"/>
  <c r="J19" i="89"/>
  <c r="I19" i="89"/>
  <c r="I18" i="89" s="1"/>
  <c r="H19" i="89"/>
  <c r="H18" i="89" s="1"/>
  <c r="G19" i="89"/>
  <c r="F19" i="89"/>
  <c r="E19" i="89"/>
  <c r="D19" i="89"/>
  <c r="B19" i="89"/>
  <c r="N18" i="89"/>
  <c r="L18" i="89"/>
  <c r="L70" i="89" s="1"/>
  <c r="F18" i="89"/>
  <c r="D18" i="89"/>
  <c r="L16" i="89"/>
  <c r="I16" i="89"/>
  <c r="H16" i="89"/>
  <c r="N15" i="89"/>
  <c r="M15" i="89"/>
  <c r="L15" i="89"/>
  <c r="I15" i="89"/>
  <c r="I70" i="89" s="1"/>
  <c r="H15" i="89"/>
  <c r="F15" i="89"/>
  <c r="E15" i="89"/>
  <c r="Q13" i="89"/>
  <c r="O13" i="89"/>
  <c r="N13" i="89"/>
  <c r="M13" i="89"/>
  <c r="L13" i="89"/>
  <c r="K13" i="89"/>
  <c r="J13" i="89"/>
  <c r="I13" i="89"/>
  <c r="H13" i="89"/>
  <c r="G13" i="89"/>
  <c r="F13" i="89"/>
  <c r="E13" i="89"/>
  <c r="D13" i="89"/>
  <c r="D11" i="89"/>
  <c r="B11" i="89"/>
  <c r="O10" i="89"/>
  <c r="O15" i="89" s="1"/>
  <c r="N10" i="89"/>
  <c r="M10" i="89"/>
  <c r="L10" i="89"/>
  <c r="K10" i="89"/>
  <c r="K15" i="89" s="1"/>
  <c r="J10" i="89"/>
  <c r="J15" i="89" s="1"/>
  <c r="I10" i="89"/>
  <c r="H10" i="89"/>
  <c r="G10" i="89"/>
  <c r="G15" i="89" s="1"/>
  <c r="F10" i="89"/>
  <c r="E10" i="89"/>
  <c r="O8" i="89"/>
  <c r="N8" i="89"/>
  <c r="M8" i="89"/>
  <c r="L8" i="89"/>
  <c r="K8" i="89"/>
  <c r="J8" i="89"/>
  <c r="I8" i="89"/>
  <c r="H8" i="89"/>
  <c r="G8" i="89"/>
  <c r="F8" i="89"/>
  <c r="E8" i="89"/>
  <c r="D8" i="89"/>
  <c r="B5" i="89"/>
  <c r="K26" i="88"/>
  <c r="Q24" i="88"/>
  <c r="N21" i="88"/>
  <c r="D19" i="88"/>
  <c r="Q19" i="88" s="1"/>
  <c r="Q17" i="88"/>
  <c r="O17" i="88"/>
  <c r="N17" i="88"/>
  <c r="M17" i="88"/>
  <c r="L17" i="88"/>
  <c r="K17" i="88"/>
  <c r="J17" i="88"/>
  <c r="I17" i="88"/>
  <c r="H17" i="88"/>
  <c r="G17" i="88"/>
  <c r="F17" i="88"/>
  <c r="E17" i="88"/>
  <c r="D17" i="88"/>
  <c r="K15" i="88"/>
  <c r="Q14" i="88"/>
  <c r="Q21" i="88" s="1"/>
  <c r="O14" i="88"/>
  <c r="K14" i="88"/>
  <c r="K21" i="88" s="1"/>
  <c r="K22" i="88" s="1"/>
  <c r="H14" i="88"/>
  <c r="H21" i="88" s="1"/>
  <c r="G14" i="88"/>
  <c r="Q12" i="88"/>
  <c r="O12" i="88"/>
  <c r="N12" i="88"/>
  <c r="M12" i="88"/>
  <c r="L12" i="88"/>
  <c r="K12" i="88"/>
  <c r="J12" i="88"/>
  <c r="I12" i="88"/>
  <c r="H12" i="88"/>
  <c r="G12" i="88"/>
  <c r="F12" i="88"/>
  <c r="E12" i="88"/>
  <c r="D12" i="88"/>
  <c r="Q10" i="88"/>
  <c r="O10" i="88"/>
  <c r="N10" i="88"/>
  <c r="N14" i="88" s="1"/>
  <c r="N15" i="88" s="1"/>
  <c r="M10" i="88"/>
  <c r="M14" i="88" s="1"/>
  <c r="L10" i="88"/>
  <c r="K10" i="88"/>
  <c r="J10" i="88"/>
  <c r="J14" i="88" s="1"/>
  <c r="J21" i="88" s="1"/>
  <c r="I10" i="88"/>
  <c r="I14" i="88" s="1"/>
  <c r="H10" i="88"/>
  <c r="G10" i="88"/>
  <c r="F10" i="88"/>
  <c r="F14" i="88" s="1"/>
  <c r="F15" i="88" s="1"/>
  <c r="E10" i="88"/>
  <c r="E14" i="88" s="1"/>
  <c r="D10" i="88"/>
  <c r="O8" i="88"/>
  <c r="N8" i="88"/>
  <c r="M8" i="88"/>
  <c r="L8" i="88"/>
  <c r="K8" i="88"/>
  <c r="J8" i="88"/>
  <c r="I8" i="88"/>
  <c r="H8" i="88"/>
  <c r="G8" i="88"/>
  <c r="F8" i="88"/>
  <c r="E8" i="88"/>
  <c r="D8" i="88"/>
  <c r="B5" i="88"/>
  <c r="Q85" i="87"/>
  <c r="D80" i="87"/>
  <c r="Q80" i="87" s="1"/>
  <c r="Q78" i="87"/>
  <c r="B78" i="87"/>
  <c r="O77" i="87"/>
  <c r="N77" i="87"/>
  <c r="M77" i="87"/>
  <c r="L77" i="87"/>
  <c r="K77" i="87"/>
  <c r="J77" i="87"/>
  <c r="I77" i="87"/>
  <c r="H77" i="87"/>
  <c r="G77" i="87"/>
  <c r="F77" i="87"/>
  <c r="E77" i="87"/>
  <c r="D77" i="87"/>
  <c r="B77" i="87"/>
  <c r="Q76" i="87"/>
  <c r="B76" i="87"/>
  <c r="O75" i="87"/>
  <c r="N75" i="87"/>
  <c r="M75" i="87"/>
  <c r="L75" i="87"/>
  <c r="K75" i="87"/>
  <c r="J75" i="87"/>
  <c r="I75" i="87"/>
  <c r="H75" i="87"/>
  <c r="G75" i="87"/>
  <c r="F75" i="87"/>
  <c r="E75" i="87"/>
  <c r="D75" i="87"/>
  <c r="B75" i="87"/>
  <c r="Q74" i="87"/>
  <c r="B74" i="87"/>
  <c r="Q73" i="87"/>
  <c r="B73" i="87"/>
  <c r="Q72" i="87"/>
  <c r="B72" i="87"/>
  <c r="Q71" i="87"/>
  <c r="B71" i="87"/>
  <c r="Q70" i="87"/>
  <c r="B70" i="87"/>
  <c r="Q69" i="87"/>
  <c r="B69" i="87"/>
  <c r="O68" i="87"/>
  <c r="N68" i="87"/>
  <c r="M68" i="87"/>
  <c r="L68" i="87"/>
  <c r="K68" i="87"/>
  <c r="J68" i="87"/>
  <c r="I68" i="87"/>
  <c r="H68" i="87"/>
  <c r="Q68" i="87" s="1"/>
  <c r="G68" i="87"/>
  <c r="F68" i="87"/>
  <c r="E68" i="87"/>
  <c r="D68" i="87"/>
  <c r="B68" i="87"/>
  <c r="Q67" i="87"/>
  <c r="B67" i="87"/>
  <c r="Q66" i="87"/>
  <c r="B66" i="87"/>
  <c r="Q65" i="87"/>
  <c r="B65" i="87"/>
  <c r="Q64" i="87"/>
  <c r="B64" i="87"/>
  <c r="O63" i="87"/>
  <c r="N63" i="87"/>
  <c r="M63" i="87"/>
  <c r="L63" i="87"/>
  <c r="K63" i="87"/>
  <c r="J63" i="87"/>
  <c r="I63" i="87"/>
  <c r="H63" i="87"/>
  <c r="G63" i="87"/>
  <c r="F63" i="87"/>
  <c r="E63" i="87"/>
  <c r="D63" i="87"/>
  <c r="Q63" i="87" s="1"/>
  <c r="B63" i="87"/>
  <c r="Q62" i="87"/>
  <c r="B62" i="87"/>
  <c r="Q61" i="87"/>
  <c r="B61" i="87"/>
  <c r="O60" i="87"/>
  <c r="N60" i="87"/>
  <c r="M60" i="87"/>
  <c r="L60" i="87"/>
  <c r="K60" i="87"/>
  <c r="J60" i="87"/>
  <c r="I60" i="87"/>
  <c r="H60" i="87"/>
  <c r="Q60" i="87" s="1"/>
  <c r="G60" i="87"/>
  <c r="F60" i="87"/>
  <c r="E60" i="87"/>
  <c r="D60" i="87"/>
  <c r="B60" i="87"/>
  <c r="Q59" i="87"/>
  <c r="B59" i="87"/>
  <c r="O58" i="87"/>
  <c r="N58" i="87"/>
  <c r="M58" i="87"/>
  <c r="L58" i="87"/>
  <c r="K58" i="87"/>
  <c r="J58" i="87"/>
  <c r="I58" i="87"/>
  <c r="H58" i="87"/>
  <c r="Q58" i="87" s="1"/>
  <c r="G58" i="87"/>
  <c r="F58" i="87"/>
  <c r="E58" i="87"/>
  <c r="D58" i="87"/>
  <c r="B58" i="87"/>
  <c r="Q57" i="87"/>
  <c r="B57" i="87"/>
  <c r="O56" i="87"/>
  <c r="N56" i="87"/>
  <c r="M56" i="87"/>
  <c r="L56" i="87"/>
  <c r="K56" i="87"/>
  <c r="J56" i="87"/>
  <c r="I56" i="87"/>
  <c r="H56" i="87"/>
  <c r="Q56" i="87" s="1"/>
  <c r="G56" i="87"/>
  <c r="F56" i="87"/>
  <c r="E56" i="87"/>
  <c r="D56" i="87"/>
  <c r="B56" i="87"/>
  <c r="Q55" i="87"/>
  <c r="B55" i="87"/>
  <c r="O54" i="87"/>
  <c r="N54" i="87"/>
  <c r="M54" i="87"/>
  <c r="L54" i="87"/>
  <c r="K54" i="87"/>
  <c r="J54" i="87"/>
  <c r="I54" i="87"/>
  <c r="H54" i="87"/>
  <c r="Q54" i="87" s="1"/>
  <c r="G54" i="87"/>
  <c r="F54" i="87"/>
  <c r="E54" i="87"/>
  <c r="D54" i="87"/>
  <c r="B54" i="87"/>
  <c r="Q53" i="87"/>
  <c r="B53" i="87"/>
  <c r="O52" i="87"/>
  <c r="N52" i="87"/>
  <c r="M52" i="87"/>
  <c r="L52" i="87"/>
  <c r="K52" i="87"/>
  <c r="J52" i="87"/>
  <c r="I52" i="87"/>
  <c r="H52" i="87"/>
  <c r="Q52" i="87" s="1"/>
  <c r="G52" i="87"/>
  <c r="F52" i="87"/>
  <c r="E52" i="87"/>
  <c r="D52" i="87"/>
  <c r="B52" i="87"/>
  <c r="Q51" i="87"/>
  <c r="B51" i="87"/>
  <c r="O50" i="87"/>
  <c r="N50" i="87"/>
  <c r="M50" i="87"/>
  <c r="L50" i="87"/>
  <c r="K50" i="87"/>
  <c r="J50" i="87"/>
  <c r="I50" i="87"/>
  <c r="H50" i="87"/>
  <c r="Q50" i="87" s="1"/>
  <c r="G50" i="87"/>
  <c r="F50" i="87"/>
  <c r="E50" i="87"/>
  <c r="D50" i="87"/>
  <c r="B50" i="87"/>
  <c r="Q49" i="87"/>
  <c r="B49" i="87"/>
  <c r="O48" i="87"/>
  <c r="N48" i="87"/>
  <c r="M48" i="87"/>
  <c r="L48" i="87"/>
  <c r="K48" i="87"/>
  <c r="J48" i="87"/>
  <c r="I48" i="87"/>
  <c r="H48" i="87"/>
  <c r="Q48" i="87" s="1"/>
  <c r="G48" i="87"/>
  <c r="F48" i="87"/>
  <c r="E48" i="87"/>
  <c r="D48" i="87"/>
  <c r="B48" i="87"/>
  <c r="Q47" i="87"/>
  <c r="B47" i="87"/>
  <c r="O46" i="87"/>
  <c r="N46" i="87"/>
  <c r="M46" i="87"/>
  <c r="L46" i="87"/>
  <c r="K46" i="87"/>
  <c r="J46" i="87"/>
  <c r="I46" i="87"/>
  <c r="H46" i="87"/>
  <c r="Q46" i="87" s="1"/>
  <c r="G46" i="87"/>
  <c r="F46" i="87"/>
  <c r="E46" i="87"/>
  <c r="D46" i="87"/>
  <c r="B46" i="87"/>
  <c r="Q45" i="87"/>
  <c r="B45" i="87"/>
  <c r="O44" i="87"/>
  <c r="N44" i="87"/>
  <c r="M44" i="87"/>
  <c r="L44" i="87"/>
  <c r="K44" i="87"/>
  <c r="J44" i="87"/>
  <c r="I44" i="87"/>
  <c r="H44" i="87"/>
  <c r="Q44" i="87" s="1"/>
  <c r="G44" i="87"/>
  <c r="F44" i="87"/>
  <c r="E44" i="87"/>
  <c r="D44" i="87"/>
  <c r="B44" i="87"/>
  <c r="Q43" i="87"/>
  <c r="B43" i="87"/>
  <c r="O42" i="87"/>
  <c r="N42" i="87"/>
  <c r="M42" i="87"/>
  <c r="L42" i="87"/>
  <c r="K42" i="87"/>
  <c r="J42" i="87"/>
  <c r="I42" i="87"/>
  <c r="I19" i="87" s="1"/>
  <c r="H42" i="87"/>
  <c r="Q42" i="87" s="1"/>
  <c r="G42" i="87"/>
  <c r="F42" i="87"/>
  <c r="E42" i="87"/>
  <c r="D42" i="87"/>
  <c r="B42" i="87"/>
  <c r="Q41" i="87"/>
  <c r="B41" i="87"/>
  <c r="Q40" i="87"/>
  <c r="B40" i="87"/>
  <c r="Q39" i="87"/>
  <c r="B39" i="87"/>
  <c r="Q38" i="87"/>
  <c r="B38" i="87"/>
  <c r="Q37" i="87"/>
  <c r="B37" i="87"/>
  <c r="Q36" i="87"/>
  <c r="B36" i="87"/>
  <c r="Q35" i="87"/>
  <c r="B35" i="87"/>
  <c r="Q34" i="87"/>
  <c r="B34" i="87"/>
  <c r="Q33" i="87"/>
  <c r="B33" i="87"/>
  <c r="Q32" i="87"/>
  <c r="B32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B31" i="87"/>
  <c r="Q30" i="87"/>
  <c r="B30" i="87"/>
  <c r="Q29" i="87"/>
  <c r="B29" i="87"/>
  <c r="Q28" i="87"/>
  <c r="B28" i="87"/>
  <c r="Q27" i="87"/>
  <c r="B27" i="87"/>
  <c r="Q26" i="87"/>
  <c r="B26" i="87"/>
  <c r="Q25" i="87"/>
  <c r="B25" i="87"/>
  <c r="Q24" i="87"/>
  <c r="B24" i="87"/>
  <c r="Q23" i="87"/>
  <c r="B23" i="87"/>
  <c r="Q22" i="87"/>
  <c r="B22" i="87"/>
  <c r="Q21" i="87"/>
  <c r="B21" i="87"/>
  <c r="O20" i="87"/>
  <c r="O19" i="87" s="1"/>
  <c r="N20" i="87"/>
  <c r="M20" i="87"/>
  <c r="M19" i="87" s="1"/>
  <c r="M82" i="87" s="1"/>
  <c r="L20" i="87"/>
  <c r="L19" i="87" s="1"/>
  <c r="K20" i="87"/>
  <c r="J20" i="87"/>
  <c r="I20" i="87"/>
  <c r="H20" i="87"/>
  <c r="H19" i="87" s="1"/>
  <c r="G20" i="87"/>
  <c r="G19" i="87" s="1"/>
  <c r="F20" i="87"/>
  <c r="E20" i="87"/>
  <c r="E19" i="87" s="1"/>
  <c r="E82" i="87" s="1"/>
  <c r="D20" i="87"/>
  <c r="B20" i="87"/>
  <c r="K19" i="87"/>
  <c r="J19" i="87"/>
  <c r="O17" i="87"/>
  <c r="H17" i="87"/>
  <c r="M16" i="87"/>
  <c r="M17" i="87" s="1"/>
  <c r="L16" i="87"/>
  <c r="H16" i="87"/>
  <c r="E16" i="87"/>
  <c r="E17" i="87" s="1"/>
  <c r="D16" i="87"/>
  <c r="Q14" i="87"/>
  <c r="Q13" i="87" s="1"/>
  <c r="B14" i="87"/>
  <c r="O13" i="87"/>
  <c r="N13" i="87"/>
  <c r="M13" i="87"/>
  <c r="L13" i="87"/>
  <c r="K13" i="87"/>
  <c r="J13" i="87"/>
  <c r="I13" i="87"/>
  <c r="H13" i="87"/>
  <c r="G13" i="87"/>
  <c r="F13" i="87"/>
  <c r="E13" i="87"/>
  <c r="D13" i="87"/>
  <c r="Q11" i="87"/>
  <c r="Q10" i="87" s="1"/>
  <c r="D11" i="87"/>
  <c r="B11" i="87"/>
  <c r="O10" i="87"/>
  <c r="O16" i="87" s="1"/>
  <c r="O82" i="87" s="1"/>
  <c r="N10" i="87"/>
  <c r="N16" i="87" s="1"/>
  <c r="M10" i="87"/>
  <c r="L10" i="87"/>
  <c r="K10" i="87"/>
  <c r="J10" i="87"/>
  <c r="J16" i="87" s="1"/>
  <c r="I10" i="87"/>
  <c r="I16" i="87" s="1"/>
  <c r="H10" i="87"/>
  <c r="G10" i="87"/>
  <c r="G16" i="87" s="1"/>
  <c r="G82" i="87" s="1"/>
  <c r="F10" i="87"/>
  <c r="F16" i="87" s="1"/>
  <c r="E10" i="87"/>
  <c r="D10" i="87"/>
  <c r="O8" i="87"/>
  <c r="N8" i="87"/>
  <c r="M8" i="87"/>
  <c r="L8" i="87"/>
  <c r="K8" i="87"/>
  <c r="J8" i="87"/>
  <c r="I8" i="87"/>
  <c r="H8" i="87"/>
  <c r="G8" i="87"/>
  <c r="F8" i="87"/>
  <c r="E8" i="87"/>
  <c r="D8" i="87"/>
  <c r="B5" i="87"/>
  <c r="Q92" i="86"/>
  <c r="Q87" i="86"/>
  <c r="D87" i="86"/>
  <c r="Q85" i="86"/>
  <c r="B85" i="86"/>
  <c r="O84" i="86"/>
  <c r="N84" i="86"/>
  <c r="M84" i="86"/>
  <c r="L84" i="86"/>
  <c r="K84" i="86"/>
  <c r="J84" i="86"/>
  <c r="I84" i="86"/>
  <c r="H84" i="86"/>
  <c r="Q84" i="86" s="1"/>
  <c r="G84" i="86"/>
  <c r="F84" i="86"/>
  <c r="E84" i="86"/>
  <c r="D84" i="86"/>
  <c r="B84" i="86"/>
  <c r="Q83" i="86"/>
  <c r="B83" i="86"/>
  <c r="O82" i="86"/>
  <c r="N82" i="86"/>
  <c r="M82" i="86"/>
  <c r="L82" i="86"/>
  <c r="K82" i="86"/>
  <c r="J82" i="86"/>
  <c r="I82" i="86"/>
  <c r="H82" i="86"/>
  <c r="Q82" i="86" s="1"/>
  <c r="G82" i="86"/>
  <c r="F82" i="86"/>
  <c r="E82" i="86"/>
  <c r="D82" i="86"/>
  <c r="B82" i="86"/>
  <c r="Q81" i="86"/>
  <c r="B81" i="86"/>
  <c r="Q80" i="86"/>
  <c r="B80" i="86"/>
  <c r="Q79" i="86"/>
  <c r="B79" i="86"/>
  <c r="Q78" i="86"/>
  <c r="B78" i="86"/>
  <c r="Q77" i="86"/>
  <c r="B77" i="86"/>
  <c r="Q76" i="86"/>
  <c r="B76" i="86"/>
  <c r="O75" i="86"/>
  <c r="N75" i="86"/>
  <c r="M75" i="86"/>
  <c r="L75" i="86"/>
  <c r="K75" i="86"/>
  <c r="J75" i="86"/>
  <c r="I75" i="86"/>
  <c r="H75" i="86"/>
  <c r="G75" i="86"/>
  <c r="F75" i="86"/>
  <c r="E75" i="86"/>
  <c r="D75" i="86"/>
  <c r="B75" i="86"/>
  <c r="Q74" i="86"/>
  <c r="B74" i="86"/>
  <c r="O73" i="86"/>
  <c r="N73" i="86"/>
  <c r="M73" i="86"/>
  <c r="L73" i="86"/>
  <c r="K73" i="86"/>
  <c r="J73" i="86"/>
  <c r="I73" i="86"/>
  <c r="H73" i="86"/>
  <c r="G73" i="86"/>
  <c r="F73" i="86"/>
  <c r="E73" i="86"/>
  <c r="D73" i="86"/>
  <c r="B73" i="86"/>
  <c r="Q72" i="86"/>
  <c r="B72" i="86"/>
  <c r="Q71" i="86"/>
  <c r="B71" i="86"/>
  <c r="Q70" i="86"/>
  <c r="B70" i="86"/>
  <c r="Q69" i="86"/>
  <c r="B69" i="86"/>
  <c r="O68" i="86"/>
  <c r="N68" i="86"/>
  <c r="M68" i="86"/>
  <c r="L68" i="86"/>
  <c r="K68" i="86"/>
  <c r="J68" i="86"/>
  <c r="I68" i="86"/>
  <c r="H68" i="86"/>
  <c r="H24" i="86" s="1"/>
  <c r="G68" i="86"/>
  <c r="F68" i="86"/>
  <c r="E68" i="86"/>
  <c r="D68" i="86"/>
  <c r="B68" i="86"/>
  <c r="Q67" i="86"/>
  <c r="B67" i="86"/>
  <c r="Q66" i="86"/>
  <c r="B66" i="86"/>
  <c r="O65" i="86"/>
  <c r="N65" i="86"/>
  <c r="M65" i="86"/>
  <c r="L65" i="86"/>
  <c r="K65" i="86"/>
  <c r="J65" i="86"/>
  <c r="I65" i="86"/>
  <c r="H65" i="86"/>
  <c r="G65" i="86"/>
  <c r="F65" i="86"/>
  <c r="E65" i="86"/>
  <c r="D65" i="86"/>
  <c r="B65" i="86"/>
  <c r="Q64" i="86"/>
  <c r="B64" i="86"/>
  <c r="O63" i="86"/>
  <c r="N63" i="86"/>
  <c r="M63" i="86"/>
  <c r="L63" i="86"/>
  <c r="K63" i="86"/>
  <c r="J63" i="86"/>
  <c r="I63" i="86"/>
  <c r="H63" i="86"/>
  <c r="G63" i="86"/>
  <c r="F63" i="86"/>
  <c r="E63" i="86"/>
  <c r="D63" i="86"/>
  <c r="B63" i="86"/>
  <c r="Q62" i="86"/>
  <c r="B62" i="86"/>
  <c r="O61" i="86"/>
  <c r="N61" i="86"/>
  <c r="M61" i="86"/>
  <c r="L61" i="86"/>
  <c r="K61" i="86"/>
  <c r="J61" i="86"/>
  <c r="I61" i="86"/>
  <c r="H61" i="86"/>
  <c r="G61" i="86"/>
  <c r="F61" i="86"/>
  <c r="E61" i="86"/>
  <c r="D61" i="86"/>
  <c r="B61" i="86"/>
  <c r="Q60" i="86"/>
  <c r="B60" i="86"/>
  <c r="O59" i="86"/>
  <c r="N59" i="86"/>
  <c r="M59" i="86"/>
  <c r="L59" i="86"/>
  <c r="K59" i="86"/>
  <c r="J59" i="86"/>
  <c r="I59" i="86"/>
  <c r="H59" i="86"/>
  <c r="G59" i="86"/>
  <c r="F59" i="86"/>
  <c r="E59" i="86"/>
  <c r="D59" i="86"/>
  <c r="B59" i="86"/>
  <c r="Q58" i="86"/>
  <c r="B58" i="86"/>
  <c r="O57" i="86"/>
  <c r="N57" i="86"/>
  <c r="M57" i="86"/>
  <c r="L57" i="86"/>
  <c r="K57" i="86"/>
  <c r="J57" i="86"/>
  <c r="I57" i="86"/>
  <c r="H57" i="86"/>
  <c r="G57" i="86"/>
  <c r="F57" i="86"/>
  <c r="E57" i="86"/>
  <c r="D57" i="86"/>
  <c r="Q57" i="86" s="1"/>
  <c r="B57" i="86"/>
  <c r="Q56" i="86"/>
  <c r="B56" i="86"/>
  <c r="O55" i="86"/>
  <c r="N55" i="86"/>
  <c r="M55" i="86"/>
  <c r="L55" i="86"/>
  <c r="K55" i="86"/>
  <c r="J55" i="86"/>
  <c r="I55" i="86"/>
  <c r="H55" i="86"/>
  <c r="G55" i="86"/>
  <c r="F55" i="86"/>
  <c r="E55" i="86"/>
  <c r="D55" i="86"/>
  <c r="Q55" i="86" s="1"/>
  <c r="B55" i="86"/>
  <c r="Q54" i="86"/>
  <c r="B54" i="86"/>
  <c r="O53" i="86"/>
  <c r="N53" i="86"/>
  <c r="M53" i="86"/>
  <c r="L53" i="86"/>
  <c r="K53" i="86"/>
  <c r="J53" i="86"/>
  <c r="I53" i="86"/>
  <c r="H53" i="86"/>
  <c r="G53" i="86"/>
  <c r="F53" i="86"/>
  <c r="E53" i="86"/>
  <c r="D53" i="86"/>
  <c r="B53" i="86"/>
  <c r="Q52" i="86"/>
  <c r="B52" i="86"/>
  <c r="O51" i="86"/>
  <c r="N51" i="86"/>
  <c r="M51" i="86"/>
  <c r="L51" i="86"/>
  <c r="K51" i="86"/>
  <c r="J51" i="86"/>
  <c r="I51" i="86"/>
  <c r="H51" i="86"/>
  <c r="G51" i="86"/>
  <c r="F51" i="86"/>
  <c r="E51" i="86"/>
  <c r="D51" i="86"/>
  <c r="B51" i="86"/>
  <c r="Q50" i="86"/>
  <c r="B50" i="86"/>
  <c r="O49" i="86"/>
  <c r="N49" i="86"/>
  <c r="M49" i="86"/>
  <c r="L49" i="86"/>
  <c r="K49" i="86"/>
  <c r="J49" i="86"/>
  <c r="I49" i="86"/>
  <c r="H49" i="86"/>
  <c r="G49" i="86"/>
  <c r="F49" i="86"/>
  <c r="E49" i="86"/>
  <c r="D49" i="86"/>
  <c r="B49" i="86"/>
  <c r="Q48" i="86"/>
  <c r="B48" i="86"/>
  <c r="O47" i="86"/>
  <c r="N47" i="86"/>
  <c r="M47" i="86"/>
  <c r="L47" i="86"/>
  <c r="K47" i="86"/>
  <c r="K24" i="86" s="1"/>
  <c r="J47" i="86"/>
  <c r="I47" i="86"/>
  <c r="H47" i="86"/>
  <c r="G47" i="86"/>
  <c r="F47" i="86"/>
  <c r="E47" i="86"/>
  <c r="D47" i="86"/>
  <c r="B47" i="86"/>
  <c r="Q46" i="86"/>
  <c r="B46" i="86"/>
  <c r="Q45" i="86"/>
  <c r="B45" i="86"/>
  <c r="Q44" i="86"/>
  <c r="B44" i="86"/>
  <c r="Q43" i="86"/>
  <c r="B43" i="86"/>
  <c r="Q42" i="86"/>
  <c r="B42" i="86"/>
  <c r="Q41" i="86"/>
  <c r="B41" i="86"/>
  <c r="Q40" i="86"/>
  <c r="B40" i="86"/>
  <c r="Q39" i="86"/>
  <c r="B39" i="86"/>
  <c r="Q38" i="86"/>
  <c r="B38" i="86"/>
  <c r="Q37" i="86"/>
  <c r="B37" i="86"/>
  <c r="O36" i="86"/>
  <c r="N36" i="86"/>
  <c r="M36" i="86"/>
  <c r="L36" i="86"/>
  <c r="L24" i="86" s="1"/>
  <c r="K36" i="86"/>
  <c r="J36" i="86"/>
  <c r="I36" i="86"/>
  <c r="H36" i="86"/>
  <c r="G36" i="86"/>
  <c r="F36" i="86"/>
  <c r="E36" i="86"/>
  <c r="D36" i="86"/>
  <c r="B36" i="86"/>
  <c r="Q35" i="86"/>
  <c r="B35" i="86"/>
  <c r="Q34" i="86"/>
  <c r="B34" i="86"/>
  <c r="Q33" i="86"/>
  <c r="B33" i="86"/>
  <c r="Q32" i="86"/>
  <c r="B32" i="86"/>
  <c r="Q31" i="86"/>
  <c r="B31" i="86"/>
  <c r="Q30" i="86"/>
  <c r="B30" i="86"/>
  <c r="Q29" i="86"/>
  <c r="B29" i="86"/>
  <c r="Q28" i="86"/>
  <c r="B28" i="86"/>
  <c r="Q27" i="86"/>
  <c r="B27" i="86"/>
  <c r="Q26" i="86"/>
  <c r="B26" i="86"/>
  <c r="O25" i="86"/>
  <c r="O24" i="86" s="1"/>
  <c r="N25" i="86"/>
  <c r="N24" i="86" s="1"/>
  <c r="M25" i="86"/>
  <c r="L25" i="86"/>
  <c r="K25" i="86"/>
  <c r="J25" i="86"/>
  <c r="J24" i="86" s="1"/>
  <c r="I25" i="86"/>
  <c r="I24" i="86" s="1"/>
  <c r="H25" i="86"/>
  <c r="G25" i="86"/>
  <c r="F25" i="86"/>
  <c r="F24" i="86" s="1"/>
  <c r="E25" i="86"/>
  <c r="D25" i="86"/>
  <c r="B25" i="86"/>
  <c r="M24" i="86"/>
  <c r="G24" i="86"/>
  <c r="E24" i="86"/>
  <c r="D24" i="86"/>
  <c r="M22" i="86"/>
  <c r="J22" i="86"/>
  <c r="O21" i="86"/>
  <c r="O22" i="86" s="1"/>
  <c r="J21" i="86"/>
  <c r="I21" i="86"/>
  <c r="G21" i="86"/>
  <c r="Q19" i="86"/>
  <c r="B19" i="86"/>
  <c r="Q18" i="86"/>
  <c r="B18" i="86"/>
  <c r="Q17" i="86"/>
  <c r="Q16" i="86" s="1"/>
  <c r="B17" i="86"/>
  <c r="O16" i="86"/>
  <c r="N16" i="86"/>
  <c r="M16" i="86"/>
  <c r="L16" i="86"/>
  <c r="K16" i="86"/>
  <c r="J16" i="86"/>
  <c r="I16" i="86"/>
  <c r="H16" i="86"/>
  <c r="G16" i="86"/>
  <c r="F16" i="86"/>
  <c r="E16" i="86"/>
  <c r="D16" i="86"/>
  <c r="D14" i="86"/>
  <c r="Q14" i="86" s="1"/>
  <c r="B14" i="86"/>
  <c r="Q13" i="86"/>
  <c r="D13" i="86"/>
  <c r="B13" i="86"/>
  <c r="D12" i="86"/>
  <c r="Q12" i="86" s="1"/>
  <c r="B12" i="86"/>
  <c r="D11" i="86"/>
  <c r="D10" i="86" s="1"/>
  <c r="B11" i="86"/>
  <c r="O10" i="86"/>
  <c r="N10" i="86"/>
  <c r="N21" i="86" s="1"/>
  <c r="M10" i="86"/>
  <c r="M21" i="86" s="1"/>
  <c r="L10" i="86"/>
  <c r="K10" i="86"/>
  <c r="K21" i="86" s="1"/>
  <c r="J10" i="86"/>
  <c r="I10" i="86"/>
  <c r="H10" i="86"/>
  <c r="H21" i="86" s="1"/>
  <c r="G10" i="86"/>
  <c r="F10" i="86"/>
  <c r="F21" i="86" s="1"/>
  <c r="E10" i="86"/>
  <c r="E21" i="86" s="1"/>
  <c r="E22" i="86" s="1"/>
  <c r="O8" i="86"/>
  <c r="N8" i="86"/>
  <c r="M8" i="86"/>
  <c r="L8" i="86"/>
  <c r="K8" i="86"/>
  <c r="J8" i="86"/>
  <c r="I8" i="86"/>
  <c r="H8" i="86"/>
  <c r="G8" i="86"/>
  <c r="F8" i="86"/>
  <c r="E8" i="86"/>
  <c r="D8" i="86"/>
  <c r="B5" i="86"/>
  <c r="Q86" i="85"/>
  <c r="Q81" i="85"/>
  <c r="D81" i="85"/>
  <c r="Q79" i="85"/>
  <c r="B79" i="85"/>
  <c r="O78" i="85"/>
  <c r="N78" i="85"/>
  <c r="M78" i="85"/>
  <c r="L78" i="85"/>
  <c r="K78" i="85"/>
  <c r="J78" i="85"/>
  <c r="I78" i="85"/>
  <c r="H78" i="85"/>
  <c r="G78" i="85"/>
  <c r="F78" i="85"/>
  <c r="E78" i="85"/>
  <c r="Q78" i="85" s="1"/>
  <c r="D78" i="85"/>
  <c r="B78" i="85"/>
  <c r="Q77" i="85"/>
  <c r="B77" i="85"/>
  <c r="O76" i="85"/>
  <c r="N76" i="85"/>
  <c r="M76" i="85"/>
  <c r="L76" i="85"/>
  <c r="K76" i="85"/>
  <c r="J76" i="85"/>
  <c r="I76" i="85"/>
  <c r="H76" i="85"/>
  <c r="G76" i="85"/>
  <c r="F76" i="85"/>
  <c r="E76" i="85"/>
  <c r="Q76" i="85" s="1"/>
  <c r="D76" i="85"/>
  <c r="B76" i="85"/>
  <c r="Q75" i="85"/>
  <c r="B75" i="85"/>
  <c r="Q74" i="85"/>
  <c r="B74" i="85"/>
  <c r="Q73" i="85"/>
  <c r="B73" i="85"/>
  <c r="Q72" i="85"/>
  <c r="B72" i="85"/>
  <c r="Q71" i="85"/>
  <c r="B71" i="85"/>
  <c r="Q70" i="85"/>
  <c r="B70" i="85"/>
  <c r="O69" i="85"/>
  <c r="N69" i="85"/>
  <c r="M69" i="85"/>
  <c r="L69" i="85"/>
  <c r="K69" i="85"/>
  <c r="J69" i="85"/>
  <c r="I69" i="85"/>
  <c r="H69" i="85"/>
  <c r="H19" i="85" s="1"/>
  <c r="G69" i="85"/>
  <c r="Q69" i="85" s="1"/>
  <c r="F69" i="85"/>
  <c r="E69" i="85"/>
  <c r="D69" i="85"/>
  <c r="B69" i="85"/>
  <c r="Q68" i="85"/>
  <c r="B68" i="85"/>
  <c r="Q67" i="85"/>
  <c r="B67" i="85"/>
  <c r="Q66" i="85"/>
  <c r="B66" i="85"/>
  <c r="Q65" i="85"/>
  <c r="B65" i="85"/>
  <c r="O64" i="85"/>
  <c r="N64" i="85"/>
  <c r="M64" i="85"/>
  <c r="L64" i="85"/>
  <c r="K64" i="85"/>
  <c r="J64" i="85"/>
  <c r="I64" i="85"/>
  <c r="H64" i="85"/>
  <c r="G64" i="85"/>
  <c r="F64" i="85"/>
  <c r="E64" i="85"/>
  <c r="Q64" i="85" s="1"/>
  <c r="D64" i="85"/>
  <c r="B64" i="85"/>
  <c r="Q63" i="85"/>
  <c r="B63" i="85"/>
  <c r="Q62" i="85"/>
  <c r="B62" i="85"/>
  <c r="Q61" i="85"/>
  <c r="B61" i="85"/>
  <c r="O60" i="85"/>
  <c r="N60" i="85"/>
  <c r="M60" i="85"/>
  <c r="L60" i="85"/>
  <c r="K60" i="85"/>
  <c r="J60" i="85"/>
  <c r="I60" i="85"/>
  <c r="H60" i="85"/>
  <c r="G60" i="85"/>
  <c r="F60" i="85"/>
  <c r="E60" i="85"/>
  <c r="D60" i="85"/>
  <c r="Q60" i="85" s="1"/>
  <c r="B60" i="85"/>
  <c r="Q59" i="85"/>
  <c r="B59" i="85"/>
  <c r="O58" i="85"/>
  <c r="N58" i="85"/>
  <c r="M58" i="85"/>
  <c r="L58" i="85"/>
  <c r="K58" i="85"/>
  <c r="J58" i="85"/>
  <c r="I58" i="85"/>
  <c r="H58" i="85"/>
  <c r="G58" i="85"/>
  <c r="F58" i="85"/>
  <c r="E58" i="85"/>
  <c r="D58" i="85"/>
  <c r="Q58" i="85" s="1"/>
  <c r="B58" i="85"/>
  <c r="Q57" i="85"/>
  <c r="B57" i="85"/>
  <c r="O56" i="85"/>
  <c r="N56" i="85"/>
  <c r="M56" i="85"/>
  <c r="L56" i="85"/>
  <c r="K56" i="85"/>
  <c r="J56" i="85"/>
  <c r="I56" i="85"/>
  <c r="H56" i="85"/>
  <c r="G56" i="85"/>
  <c r="F56" i="85"/>
  <c r="E56" i="85"/>
  <c r="D56" i="85"/>
  <c r="B56" i="85"/>
  <c r="Q55" i="85"/>
  <c r="B55" i="85"/>
  <c r="O54" i="85"/>
  <c r="N54" i="85"/>
  <c r="M54" i="85"/>
  <c r="L54" i="85"/>
  <c r="K54" i="85"/>
  <c r="J54" i="85"/>
  <c r="I54" i="85"/>
  <c r="H54" i="85"/>
  <c r="G54" i="85"/>
  <c r="F54" i="85"/>
  <c r="E54" i="85"/>
  <c r="D54" i="85"/>
  <c r="B54" i="85"/>
  <c r="Q53" i="85"/>
  <c r="B53" i="85"/>
  <c r="O52" i="85"/>
  <c r="N52" i="85"/>
  <c r="M52" i="85"/>
  <c r="L52" i="85"/>
  <c r="K52" i="85"/>
  <c r="J52" i="85"/>
  <c r="I52" i="85"/>
  <c r="H52" i="85"/>
  <c r="G52" i="85"/>
  <c r="F52" i="85"/>
  <c r="E52" i="85"/>
  <c r="D52" i="85"/>
  <c r="B52" i="85"/>
  <c r="Q51" i="85"/>
  <c r="B51" i="85"/>
  <c r="O50" i="85"/>
  <c r="N50" i="85"/>
  <c r="M50" i="85"/>
  <c r="L50" i="85"/>
  <c r="K50" i="85"/>
  <c r="J50" i="85"/>
  <c r="I50" i="85"/>
  <c r="H50" i="85"/>
  <c r="G50" i="85"/>
  <c r="F50" i="85"/>
  <c r="E50" i="85"/>
  <c r="D50" i="85"/>
  <c r="B50" i="85"/>
  <c r="Q49" i="85"/>
  <c r="B49" i="85"/>
  <c r="O48" i="85"/>
  <c r="N48" i="85"/>
  <c r="M48" i="85"/>
  <c r="L48" i="85"/>
  <c r="K48" i="85"/>
  <c r="J48" i="85"/>
  <c r="I48" i="85"/>
  <c r="H48" i="85"/>
  <c r="G48" i="85"/>
  <c r="F48" i="85"/>
  <c r="E48" i="85"/>
  <c r="D48" i="85"/>
  <c r="B48" i="85"/>
  <c r="Q47" i="85"/>
  <c r="B47" i="85"/>
  <c r="O46" i="85"/>
  <c r="N46" i="85"/>
  <c r="M46" i="85"/>
  <c r="L46" i="85"/>
  <c r="K46" i="85"/>
  <c r="J46" i="85"/>
  <c r="I46" i="85"/>
  <c r="H46" i="85"/>
  <c r="G46" i="85"/>
  <c r="F46" i="85"/>
  <c r="E46" i="85"/>
  <c r="D46" i="85"/>
  <c r="B46" i="85"/>
  <c r="Q45" i="85"/>
  <c r="B45" i="85"/>
  <c r="O44" i="85"/>
  <c r="N44" i="85"/>
  <c r="M44" i="85"/>
  <c r="L44" i="85"/>
  <c r="K44" i="85"/>
  <c r="J44" i="85"/>
  <c r="I44" i="85"/>
  <c r="H44" i="85"/>
  <c r="G44" i="85"/>
  <c r="F44" i="85"/>
  <c r="E44" i="85"/>
  <c r="D44" i="85"/>
  <c r="Q44" i="85" s="1"/>
  <c r="B44" i="85"/>
  <c r="Q43" i="85"/>
  <c r="B43" i="85"/>
  <c r="O42" i="85"/>
  <c r="N42" i="85"/>
  <c r="M42" i="85"/>
  <c r="L42" i="85"/>
  <c r="K42" i="85"/>
  <c r="J42" i="85"/>
  <c r="I42" i="85"/>
  <c r="H42" i="85"/>
  <c r="G42" i="85"/>
  <c r="F42" i="85"/>
  <c r="E42" i="85"/>
  <c r="D42" i="85"/>
  <c r="Q42" i="85" s="1"/>
  <c r="B42" i="85"/>
  <c r="Q41" i="85"/>
  <c r="B41" i="85"/>
  <c r="Q40" i="85"/>
  <c r="B40" i="85"/>
  <c r="Q39" i="85"/>
  <c r="B39" i="85"/>
  <c r="Q38" i="85"/>
  <c r="B38" i="85"/>
  <c r="Q37" i="85"/>
  <c r="B37" i="85"/>
  <c r="Q36" i="85"/>
  <c r="B36" i="85"/>
  <c r="Q35" i="85"/>
  <c r="B35" i="85"/>
  <c r="Q34" i="85"/>
  <c r="B34" i="85"/>
  <c r="Q33" i="85"/>
  <c r="B33" i="85"/>
  <c r="Q32" i="85"/>
  <c r="B32" i="85"/>
  <c r="O31" i="85"/>
  <c r="N31" i="85"/>
  <c r="M31" i="85"/>
  <c r="L31" i="85"/>
  <c r="L19" i="85" s="1"/>
  <c r="K31" i="85"/>
  <c r="J31" i="85"/>
  <c r="I31" i="85"/>
  <c r="H31" i="85"/>
  <c r="G31" i="85"/>
  <c r="F31" i="85"/>
  <c r="E31" i="85"/>
  <c r="D31" i="85"/>
  <c r="B31" i="85"/>
  <c r="Q30" i="85"/>
  <c r="B30" i="85"/>
  <c r="Q29" i="85"/>
  <c r="B29" i="85"/>
  <c r="Q28" i="85"/>
  <c r="B28" i="85"/>
  <c r="Q27" i="85"/>
  <c r="B27" i="85"/>
  <c r="Q26" i="85"/>
  <c r="B26" i="85"/>
  <c r="Q25" i="85"/>
  <c r="B25" i="85"/>
  <c r="Q24" i="85"/>
  <c r="B24" i="85"/>
  <c r="Q23" i="85"/>
  <c r="B23" i="85"/>
  <c r="Q22" i="85"/>
  <c r="B22" i="85"/>
  <c r="Q21" i="85"/>
  <c r="B21" i="85"/>
  <c r="O20" i="85"/>
  <c r="O19" i="85" s="1"/>
  <c r="N20" i="85"/>
  <c r="N19" i="85" s="1"/>
  <c r="M20" i="85"/>
  <c r="M19" i="85" s="1"/>
  <c r="L20" i="85"/>
  <c r="K20" i="85"/>
  <c r="J20" i="85"/>
  <c r="I20" i="85"/>
  <c r="H20" i="85"/>
  <c r="G20" i="85"/>
  <c r="G19" i="85" s="1"/>
  <c r="F20" i="85"/>
  <c r="F19" i="85" s="1"/>
  <c r="E20" i="85"/>
  <c r="D20" i="85"/>
  <c r="B20" i="85"/>
  <c r="K19" i="85"/>
  <c r="Q17" i="85"/>
  <c r="J17" i="85"/>
  <c r="I17" i="85"/>
  <c r="H17" i="85"/>
  <c r="O16" i="85"/>
  <c r="O17" i="85" s="1"/>
  <c r="N16" i="85"/>
  <c r="J16" i="85"/>
  <c r="H16" i="85"/>
  <c r="H83" i="85" s="1"/>
  <c r="H88" i="85" s="1"/>
  <c r="G16" i="85"/>
  <c r="G17" i="85" s="1"/>
  <c r="F16" i="85"/>
  <c r="Q14" i="85"/>
  <c r="B14" i="85"/>
  <c r="Q13" i="85"/>
  <c r="O13" i="85"/>
  <c r="N13" i="85"/>
  <c r="M13" i="85"/>
  <c r="L13" i="85"/>
  <c r="K13" i="85"/>
  <c r="J13" i="85"/>
  <c r="I13" i="85"/>
  <c r="H13" i="85"/>
  <c r="G13" i="85"/>
  <c r="F13" i="85"/>
  <c r="E13" i="85"/>
  <c r="D13" i="85"/>
  <c r="D11" i="85"/>
  <c r="Q11" i="85" s="1"/>
  <c r="Q10" i="85" s="1"/>
  <c r="Q16" i="85" s="1"/>
  <c r="B11" i="85"/>
  <c r="O10" i="85"/>
  <c r="N10" i="85"/>
  <c r="M10" i="85"/>
  <c r="M16" i="85" s="1"/>
  <c r="L10" i="85"/>
  <c r="K10" i="85"/>
  <c r="K16" i="85" s="1"/>
  <c r="J10" i="85"/>
  <c r="I10" i="85"/>
  <c r="I16" i="85" s="1"/>
  <c r="H10" i="85"/>
  <c r="G10" i="85"/>
  <c r="F10" i="85"/>
  <c r="E10" i="85"/>
  <c r="E16" i="85" s="1"/>
  <c r="D10" i="85"/>
  <c r="O8" i="85"/>
  <c r="N8" i="85"/>
  <c r="M8" i="85"/>
  <c r="L8" i="85"/>
  <c r="K8" i="85"/>
  <c r="J8" i="85"/>
  <c r="I8" i="85"/>
  <c r="H8" i="85"/>
  <c r="G8" i="85"/>
  <c r="F8" i="85"/>
  <c r="E8" i="85"/>
  <c r="D8" i="85"/>
  <c r="B5" i="85"/>
  <c r="Q56" i="84"/>
  <c r="D51" i="84"/>
  <c r="Q51" i="84" s="1"/>
  <c r="Q49" i="84"/>
  <c r="B49" i="84"/>
  <c r="O48" i="84"/>
  <c r="N48" i="84"/>
  <c r="M48" i="84"/>
  <c r="L48" i="84"/>
  <c r="K48" i="84"/>
  <c r="J48" i="84"/>
  <c r="I48" i="84"/>
  <c r="I17" i="84" s="1"/>
  <c r="H48" i="84"/>
  <c r="G48" i="84"/>
  <c r="F48" i="84"/>
  <c r="E48" i="84"/>
  <c r="D48" i="84"/>
  <c r="Q48" i="84" s="1"/>
  <c r="B48" i="84"/>
  <c r="Q47" i="84"/>
  <c r="B47" i="84"/>
  <c r="Q46" i="84"/>
  <c r="B46" i="84"/>
  <c r="O45" i="84"/>
  <c r="N45" i="84"/>
  <c r="M45" i="84"/>
  <c r="L45" i="84"/>
  <c r="K45" i="84"/>
  <c r="J45" i="84"/>
  <c r="I45" i="84"/>
  <c r="H45" i="84"/>
  <c r="G45" i="84"/>
  <c r="F45" i="84"/>
  <c r="E45" i="84"/>
  <c r="D45" i="84"/>
  <c r="Q45" i="84" s="1"/>
  <c r="B45" i="84"/>
  <c r="Q44" i="84"/>
  <c r="B44" i="84"/>
  <c r="O43" i="84"/>
  <c r="N43" i="84"/>
  <c r="M43" i="84"/>
  <c r="L43" i="84"/>
  <c r="K43" i="84"/>
  <c r="K17" i="84" s="1"/>
  <c r="J43" i="84"/>
  <c r="I43" i="84"/>
  <c r="H43" i="84"/>
  <c r="G43" i="84"/>
  <c r="F43" i="84"/>
  <c r="E43" i="84"/>
  <c r="D43" i="84"/>
  <c r="B43" i="84"/>
  <c r="Q42" i="84"/>
  <c r="B42" i="84"/>
  <c r="O41" i="84"/>
  <c r="N41" i="84"/>
  <c r="M41" i="84"/>
  <c r="L41" i="84"/>
  <c r="K41" i="84"/>
  <c r="J41" i="84"/>
  <c r="I41" i="84"/>
  <c r="H41" i="84"/>
  <c r="G41" i="84"/>
  <c r="F41" i="84"/>
  <c r="E41" i="84"/>
  <c r="D41" i="84"/>
  <c r="Q41" i="84" s="1"/>
  <c r="B41" i="84"/>
  <c r="Q40" i="84"/>
  <c r="B40" i="84"/>
  <c r="O39" i="84"/>
  <c r="N39" i="84"/>
  <c r="M39" i="84"/>
  <c r="L39" i="84"/>
  <c r="K39" i="84"/>
  <c r="J39" i="84"/>
  <c r="I39" i="84"/>
  <c r="H39" i="84"/>
  <c r="G39" i="84"/>
  <c r="F39" i="84"/>
  <c r="E39" i="84"/>
  <c r="D39" i="84"/>
  <c r="B39" i="84"/>
  <c r="Q38" i="84"/>
  <c r="B38" i="84"/>
  <c r="Q37" i="84"/>
  <c r="B37" i="84"/>
  <c r="Q36" i="84"/>
  <c r="B36" i="84"/>
  <c r="Q35" i="84"/>
  <c r="B35" i="84"/>
  <c r="Q34" i="84"/>
  <c r="B34" i="84"/>
  <c r="Q33" i="84"/>
  <c r="B33" i="84"/>
  <c r="Q32" i="84"/>
  <c r="B32" i="84"/>
  <c r="Q31" i="84"/>
  <c r="B31" i="84"/>
  <c r="Q30" i="84"/>
  <c r="B30" i="84"/>
  <c r="Q29" i="84"/>
  <c r="B29" i="84"/>
  <c r="O28" i="84"/>
  <c r="N28" i="84"/>
  <c r="M28" i="84"/>
  <c r="L28" i="84"/>
  <c r="K28" i="84"/>
  <c r="J28" i="84"/>
  <c r="I28" i="84"/>
  <c r="H28" i="84"/>
  <c r="G28" i="84"/>
  <c r="F28" i="84"/>
  <c r="E28" i="84"/>
  <c r="Q28" i="84" s="1"/>
  <c r="D28" i="84"/>
  <c r="B28" i="84"/>
  <c r="Q27" i="84"/>
  <c r="B27" i="84"/>
  <c r="Q26" i="84"/>
  <c r="B26" i="84"/>
  <c r="Q25" i="84"/>
  <c r="B25" i="84"/>
  <c r="Q24" i="84"/>
  <c r="B24" i="84"/>
  <c r="Q23" i="84"/>
  <c r="B23" i="84"/>
  <c r="Q22" i="84"/>
  <c r="B22" i="84"/>
  <c r="Q21" i="84"/>
  <c r="B21" i="84"/>
  <c r="Q20" i="84"/>
  <c r="B20" i="84"/>
  <c r="Q19" i="84"/>
  <c r="B19" i="84"/>
  <c r="O18" i="84"/>
  <c r="O17" i="84" s="1"/>
  <c r="N18" i="84"/>
  <c r="M18" i="84"/>
  <c r="L18" i="84"/>
  <c r="K18" i="84"/>
  <c r="J18" i="84"/>
  <c r="J17" i="84" s="1"/>
  <c r="I18" i="84"/>
  <c r="H18" i="84"/>
  <c r="G18" i="84"/>
  <c r="G17" i="84" s="1"/>
  <c r="F18" i="84"/>
  <c r="E18" i="84"/>
  <c r="D18" i="84"/>
  <c r="B18" i="84"/>
  <c r="H17" i="84"/>
  <c r="H53" i="84" s="1"/>
  <c r="N14" i="84"/>
  <c r="M14" i="84"/>
  <c r="F14" i="84"/>
  <c r="E14" i="84"/>
  <c r="Q12" i="84"/>
  <c r="O12" i="84"/>
  <c r="N12" i="84"/>
  <c r="M12" i="84"/>
  <c r="L12" i="84"/>
  <c r="K12" i="84"/>
  <c r="J12" i="84"/>
  <c r="J14" i="84" s="1"/>
  <c r="I12" i="84"/>
  <c r="H12" i="84"/>
  <c r="G12" i="84"/>
  <c r="F12" i="84"/>
  <c r="E12" i="84"/>
  <c r="D12" i="84"/>
  <c r="Q10" i="84"/>
  <c r="Q14" i="84" s="1"/>
  <c r="Q15" i="84" s="1"/>
  <c r="O10" i="84"/>
  <c r="O14" i="84" s="1"/>
  <c r="N10" i="84"/>
  <c r="M10" i="84"/>
  <c r="L10" i="84"/>
  <c r="L14" i="84" s="1"/>
  <c r="K10" i="84"/>
  <c r="J10" i="84"/>
  <c r="I10" i="84"/>
  <c r="I14" i="84" s="1"/>
  <c r="I15" i="84" s="1"/>
  <c r="H10" i="84"/>
  <c r="H14" i="84" s="1"/>
  <c r="H15" i="84" s="1"/>
  <c r="G10" i="84"/>
  <c r="G14" i="84" s="1"/>
  <c r="F10" i="84"/>
  <c r="E10" i="84"/>
  <c r="D10" i="84"/>
  <c r="D14" i="84" s="1"/>
  <c r="O8" i="84"/>
  <c r="N8" i="84"/>
  <c r="M8" i="84"/>
  <c r="L8" i="84"/>
  <c r="K8" i="84"/>
  <c r="J8" i="84"/>
  <c r="I8" i="84"/>
  <c r="H8" i="84"/>
  <c r="G8" i="84"/>
  <c r="F8" i="84"/>
  <c r="E8" i="84"/>
  <c r="D8" i="84"/>
  <c r="B5" i="84"/>
  <c r="G33" i="83"/>
  <c r="G34" i="83" s="1"/>
  <c r="Q27" i="83"/>
  <c r="O25" i="83"/>
  <c r="G25" i="83"/>
  <c r="Q22" i="83"/>
  <c r="D22" i="83"/>
  <c r="Q20" i="83"/>
  <c r="B20" i="83"/>
  <c r="O19" i="83"/>
  <c r="N19" i="83"/>
  <c r="N18" i="83" s="1"/>
  <c r="M19" i="83"/>
  <c r="M18" i="83" s="1"/>
  <c r="L19" i="83"/>
  <c r="L18" i="83" s="1"/>
  <c r="K19" i="83"/>
  <c r="J19" i="83"/>
  <c r="I19" i="83"/>
  <c r="I18" i="83" s="1"/>
  <c r="H19" i="83"/>
  <c r="G19" i="83"/>
  <c r="F19" i="83"/>
  <c r="F18" i="83" s="1"/>
  <c r="E19" i="83"/>
  <c r="E18" i="83" s="1"/>
  <c r="D19" i="83"/>
  <c r="B19" i="83"/>
  <c r="O18" i="83"/>
  <c r="K18" i="83"/>
  <c r="J18" i="83"/>
  <c r="H18" i="83"/>
  <c r="G18" i="83"/>
  <c r="O16" i="83"/>
  <c r="G16" i="83"/>
  <c r="O15" i="83"/>
  <c r="O24" i="83" s="1"/>
  <c r="O29" i="83" s="1"/>
  <c r="O30" i="83" s="1"/>
  <c r="N15" i="83"/>
  <c r="N16" i="83" s="1"/>
  <c r="M15" i="83"/>
  <c r="G15" i="83"/>
  <c r="G24" i="83" s="1"/>
  <c r="G29" i="83" s="1"/>
  <c r="G30" i="83" s="1"/>
  <c r="F15" i="83"/>
  <c r="F16" i="83" s="1"/>
  <c r="E15" i="83"/>
  <c r="D15" i="83"/>
  <c r="D16" i="83" s="1"/>
  <c r="Q13" i="83"/>
  <c r="B13" i="83"/>
  <c r="Q12" i="83"/>
  <c r="O12" i="83"/>
  <c r="N12" i="83"/>
  <c r="M12" i="83"/>
  <c r="L12" i="83"/>
  <c r="L15" i="83" s="1"/>
  <c r="K12" i="83"/>
  <c r="J12" i="83"/>
  <c r="I12" i="83"/>
  <c r="H12" i="83"/>
  <c r="G12" i="83"/>
  <c r="F12" i="83"/>
  <c r="E12" i="83"/>
  <c r="D12" i="83"/>
  <c r="Q10" i="83"/>
  <c r="Q15" i="83" s="1"/>
  <c r="O10" i="83"/>
  <c r="N10" i="83"/>
  <c r="M10" i="83"/>
  <c r="L10" i="83"/>
  <c r="K10" i="83"/>
  <c r="J10" i="83"/>
  <c r="J15" i="83" s="1"/>
  <c r="I10" i="83"/>
  <c r="I15" i="83" s="1"/>
  <c r="H10" i="83"/>
  <c r="H15" i="83" s="1"/>
  <c r="H24" i="83" s="1"/>
  <c r="H25" i="83" s="1"/>
  <c r="G10" i="83"/>
  <c r="F10" i="83"/>
  <c r="E10" i="83"/>
  <c r="D10" i="83"/>
  <c r="O8" i="83"/>
  <c r="N8" i="83"/>
  <c r="M8" i="83"/>
  <c r="L8" i="83"/>
  <c r="K8" i="83"/>
  <c r="J8" i="83"/>
  <c r="I8" i="83"/>
  <c r="H8" i="83"/>
  <c r="G8" i="83"/>
  <c r="F8" i="83"/>
  <c r="E8" i="83"/>
  <c r="D8" i="83"/>
  <c r="B5" i="83"/>
  <c r="Q26" i="82"/>
  <c r="Q21" i="82"/>
  <c r="D21" i="82"/>
  <c r="Q19" i="82"/>
  <c r="B19" i="82"/>
  <c r="O18" i="82"/>
  <c r="O17" i="82" s="1"/>
  <c r="N18" i="82"/>
  <c r="N17" i="82" s="1"/>
  <c r="M18" i="82"/>
  <c r="M17" i="82" s="1"/>
  <c r="L18" i="82"/>
  <c r="K18" i="82"/>
  <c r="J18" i="82"/>
  <c r="J17" i="82" s="1"/>
  <c r="I18" i="82"/>
  <c r="H18" i="82"/>
  <c r="G18" i="82"/>
  <c r="G17" i="82" s="1"/>
  <c r="F18" i="82"/>
  <c r="E18" i="82"/>
  <c r="Q18" i="82" s="1"/>
  <c r="Q17" i="82" s="1"/>
  <c r="D18" i="82"/>
  <c r="B18" i="82"/>
  <c r="L17" i="82"/>
  <c r="K17" i="82"/>
  <c r="I17" i="82"/>
  <c r="H17" i="82"/>
  <c r="F17" i="82"/>
  <c r="D17" i="82"/>
  <c r="K14" i="82"/>
  <c r="K23" i="82" s="1"/>
  <c r="K24" i="82" s="1"/>
  <c r="J14" i="82"/>
  <c r="Q12" i="82"/>
  <c r="O12" i="82"/>
  <c r="N12" i="82"/>
  <c r="M12" i="82"/>
  <c r="L12" i="82"/>
  <c r="K12" i="82"/>
  <c r="J12" i="82"/>
  <c r="I12" i="82"/>
  <c r="H12" i="82"/>
  <c r="G12" i="82"/>
  <c r="F12" i="82"/>
  <c r="E12" i="82"/>
  <c r="D12" i="82"/>
  <c r="Q10" i="82"/>
  <c r="Q14" i="82" s="1"/>
  <c r="O10" i="82"/>
  <c r="O14" i="82" s="1"/>
  <c r="N10" i="82"/>
  <c r="N14" i="82" s="1"/>
  <c r="M10" i="82"/>
  <c r="M14" i="82" s="1"/>
  <c r="L10" i="82"/>
  <c r="L14" i="82" s="1"/>
  <c r="K10" i="82"/>
  <c r="J10" i="82"/>
  <c r="I10" i="82"/>
  <c r="I14" i="82" s="1"/>
  <c r="H10" i="82"/>
  <c r="H14" i="82" s="1"/>
  <c r="H23" i="82" s="1"/>
  <c r="G10" i="82"/>
  <c r="G14" i="82" s="1"/>
  <c r="F10" i="82"/>
  <c r="F14" i="82" s="1"/>
  <c r="E10" i="82"/>
  <c r="E14" i="82" s="1"/>
  <c r="D10" i="82"/>
  <c r="D14" i="82" s="1"/>
  <c r="O8" i="82"/>
  <c r="N8" i="82"/>
  <c r="M8" i="82"/>
  <c r="L8" i="82"/>
  <c r="K8" i="82"/>
  <c r="J8" i="82"/>
  <c r="I8" i="82"/>
  <c r="H8" i="82"/>
  <c r="G8" i="82"/>
  <c r="F8" i="82"/>
  <c r="E8" i="82"/>
  <c r="D8" i="82"/>
  <c r="B5" i="82"/>
  <c r="Q48" i="81"/>
  <c r="J45" i="81"/>
  <c r="J46" i="81" s="1"/>
  <c r="D43" i="81"/>
  <c r="Q43" i="81" s="1"/>
  <c r="Q41" i="81"/>
  <c r="B41" i="81"/>
  <c r="O40" i="81"/>
  <c r="N40" i="81"/>
  <c r="M40" i="81"/>
  <c r="L40" i="81"/>
  <c r="K40" i="81"/>
  <c r="J40" i="81"/>
  <c r="I40" i="81"/>
  <c r="H40" i="81"/>
  <c r="G40" i="81"/>
  <c r="F40" i="81"/>
  <c r="E40" i="81"/>
  <c r="D40" i="81"/>
  <c r="B40" i="81"/>
  <c r="Q39" i="81"/>
  <c r="B39" i="81"/>
  <c r="O38" i="81"/>
  <c r="N38" i="81"/>
  <c r="M38" i="81"/>
  <c r="L38" i="81"/>
  <c r="K38" i="81"/>
  <c r="J38" i="81"/>
  <c r="I38" i="81"/>
  <c r="H38" i="81"/>
  <c r="G38" i="81"/>
  <c r="F38" i="81"/>
  <c r="E38" i="81"/>
  <c r="D38" i="81"/>
  <c r="Q38" i="81" s="1"/>
  <c r="B38" i="81"/>
  <c r="Q37" i="81"/>
  <c r="B37" i="81"/>
  <c r="Q36" i="81"/>
  <c r="B36" i="81"/>
  <c r="Q35" i="81"/>
  <c r="B35" i="81"/>
  <c r="Q34" i="81"/>
  <c r="B34" i="81"/>
  <c r="Q33" i="81"/>
  <c r="B33" i="81"/>
  <c r="Q32" i="81"/>
  <c r="B32" i="81"/>
  <c r="Q31" i="81"/>
  <c r="B31" i="81"/>
  <c r="Q30" i="81"/>
  <c r="B30" i="81"/>
  <c r="Q29" i="81"/>
  <c r="B29" i="81"/>
  <c r="Q28" i="81"/>
  <c r="B28" i="81"/>
  <c r="O27" i="81"/>
  <c r="N27" i="81"/>
  <c r="N17" i="81" s="1"/>
  <c r="M27" i="81"/>
  <c r="L27" i="81"/>
  <c r="K27" i="81"/>
  <c r="J27" i="81"/>
  <c r="I27" i="81"/>
  <c r="H27" i="81"/>
  <c r="G27" i="81"/>
  <c r="F27" i="81"/>
  <c r="F17" i="81" s="1"/>
  <c r="E27" i="81"/>
  <c r="E17" i="81" s="1"/>
  <c r="D27" i="81"/>
  <c r="B27" i="81"/>
  <c r="Q26" i="81"/>
  <c r="B26" i="81"/>
  <c r="Q25" i="81"/>
  <c r="B25" i="81"/>
  <c r="Q24" i="81"/>
  <c r="B24" i="81"/>
  <c r="Q23" i="81"/>
  <c r="B23" i="81"/>
  <c r="Q22" i="81"/>
  <c r="B22" i="81"/>
  <c r="Q21" i="81"/>
  <c r="B21" i="81"/>
  <c r="Q20" i="81"/>
  <c r="B20" i="81"/>
  <c r="Q19" i="81"/>
  <c r="B19" i="81"/>
  <c r="O18" i="81"/>
  <c r="N18" i="81"/>
  <c r="M18" i="81"/>
  <c r="M17" i="81" s="1"/>
  <c r="L18" i="81"/>
  <c r="L17" i="81" s="1"/>
  <c r="K18" i="81"/>
  <c r="K17" i="81" s="1"/>
  <c r="J18" i="81"/>
  <c r="I18" i="81"/>
  <c r="H18" i="81"/>
  <c r="G18" i="81"/>
  <c r="F18" i="81"/>
  <c r="E18" i="81"/>
  <c r="D18" i="81"/>
  <c r="B18" i="81"/>
  <c r="O17" i="81"/>
  <c r="J17" i="81"/>
  <c r="H17" i="81"/>
  <c r="G17" i="81"/>
  <c r="L15" i="81"/>
  <c r="J14" i="81"/>
  <c r="J15" i="81" s="1"/>
  <c r="I14" i="81"/>
  <c r="Q12" i="81"/>
  <c r="O12" i="81"/>
  <c r="O14" i="81" s="1"/>
  <c r="N12" i="81"/>
  <c r="M12" i="81"/>
  <c r="L12" i="81"/>
  <c r="K12" i="81"/>
  <c r="J12" i="81"/>
  <c r="I12" i="81"/>
  <c r="H12" i="81"/>
  <c r="G12" i="81"/>
  <c r="G14" i="81" s="1"/>
  <c r="F12" i="81"/>
  <c r="E12" i="81"/>
  <c r="D12" i="81"/>
  <c r="Q10" i="81"/>
  <c r="Q14" i="81" s="1"/>
  <c r="Q15" i="81" s="1"/>
  <c r="O10" i="81"/>
  <c r="N10" i="81"/>
  <c r="N14" i="81" s="1"/>
  <c r="M10" i="81"/>
  <c r="M14" i="81" s="1"/>
  <c r="L10" i="81"/>
  <c r="L14" i="81" s="1"/>
  <c r="L45" i="81" s="1"/>
  <c r="K10" i="81"/>
  <c r="K14" i="81" s="1"/>
  <c r="J10" i="81"/>
  <c r="I10" i="81"/>
  <c r="H10" i="81"/>
  <c r="H14" i="81" s="1"/>
  <c r="H15" i="81" s="1"/>
  <c r="G10" i="81"/>
  <c r="F10" i="81"/>
  <c r="F14" i="81" s="1"/>
  <c r="E10" i="81"/>
  <c r="E14" i="81" s="1"/>
  <c r="D10" i="81"/>
  <c r="D14" i="81" s="1"/>
  <c r="O8" i="81"/>
  <c r="N8" i="81"/>
  <c r="M8" i="81"/>
  <c r="L8" i="81"/>
  <c r="K8" i="81"/>
  <c r="J8" i="81"/>
  <c r="I8" i="81"/>
  <c r="H8" i="81"/>
  <c r="G8" i="81"/>
  <c r="F8" i="81"/>
  <c r="E8" i="81"/>
  <c r="D8" i="81"/>
  <c r="B5" i="81"/>
  <c r="Q88" i="80"/>
  <c r="D83" i="80"/>
  <c r="Q83" i="80" s="1"/>
  <c r="Q81" i="80"/>
  <c r="B81" i="80"/>
  <c r="O80" i="80"/>
  <c r="N80" i="80"/>
  <c r="M80" i="80"/>
  <c r="L80" i="80"/>
  <c r="K80" i="80"/>
  <c r="J80" i="80"/>
  <c r="I80" i="80"/>
  <c r="H80" i="80"/>
  <c r="Q80" i="80" s="1"/>
  <c r="G80" i="80"/>
  <c r="F80" i="80"/>
  <c r="E80" i="80"/>
  <c r="D80" i="80"/>
  <c r="B80" i="80"/>
  <c r="Q79" i="80"/>
  <c r="B79" i="80"/>
  <c r="O78" i="80"/>
  <c r="N78" i="80"/>
  <c r="M78" i="80"/>
  <c r="L78" i="80"/>
  <c r="K78" i="80"/>
  <c r="J78" i="80"/>
  <c r="I78" i="80"/>
  <c r="H78" i="80"/>
  <c r="Q78" i="80" s="1"/>
  <c r="G78" i="80"/>
  <c r="F78" i="80"/>
  <c r="E78" i="80"/>
  <c r="D78" i="80"/>
  <c r="B78" i="80"/>
  <c r="Q77" i="80"/>
  <c r="B77" i="80"/>
  <c r="O76" i="80"/>
  <c r="N76" i="80"/>
  <c r="M76" i="80"/>
  <c r="L76" i="80"/>
  <c r="K76" i="80"/>
  <c r="J76" i="80"/>
  <c r="I76" i="80"/>
  <c r="H76" i="80"/>
  <c r="Q76" i="80" s="1"/>
  <c r="G76" i="80"/>
  <c r="F76" i="80"/>
  <c r="E76" i="80"/>
  <c r="D76" i="80"/>
  <c r="B76" i="80"/>
  <c r="Q75" i="80"/>
  <c r="B75" i="80"/>
  <c r="Q74" i="80"/>
  <c r="B74" i="80"/>
  <c r="O73" i="80"/>
  <c r="N73" i="80"/>
  <c r="M73" i="80"/>
  <c r="L73" i="80"/>
  <c r="K73" i="80"/>
  <c r="J73" i="80"/>
  <c r="I73" i="80"/>
  <c r="H73" i="80"/>
  <c r="G73" i="80"/>
  <c r="F73" i="80"/>
  <c r="E73" i="80"/>
  <c r="D73" i="80"/>
  <c r="B73" i="80"/>
  <c r="Q72" i="80"/>
  <c r="B72" i="80"/>
  <c r="Q71" i="80"/>
  <c r="B71" i="80"/>
  <c r="Q70" i="80"/>
  <c r="B70" i="80"/>
  <c r="Q69" i="80"/>
  <c r="B69" i="80"/>
  <c r="Q68" i="80"/>
  <c r="B68" i="80"/>
  <c r="Q67" i="80"/>
  <c r="B67" i="80"/>
  <c r="Q66" i="80"/>
  <c r="B66" i="80"/>
  <c r="O65" i="80"/>
  <c r="N65" i="80"/>
  <c r="M65" i="80"/>
  <c r="L65" i="80"/>
  <c r="K65" i="80"/>
  <c r="J65" i="80"/>
  <c r="I65" i="80"/>
  <c r="H65" i="80"/>
  <c r="G65" i="80"/>
  <c r="F65" i="80"/>
  <c r="Q65" i="80" s="1"/>
  <c r="E65" i="80"/>
  <c r="D65" i="80"/>
  <c r="B65" i="80"/>
  <c r="Q64" i="80"/>
  <c r="B64" i="80"/>
  <c r="O63" i="80"/>
  <c r="N63" i="80"/>
  <c r="M63" i="80"/>
  <c r="L63" i="80"/>
  <c r="K63" i="80"/>
  <c r="J63" i="80"/>
  <c r="I63" i="80"/>
  <c r="H63" i="80"/>
  <c r="G63" i="80"/>
  <c r="F63" i="80"/>
  <c r="Q63" i="80" s="1"/>
  <c r="E63" i="80"/>
  <c r="D63" i="80"/>
  <c r="B63" i="80"/>
  <c r="Q62" i="80"/>
  <c r="B62" i="80"/>
  <c r="Q61" i="80"/>
  <c r="B61" i="80"/>
  <c r="Q60" i="80"/>
  <c r="B60" i="80"/>
  <c r="O59" i="80"/>
  <c r="N59" i="80"/>
  <c r="M59" i="80"/>
  <c r="L59" i="80"/>
  <c r="K59" i="80"/>
  <c r="J59" i="80"/>
  <c r="I59" i="80"/>
  <c r="H59" i="80"/>
  <c r="G59" i="80"/>
  <c r="F59" i="80"/>
  <c r="E59" i="80"/>
  <c r="D59" i="80"/>
  <c r="Q59" i="80" s="1"/>
  <c r="B59" i="80"/>
  <c r="Q58" i="80"/>
  <c r="B58" i="80"/>
  <c r="Q57" i="80"/>
  <c r="B57" i="80"/>
  <c r="O56" i="80"/>
  <c r="O20" i="80" s="1"/>
  <c r="N56" i="80"/>
  <c r="M56" i="80"/>
  <c r="L56" i="80"/>
  <c r="K56" i="80"/>
  <c r="J56" i="80"/>
  <c r="I56" i="80"/>
  <c r="H56" i="80"/>
  <c r="G56" i="80"/>
  <c r="G20" i="80" s="1"/>
  <c r="F56" i="80"/>
  <c r="E56" i="80"/>
  <c r="D56" i="80"/>
  <c r="Q56" i="80" s="1"/>
  <c r="B56" i="80"/>
  <c r="Q55" i="80"/>
  <c r="B55" i="80"/>
  <c r="Q54" i="80"/>
  <c r="B54" i="80"/>
  <c r="O53" i="80"/>
  <c r="N53" i="80"/>
  <c r="M53" i="80"/>
  <c r="L53" i="80"/>
  <c r="K53" i="80"/>
  <c r="J53" i="80"/>
  <c r="I53" i="80"/>
  <c r="H53" i="80"/>
  <c r="G53" i="80"/>
  <c r="F53" i="80"/>
  <c r="Q53" i="80" s="1"/>
  <c r="E53" i="80"/>
  <c r="D53" i="80"/>
  <c r="B53" i="80"/>
  <c r="Q52" i="80"/>
  <c r="B52" i="80"/>
  <c r="O51" i="80"/>
  <c r="N51" i="80"/>
  <c r="M51" i="80"/>
  <c r="L51" i="80"/>
  <c r="K51" i="80"/>
  <c r="J51" i="80"/>
  <c r="I51" i="80"/>
  <c r="H51" i="80"/>
  <c r="G51" i="80"/>
  <c r="F51" i="80"/>
  <c r="Q51" i="80" s="1"/>
  <c r="E51" i="80"/>
  <c r="D51" i="80"/>
  <c r="B51" i="80"/>
  <c r="Q50" i="80"/>
  <c r="B50" i="80"/>
  <c r="O49" i="80"/>
  <c r="N49" i="80"/>
  <c r="M49" i="80"/>
  <c r="L49" i="80"/>
  <c r="K49" i="80"/>
  <c r="J49" i="80"/>
  <c r="I49" i="80"/>
  <c r="I20" i="80" s="1"/>
  <c r="H49" i="80"/>
  <c r="G49" i="80"/>
  <c r="F49" i="80"/>
  <c r="E49" i="80"/>
  <c r="D49" i="80"/>
  <c r="B49" i="80"/>
  <c r="Q48" i="80"/>
  <c r="B48" i="80"/>
  <c r="Q47" i="80"/>
  <c r="B47" i="80"/>
  <c r="O46" i="80"/>
  <c r="N46" i="80"/>
  <c r="M46" i="80"/>
  <c r="L46" i="80"/>
  <c r="K46" i="80"/>
  <c r="J46" i="80"/>
  <c r="I46" i="80"/>
  <c r="H46" i="80"/>
  <c r="Q46" i="80" s="1"/>
  <c r="G46" i="80"/>
  <c r="F46" i="80"/>
  <c r="E46" i="80"/>
  <c r="D46" i="80"/>
  <c r="B46" i="80"/>
  <c r="Q45" i="80"/>
  <c r="B45" i="80"/>
  <c r="O44" i="80"/>
  <c r="N44" i="80"/>
  <c r="M44" i="80"/>
  <c r="L44" i="80"/>
  <c r="K44" i="80"/>
  <c r="J44" i="80"/>
  <c r="I44" i="80"/>
  <c r="H44" i="80"/>
  <c r="Q44" i="80" s="1"/>
  <c r="G44" i="80"/>
  <c r="F44" i="80"/>
  <c r="E44" i="80"/>
  <c r="D44" i="80"/>
  <c r="B44" i="80"/>
  <c r="Q43" i="80"/>
  <c r="B43" i="80"/>
  <c r="O42" i="80"/>
  <c r="N42" i="80"/>
  <c r="M42" i="80"/>
  <c r="L42" i="80"/>
  <c r="K42" i="80"/>
  <c r="J42" i="80"/>
  <c r="I42" i="80"/>
  <c r="H42" i="80"/>
  <c r="Q42" i="80" s="1"/>
  <c r="G42" i="80"/>
  <c r="F42" i="80"/>
  <c r="E42" i="80"/>
  <c r="D42" i="80"/>
  <c r="B42" i="80"/>
  <c r="Q41" i="80"/>
  <c r="B41" i="80"/>
  <c r="Q40" i="80"/>
  <c r="B40" i="80"/>
  <c r="Q39" i="80"/>
  <c r="B39" i="80"/>
  <c r="Q38" i="80"/>
  <c r="B38" i="80"/>
  <c r="Q37" i="80"/>
  <c r="B37" i="80"/>
  <c r="Q36" i="80"/>
  <c r="B36" i="80"/>
  <c r="Q35" i="80"/>
  <c r="B35" i="80"/>
  <c r="Q34" i="80"/>
  <c r="B34" i="80"/>
  <c r="Q33" i="80"/>
  <c r="B33" i="80"/>
  <c r="Q32" i="80"/>
  <c r="B32" i="80"/>
  <c r="O31" i="80"/>
  <c r="N31" i="80"/>
  <c r="M31" i="80"/>
  <c r="L31" i="80"/>
  <c r="K31" i="80"/>
  <c r="J31" i="80"/>
  <c r="I31" i="80"/>
  <c r="H31" i="80"/>
  <c r="G31" i="80"/>
  <c r="F31" i="80"/>
  <c r="E31" i="80"/>
  <c r="D31" i="80"/>
  <c r="Q31" i="80" s="1"/>
  <c r="B31" i="80"/>
  <c r="Q30" i="80"/>
  <c r="B30" i="80"/>
  <c r="Q29" i="80"/>
  <c r="B29" i="80"/>
  <c r="Q28" i="80"/>
  <c r="B28" i="80"/>
  <c r="Q27" i="80"/>
  <c r="B27" i="80"/>
  <c r="Q26" i="80"/>
  <c r="B26" i="80"/>
  <c r="Q25" i="80"/>
  <c r="B25" i="80"/>
  <c r="Q24" i="80"/>
  <c r="B24" i="80"/>
  <c r="Q23" i="80"/>
  <c r="B23" i="80"/>
  <c r="Q22" i="80"/>
  <c r="B22" i="80"/>
  <c r="O21" i="80"/>
  <c r="N21" i="80"/>
  <c r="M21" i="80"/>
  <c r="M20" i="80" s="1"/>
  <c r="L21" i="80"/>
  <c r="L20" i="80" s="1"/>
  <c r="K21" i="80"/>
  <c r="J21" i="80"/>
  <c r="I21" i="80"/>
  <c r="H21" i="80"/>
  <c r="G21" i="80"/>
  <c r="F21" i="80"/>
  <c r="E21" i="80"/>
  <c r="E20" i="80" s="1"/>
  <c r="D21" i="80"/>
  <c r="Q21" i="80" s="1"/>
  <c r="B21" i="80"/>
  <c r="K20" i="80"/>
  <c r="H20" i="80"/>
  <c r="M18" i="80"/>
  <c r="E18" i="80"/>
  <c r="M17" i="80"/>
  <c r="J17" i="80"/>
  <c r="E17" i="80"/>
  <c r="E85" i="80" s="1"/>
  <c r="Q15" i="80"/>
  <c r="Q14" i="80" s="1"/>
  <c r="B15" i="80"/>
  <c r="O14" i="80"/>
  <c r="N14" i="80"/>
  <c r="M14" i="80"/>
  <c r="L14" i="80"/>
  <c r="K14" i="80"/>
  <c r="K17" i="80" s="1"/>
  <c r="J14" i="80"/>
  <c r="I14" i="80"/>
  <c r="H14" i="80"/>
  <c r="G14" i="80"/>
  <c r="F14" i="80"/>
  <c r="E14" i="80"/>
  <c r="D14" i="80"/>
  <c r="Q12" i="80"/>
  <c r="D12" i="80"/>
  <c r="B12" i="80"/>
  <c r="D11" i="80"/>
  <c r="Q11" i="80" s="1"/>
  <c r="Q10" i="80" s="1"/>
  <c r="Q17" i="80" s="1"/>
  <c r="B11" i="80"/>
  <c r="O10" i="80"/>
  <c r="O17" i="80" s="1"/>
  <c r="O18" i="80" s="1"/>
  <c r="N10" i="80"/>
  <c r="N17" i="80" s="1"/>
  <c r="M10" i="80"/>
  <c r="L10" i="80"/>
  <c r="L17" i="80" s="1"/>
  <c r="K10" i="80"/>
  <c r="J10" i="80"/>
  <c r="I10" i="80"/>
  <c r="I17" i="80" s="1"/>
  <c r="H10" i="80"/>
  <c r="H17" i="80" s="1"/>
  <c r="G10" i="80"/>
  <c r="G17" i="80" s="1"/>
  <c r="G18" i="80" s="1"/>
  <c r="F10" i="80"/>
  <c r="F17" i="80" s="1"/>
  <c r="E10" i="80"/>
  <c r="D10" i="80"/>
  <c r="D17" i="80" s="1"/>
  <c r="O8" i="80"/>
  <c r="N8" i="80"/>
  <c r="M8" i="80"/>
  <c r="L8" i="80"/>
  <c r="K8" i="80"/>
  <c r="J8" i="80"/>
  <c r="I8" i="80"/>
  <c r="H8" i="80"/>
  <c r="G8" i="80"/>
  <c r="F8" i="80"/>
  <c r="E8" i="80"/>
  <c r="D8" i="80"/>
  <c r="B5" i="80"/>
  <c r="Q95" i="79"/>
  <c r="Q90" i="79"/>
  <c r="D90" i="79"/>
  <c r="Q88" i="79"/>
  <c r="B88" i="79"/>
  <c r="O87" i="79"/>
  <c r="N87" i="79"/>
  <c r="M87" i="79"/>
  <c r="L87" i="79"/>
  <c r="K87" i="79"/>
  <c r="J87" i="79"/>
  <c r="I87" i="79"/>
  <c r="H87" i="79"/>
  <c r="G87" i="79"/>
  <c r="F87" i="79"/>
  <c r="E87" i="79"/>
  <c r="D87" i="79"/>
  <c r="B87" i="79"/>
  <c r="Q86" i="79"/>
  <c r="B86" i="79"/>
  <c r="O85" i="79"/>
  <c r="N85" i="79"/>
  <c r="M85" i="79"/>
  <c r="L85" i="79"/>
  <c r="K85" i="79"/>
  <c r="J85" i="79"/>
  <c r="I85" i="79"/>
  <c r="H85" i="79"/>
  <c r="G85" i="79"/>
  <c r="F85" i="79"/>
  <c r="E85" i="79"/>
  <c r="D85" i="79"/>
  <c r="Q85" i="79" s="1"/>
  <c r="B85" i="79"/>
  <c r="Q84" i="79"/>
  <c r="B84" i="79"/>
  <c r="Q83" i="79"/>
  <c r="B83" i="79"/>
  <c r="O82" i="79"/>
  <c r="N82" i="79"/>
  <c r="M82" i="79"/>
  <c r="L82" i="79"/>
  <c r="K82" i="79"/>
  <c r="J82" i="79"/>
  <c r="I82" i="79"/>
  <c r="H82" i="79"/>
  <c r="G82" i="79"/>
  <c r="F82" i="79"/>
  <c r="E82" i="79"/>
  <c r="D82" i="79"/>
  <c r="B82" i="79"/>
  <c r="Q81" i="79"/>
  <c r="B81" i="79"/>
  <c r="Q80" i="79"/>
  <c r="B80" i="79"/>
  <c r="Q79" i="79"/>
  <c r="B79" i="79"/>
  <c r="Q78" i="79"/>
  <c r="B78" i="79"/>
  <c r="Q77" i="79"/>
  <c r="B77" i="79"/>
  <c r="Q76" i="79"/>
  <c r="B76" i="79"/>
  <c r="O75" i="79"/>
  <c r="N75" i="79"/>
  <c r="M75" i="79"/>
  <c r="L75" i="79"/>
  <c r="K75" i="79"/>
  <c r="J75" i="79"/>
  <c r="I75" i="79"/>
  <c r="H75" i="79"/>
  <c r="Q75" i="79" s="1"/>
  <c r="G75" i="79"/>
  <c r="F75" i="79"/>
  <c r="E75" i="79"/>
  <c r="D75" i="79"/>
  <c r="B75" i="79"/>
  <c r="Q74" i="79"/>
  <c r="B74" i="79"/>
  <c r="O73" i="79"/>
  <c r="N73" i="79"/>
  <c r="M73" i="79"/>
  <c r="L73" i="79"/>
  <c r="K73" i="79"/>
  <c r="J73" i="79"/>
  <c r="I73" i="79"/>
  <c r="H73" i="79"/>
  <c r="Q73" i="79" s="1"/>
  <c r="G73" i="79"/>
  <c r="F73" i="79"/>
  <c r="E73" i="79"/>
  <c r="D73" i="79"/>
  <c r="B73" i="79"/>
  <c r="Q72" i="79"/>
  <c r="B72" i="79"/>
  <c r="Q71" i="79"/>
  <c r="B71" i="79"/>
  <c r="Q70" i="79"/>
  <c r="B70" i="79"/>
  <c r="Q69" i="79"/>
  <c r="B69" i="79"/>
  <c r="O68" i="79"/>
  <c r="N68" i="79"/>
  <c r="M68" i="79"/>
  <c r="L68" i="79"/>
  <c r="K68" i="79"/>
  <c r="J68" i="79"/>
  <c r="I68" i="79"/>
  <c r="H68" i="79"/>
  <c r="G68" i="79"/>
  <c r="F68" i="79"/>
  <c r="E68" i="79"/>
  <c r="D68" i="79"/>
  <c r="B68" i="79"/>
  <c r="Q67" i="79"/>
  <c r="B67" i="79"/>
  <c r="Q66" i="79"/>
  <c r="B66" i="79"/>
  <c r="O65" i="79"/>
  <c r="N65" i="79"/>
  <c r="M65" i="79"/>
  <c r="L65" i="79"/>
  <c r="K65" i="79"/>
  <c r="J65" i="79"/>
  <c r="I65" i="79"/>
  <c r="H65" i="79"/>
  <c r="G65" i="79"/>
  <c r="F65" i="79"/>
  <c r="E65" i="79"/>
  <c r="Q65" i="79" s="1"/>
  <c r="D65" i="79"/>
  <c r="B65" i="79"/>
  <c r="Q64" i="79"/>
  <c r="B64" i="79"/>
  <c r="O63" i="79"/>
  <c r="N63" i="79"/>
  <c r="M63" i="79"/>
  <c r="L63" i="79"/>
  <c r="K63" i="79"/>
  <c r="J63" i="79"/>
  <c r="I63" i="79"/>
  <c r="H63" i="79"/>
  <c r="G63" i="79"/>
  <c r="F63" i="79"/>
  <c r="E63" i="79"/>
  <c r="Q63" i="79" s="1"/>
  <c r="D63" i="79"/>
  <c r="B63" i="79"/>
  <c r="Q62" i="79"/>
  <c r="B62" i="79"/>
  <c r="O61" i="79"/>
  <c r="N61" i="79"/>
  <c r="M61" i="79"/>
  <c r="L61" i="79"/>
  <c r="K61" i="79"/>
  <c r="J61" i="79"/>
  <c r="I61" i="79"/>
  <c r="H61" i="79"/>
  <c r="G61" i="79"/>
  <c r="F61" i="79"/>
  <c r="E61" i="79"/>
  <c r="Q61" i="79" s="1"/>
  <c r="D61" i="79"/>
  <c r="B61" i="79"/>
  <c r="Q60" i="79"/>
  <c r="B60" i="79"/>
  <c r="O59" i="79"/>
  <c r="N59" i="79"/>
  <c r="M59" i="79"/>
  <c r="L59" i="79"/>
  <c r="K59" i="79"/>
  <c r="J59" i="79"/>
  <c r="I59" i="79"/>
  <c r="H59" i="79"/>
  <c r="G59" i="79"/>
  <c r="F59" i="79"/>
  <c r="E59" i="79"/>
  <c r="Q59" i="79" s="1"/>
  <c r="D59" i="79"/>
  <c r="B59" i="79"/>
  <c r="Q58" i="79"/>
  <c r="B58" i="79"/>
  <c r="O57" i="79"/>
  <c r="N57" i="79"/>
  <c r="M57" i="79"/>
  <c r="L57" i="79"/>
  <c r="K57" i="79"/>
  <c r="J57" i="79"/>
  <c r="I57" i="79"/>
  <c r="H57" i="79"/>
  <c r="G57" i="79"/>
  <c r="F57" i="79"/>
  <c r="E57" i="79"/>
  <c r="Q57" i="79" s="1"/>
  <c r="D57" i="79"/>
  <c r="B57" i="79"/>
  <c r="Q56" i="79"/>
  <c r="B56" i="79"/>
  <c r="O55" i="79"/>
  <c r="N55" i="79"/>
  <c r="M55" i="79"/>
  <c r="M24" i="79" s="1"/>
  <c r="L55" i="79"/>
  <c r="K55" i="79"/>
  <c r="J55" i="79"/>
  <c r="I55" i="79"/>
  <c r="H55" i="79"/>
  <c r="G55" i="79"/>
  <c r="F55" i="79"/>
  <c r="E55" i="79"/>
  <c r="E24" i="79" s="1"/>
  <c r="D55" i="79"/>
  <c r="B55" i="79"/>
  <c r="Q54" i="79"/>
  <c r="B54" i="79"/>
  <c r="Q53" i="79"/>
  <c r="B53" i="79"/>
  <c r="O52" i="79"/>
  <c r="N52" i="79"/>
  <c r="M52" i="79"/>
  <c r="L52" i="79"/>
  <c r="K52" i="79"/>
  <c r="J52" i="79"/>
  <c r="I52" i="79"/>
  <c r="H52" i="79"/>
  <c r="G52" i="79"/>
  <c r="F52" i="79"/>
  <c r="E52" i="79"/>
  <c r="D52" i="79"/>
  <c r="B52" i="79"/>
  <c r="Q51" i="79"/>
  <c r="B51" i="79"/>
  <c r="O50" i="79"/>
  <c r="O24" i="79" s="1"/>
  <c r="N50" i="79"/>
  <c r="M50" i="79"/>
  <c r="L50" i="79"/>
  <c r="K50" i="79"/>
  <c r="J50" i="79"/>
  <c r="I50" i="79"/>
  <c r="H50" i="79"/>
  <c r="G50" i="79"/>
  <c r="G24" i="79" s="1"/>
  <c r="F50" i="79"/>
  <c r="E50" i="79"/>
  <c r="D50" i="79"/>
  <c r="B50" i="79"/>
  <c r="Q49" i="79"/>
  <c r="B49" i="79"/>
  <c r="O48" i="79"/>
  <c r="N48" i="79"/>
  <c r="M48" i="79"/>
  <c r="L48" i="79"/>
  <c r="K48" i="79"/>
  <c r="J48" i="79"/>
  <c r="I48" i="79"/>
  <c r="H48" i="79"/>
  <c r="G48" i="79"/>
  <c r="F48" i="79"/>
  <c r="E48" i="79"/>
  <c r="D48" i="79"/>
  <c r="Q48" i="79" s="1"/>
  <c r="B48" i="79"/>
  <c r="Q47" i="79"/>
  <c r="B47" i="79"/>
  <c r="O46" i="79"/>
  <c r="N46" i="79"/>
  <c r="M46" i="79"/>
  <c r="L46" i="79"/>
  <c r="K46" i="79"/>
  <c r="J46" i="79"/>
  <c r="J24" i="79" s="1"/>
  <c r="I46" i="79"/>
  <c r="H46" i="79"/>
  <c r="G46" i="79"/>
  <c r="F46" i="79"/>
  <c r="E46" i="79"/>
  <c r="D46" i="79"/>
  <c r="B46" i="79"/>
  <c r="Q45" i="79"/>
  <c r="B45" i="79"/>
  <c r="Q44" i="79"/>
  <c r="B44" i="79"/>
  <c r="Q43" i="79"/>
  <c r="B43" i="79"/>
  <c r="Q42" i="79"/>
  <c r="B42" i="79"/>
  <c r="Q41" i="79"/>
  <c r="B41" i="79"/>
  <c r="Q40" i="79"/>
  <c r="B40" i="79"/>
  <c r="Q39" i="79"/>
  <c r="B39" i="79"/>
  <c r="Q38" i="79"/>
  <c r="B38" i="79"/>
  <c r="Q37" i="79"/>
  <c r="B37" i="79"/>
  <c r="Q36" i="79"/>
  <c r="B36" i="79"/>
  <c r="O35" i="79"/>
  <c r="N35" i="79"/>
  <c r="M35" i="79"/>
  <c r="L35" i="79"/>
  <c r="K35" i="79"/>
  <c r="J35" i="79"/>
  <c r="I35" i="79"/>
  <c r="H35" i="79"/>
  <c r="G35" i="79"/>
  <c r="F35" i="79"/>
  <c r="E35" i="79"/>
  <c r="D35" i="79"/>
  <c r="Q35" i="79" s="1"/>
  <c r="B35" i="79"/>
  <c r="Q34" i="79"/>
  <c r="B34" i="79"/>
  <c r="Q33" i="79"/>
  <c r="B33" i="79"/>
  <c r="Q32" i="79"/>
  <c r="B32" i="79"/>
  <c r="Q31" i="79"/>
  <c r="B31" i="79"/>
  <c r="Q30" i="79"/>
  <c r="B30" i="79"/>
  <c r="Q29" i="79"/>
  <c r="B29" i="79"/>
  <c r="Q28" i="79"/>
  <c r="B28" i="79"/>
  <c r="Q27" i="79"/>
  <c r="B27" i="79"/>
  <c r="Q26" i="79"/>
  <c r="B26" i="79"/>
  <c r="O25" i="79"/>
  <c r="N25" i="79"/>
  <c r="M25" i="79"/>
  <c r="L25" i="79"/>
  <c r="K25" i="79"/>
  <c r="K24" i="79" s="1"/>
  <c r="J25" i="79"/>
  <c r="I25" i="79"/>
  <c r="H25" i="79"/>
  <c r="G25" i="79"/>
  <c r="F25" i="79"/>
  <c r="E25" i="79"/>
  <c r="D25" i="79"/>
  <c r="B25" i="79"/>
  <c r="F22" i="79"/>
  <c r="K21" i="79"/>
  <c r="I21" i="79"/>
  <c r="Q19" i="79"/>
  <c r="B19" i="79"/>
  <c r="Q18" i="79"/>
  <c r="B18" i="79"/>
  <c r="Q17" i="79"/>
  <c r="B17" i="79"/>
  <c r="O16" i="79"/>
  <c r="N16" i="79"/>
  <c r="M16" i="79"/>
  <c r="L16" i="79"/>
  <c r="L21" i="79" s="1"/>
  <c r="L22" i="79" s="1"/>
  <c r="K16" i="79"/>
  <c r="J16" i="79"/>
  <c r="I16" i="79"/>
  <c r="H16" i="79"/>
  <c r="G16" i="79"/>
  <c r="F16" i="79"/>
  <c r="E16" i="79"/>
  <c r="D16" i="79"/>
  <c r="D14" i="79"/>
  <c r="Q14" i="79" s="1"/>
  <c r="B14" i="79"/>
  <c r="D13" i="79"/>
  <c r="Q13" i="79" s="1"/>
  <c r="B13" i="79"/>
  <c r="D12" i="79"/>
  <c r="B12" i="79"/>
  <c r="Q11" i="79"/>
  <c r="D11" i="79"/>
  <c r="B11" i="79"/>
  <c r="O10" i="79"/>
  <c r="N10" i="79"/>
  <c r="N21" i="79" s="1"/>
  <c r="N22" i="79" s="1"/>
  <c r="M10" i="79"/>
  <c r="M21" i="79" s="1"/>
  <c r="L10" i="79"/>
  <c r="K10" i="79"/>
  <c r="J10" i="79"/>
  <c r="J21" i="79" s="1"/>
  <c r="I10" i="79"/>
  <c r="H10" i="79"/>
  <c r="H21" i="79" s="1"/>
  <c r="H22" i="79" s="1"/>
  <c r="G10" i="79"/>
  <c r="F10" i="79"/>
  <c r="F21" i="79" s="1"/>
  <c r="E10" i="79"/>
  <c r="E21" i="79" s="1"/>
  <c r="O8" i="79"/>
  <c r="N8" i="79"/>
  <c r="M8" i="79"/>
  <c r="L8" i="79"/>
  <c r="K8" i="79"/>
  <c r="J8" i="79"/>
  <c r="I8" i="79"/>
  <c r="H8" i="79"/>
  <c r="G8" i="79"/>
  <c r="F8" i="79"/>
  <c r="E8" i="79"/>
  <c r="D8" i="79"/>
  <c r="B5" i="79"/>
  <c r="Q26" i="78"/>
  <c r="Q21" i="78"/>
  <c r="D21" i="78"/>
  <c r="Q19" i="78"/>
  <c r="B19" i="78"/>
  <c r="O18" i="78"/>
  <c r="O17" i="78" s="1"/>
  <c r="N18" i="78"/>
  <c r="M18" i="78"/>
  <c r="L18" i="78"/>
  <c r="L17" i="78" s="1"/>
  <c r="K18" i="78"/>
  <c r="J18" i="78"/>
  <c r="I18" i="78"/>
  <c r="I17" i="78" s="1"/>
  <c r="I23" i="78" s="1"/>
  <c r="H18" i="78"/>
  <c r="G18" i="78"/>
  <c r="G17" i="78" s="1"/>
  <c r="F18" i="78"/>
  <c r="E18" i="78"/>
  <c r="D18" i="78"/>
  <c r="B18" i="78"/>
  <c r="N17" i="78"/>
  <c r="M17" i="78"/>
  <c r="K17" i="78"/>
  <c r="J17" i="78"/>
  <c r="H17" i="78"/>
  <c r="F17" i="78"/>
  <c r="E17" i="78"/>
  <c r="Q15" i="78"/>
  <c r="J15" i="78"/>
  <c r="H15" i="78"/>
  <c r="Q14" i="78"/>
  <c r="O14" i="78"/>
  <c r="M14" i="78"/>
  <c r="H14" i="78"/>
  <c r="G14" i="78"/>
  <c r="E14" i="78"/>
  <c r="Q12" i="78"/>
  <c r="O12" i="78"/>
  <c r="N12" i="78"/>
  <c r="M12" i="78"/>
  <c r="L12" i="78"/>
  <c r="K12" i="78"/>
  <c r="J12" i="78"/>
  <c r="J14" i="78" s="1"/>
  <c r="J23" i="78" s="1"/>
  <c r="I12" i="78"/>
  <c r="H12" i="78"/>
  <c r="G12" i="78"/>
  <c r="F12" i="78"/>
  <c r="E12" i="78"/>
  <c r="D12" i="78"/>
  <c r="Q10" i="78"/>
  <c r="O10" i="78"/>
  <c r="N10" i="78"/>
  <c r="N14" i="78" s="1"/>
  <c r="M10" i="78"/>
  <c r="L10" i="78"/>
  <c r="L14" i="78" s="1"/>
  <c r="K10" i="78"/>
  <c r="K14" i="78" s="1"/>
  <c r="J10" i="78"/>
  <c r="I10" i="78"/>
  <c r="I14" i="78" s="1"/>
  <c r="I15" i="78" s="1"/>
  <c r="H10" i="78"/>
  <c r="G10" i="78"/>
  <c r="F10" i="78"/>
  <c r="F14" i="78" s="1"/>
  <c r="E10" i="78"/>
  <c r="D10" i="78"/>
  <c r="D14" i="78" s="1"/>
  <c r="O8" i="78"/>
  <c r="N8" i="78"/>
  <c r="M8" i="78"/>
  <c r="L8" i="78"/>
  <c r="K8" i="78"/>
  <c r="J8" i="78"/>
  <c r="I8" i="78"/>
  <c r="H8" i="78"/>
  <c r="G8" i="78"/>
  <c r="F8" i="78"/>
  <c r="E8" i="78"/>
  <c r="D8" i="78"/>
  <c r="B5" i="78"/>
  <c r="Q28" i="77"/>
  <c r="Q23" i="77"/>
  <c r="D23" i="77"/>
  <c r="Q21" i="77"/>
  <c r="B21" i="77"/>
  <c r="O20" i="77"/>
  <c r="N20" i="77"/>
  <c r="M20" i="77"/>
  <c r="L20" i="77"/>
  <c r="K20" i="77"/>
  <c r="J20" i="77"/>
  <c r="I20" i="77"/>
  <c r="H20" i="77"/>
  <c r="G20" i="77"/>
  <c r="F20" i="77"/>
  <c r="E20" i="77"/>
  <c r="D20" i="77"/>
  <c r="B20" i="77"/>
  <c r="Q19" i="77"/>
  <c r="B19" i="77"/>
  <c r="O18" i="77"/>
  <c r="N18" i="77"/>
  <c r="M18" i="77"/>
  <c r="L18" i="77"/>
  <c r="K18" i="77"/>
  <c r="K17" i="77" s="1"/>
  <c r="J18" i="77"/>
  <c r="I18" i="77"/>
  <c r="H18" i="77"/>
  <c r="H17" i="77" s="1"/>
  <c r="G18" i="77"/>
  <c r="F18" i="77"/>
  <c r="E18" i="77"/>
  <c r="D18" i="77"/>
  <c r="B18" i="77"/>
  <c r="O17" i="77"/>
  <c r="M17" i="77"/>
  <c r="L17" i="77"/>
  <c r="J17" i="77"/>
  <c r="I17" i="77"/>
  <c r="G17" i="77"/>
  <c r="E17" i="77"/>
  <c r="D17" i="77"/>
  <c r="O15" i="77"/>
  <c r="I15" i="77"/>
  <c r="G15" i="77"/>
  <c r="O14" i="77"/>
  <c r="N14" i="77"/>
  <c r="L14" i="77"/>
  <c r="L15" i="77" s="1"/>
  <c r="G14" i="77"/>
  <c r="F14" i="77"/>
  <c r="D14" i="77"/>
  <c r="D15" i="77" s="1"/>
  <c r="Q12" i="77"/>
  <c r="O12" i="77"/>
  <c r="N12" i="77"/>
  <c r="M12" i="77"/>
  <c r="L12" i="77"/>
  <c r="K12" i="77"/>
  <c r="J12" i="77"/>
  <c r="I12" i="77"/>
  <c r="I14" i="77" s="1"/>
  <c r="H12" i="77"/>
  <c r="G12" i="77"/>
  <c r="F12" i="77"/>
  <c r="E12" i="77"/>
  <c r="D12" i="77"/>
  <c r="Q10" i="77"/>
  <c r="Q14" i="77" s="1"/>
  <c r="O10" i="77"/>
  <c r="N10" i="77"/>
  <c r="M10" i="77"/>
  <c r="M14" i="77" s="1"/>
  <c r="L10" i="77"/>
  <c r="K10" i="77"/>
  <c r="K14" i="77" s="1"/>
  <c r="J10" i="77"/>
  <c r="J14" i="77" s="1"/>
  <c r="I10" i="77"/>
  <c r="H10" i="77"/>
  <c r="H14" i="77" s="1"/>
  <c r="G10" i="77"/>
  <c r="F10" i="77"/>
  <c r="E10" i="77"/>
  <c r="E14" i="77" s="1"/>
  <c r="D10" i="77"/>
  <c r="O8" i="77"/>
  <c r="N8" i="77"/>
  <c r="M8" i="77"/>
  <c r="L8" i="77"/>
  <c r="K8" i="77"/>
  <c r="J8" i="77"/>
  <c r="I8" i="77"/>
  <c r="H8" i="77"/>
  <c r="G8" i="77"/>
  <c r="F8" i="77"/>
  <c r="E8" i="77"/>
  <c r="D8" i="77"/>
  <c r="B5" i="77"/>
  <c r="Q71" i="76"/>
  <c r="D66" i="76"/>
  <c r="Q66" i="76" s="1"/>
  <c r="Q64" i="76"/>
  <c r="B64" i="76"/>
  <c r="O63" i="76"/>
  <c r="N63" i="76"/>
  <c r="M63" i="76"/>
  <c r="L63" i="76"/>
  <c r="K63" i="76"/>
  <c r="J63" i="76"/>
  <c r="I63" i="76"/>
  <c r="H63" i="76"/>
  <c r="G63" i="76"/>
  <c r="F63" i="76"/>
  <c r="E63" i="76"/>
  <c r="Q63" i="76" s="1"/>
  <c r="D63" i="76"/>
  <c r="B63" i="76"/>
  <c r="Q62" i="76"/>
  <c r="B62" i="76"/>
  <c r="O61" i="76"/>
  <c r="N61" i="76"/>
  <c r="M61" i="76"/>
  <c r="L61" i="76"/>
  <c r="K61" i="76"/>
  <c r="J61" i="76"/>
  <c r="I61" i="76"/>
  <c r="H61" i="76"/>
  <c r="G61" i="76"/>
  <c r="F61" i="76"/>
  <c r="E61" i="76"/>
  <c r="Q61" i="76" s="1"/>
  <c r="D61" i="76"/>
  <c r="B61" i="76"/>
  <c r="Q60" i="76"/>
  <c r="B60" i="76"/>
  <c r="O59" i="76"/>
  <c r="N59" i="76"/>
  <c r="M59" i="76"/>
  <c r="L59" i="76"/>
  <c r="K59" i="76"/>
  <c r="J59" i="76"/>
  <c r="I59" i="76"/>
  <c r="H59" i="76"/>
  <c r="G59" i="76"/>
  <c r="F59" i="76"/>
  <c r="E59" i="76"/>
  <c r="Q59" i="76" s="1"/>
  <c r="D59" i="76"/>
  <c r="B59" i="76"/>
  <c r="Q58" i="76"/>
  <c r="B58" i="76"/>
  <c r="O57" i="76"/>
  <c r="N57" i="76"/>
  <c r="M57" i="76"/>
  <c r="L57" i="76"/>
  <c r="K57" i="76"/>
  <c r="J57" i="76"/>
  <c r="I57" i="76"/>
  <c r="H57" i="76"/>
  <c r="G57" i="76"/>
  <c r="F57" i="76"/>
  <c r="E57" i="76"/>
  <c r="Q57" i="76" s="1"/>
  <c r="D57" i="76"/>
  <c r="B57" i="76"/>
  <c r="Q56" i="76"/>
  <c r="B56" i="76"/>
  <c r="Q55" i="76"/>
  <c r="B55" i="76"/>
  <c r="O54" i="76"/>
  <c r="N54" i="76"/>
  <c r="M54" i="76"/>
  <c r="L54" i="76"/>
  <c r="K54" i="76"/>
  <c r="J54" i="76"/>
  <c r="I54" i="76"/>
  <c r="H54" i="76"/>
  <c r="G54" i="76"/>
  <c r="F54" i="76"/>
  <c r="E54" i="76"/>
  <c r="D54" i="76"/>
  <c r="Q54" i="76" s="1"/>
  <c r="B54" i="76"/>
  <c r="Q53" i="76"/>
  <c r="B53" i="76"/>
  <c r="Q52" i="76"/>
  <c r="B52" i="76"/>
  <c r="Q51" i="76"/>
  <c r="B51" i="76"/>
  <c r="O50" i="76"/>
  <c r="N50" i="76"/>
  <c r="M50" i="76"/>
  <c r="L50" i="76"/>
  <c r="K50" i="76"/>
  <c r="J50" i="76"/>
  <c r="I50" i="76"/>
  <c r="H50" i="76"/>
  <c r="G50" i="76"/>
  <c r="F50" i="76"/>
  <c r="E50" i="76"/>
  <c r="D50" i="76"/>
  <c r="B50" i="76"/>
  <c r="Q49" i="76"/>
  <c r="B49" i="76"/>
  <c r="O48" i="76"/>
  <c r="N48" i="76"/>
  <c r="M48" i="76"/>
  <c r="L48" i="76"/>
  <c r="K48" i="76"/>
  <c r="J48" i="76"/>
  <c r="I48" i="76"/>
  <c r="H48" i="76"/>
  <c r="Q48" i="76" s="1"/>
  <c r="G48" i="76"/>
  <c r="F48" i="76"/>
  <c r="E48" i="76"/>
  <c r="D48" i="76"/>
  <c r="B48" i="76"/>
  <c r="Q47" i="76"/>
  <c r="B47" i="76"/>
  <c r="O46" i="76"/>
  <c r="N46" i="76"/>
  <c r="M46" i="76"/>
  <c r="L46" i="76"/>
  <c r="K46" i="76"/>
  <c r="J46" i="76"/>
  <c r="I46" i="76"/>
  <c r="H46" i="76"/>
  <c r="G46" i="76"/>
  <c r="F46" i="76"/>
  <c r="E46" i="76"/>
  <c r="D46" i="76"/>
  <c r="B46" i="76"/>
  <c r="Q45" i="76"/>
  <c r="B45" i="76"/>
  <c r="O44" i="76"/>
  <c r="N44" i="76"/>
  <c r="M44" i="76"/>
  <c r="L44" i="76"/>
  <c r="K44" i="76"/>
  <c r="J44" i="76"/>
  <c r="I44" i="76"/>
  <c r="H44" i="76"/>
  <c r="Q44" i="76" s="1"/>
  <c r="G44" i="76"/>
  <c r="F44" i="76"/>
  <c r="E44" i="76"/>
  <c r="D44" i="76"/>
  <c r="B44" i="76"/>
  <c r="Q43" i="76"/>
  <c r="B43" i="76"/>
  <c r="Q42" i="76"/>
  <c r="B42" i="76"/>
  <c r="O41" i="76"/>
  <c r="N41" i="76"/>
  <c r="M41" i="76"/>
  <c r="L41" i="76"/>
  <c r="K41" i="76"/>
  <c r="J41" i="76"/>
  <c r="I41" i="76"/>
  <c r="H41" i="76"/>
  <c r="G41" i="76"/>
  <c r="F41" i="76"/>
  <c r="E41" i="76"/>
  <c r="Q41" i="76" s="1"/>
  <c r="D41" i="76"/>
  <c r="B41" i="76"/>
  <c r="Q40" i="76"/>
  <c r="B40" i="76"/>
  <c r="O39" i="76"/>
  <c r="N39" i="76"/>
  <c r="M39" i="76"/>
  <c r="M17" i="76" s="1"/>
  <c r="L39" i="76"/>
  <c r="K39" i="76"/>
  <c r="J39" i="76"/>
  <c r="I39" i="76"/>
  <c r="H39" i="76"/>
  <c r="G39" i="76"/>
  <c r="F39" i="76"/>
  <c r="E39" i="76"/>
  <c r="Q39" i="76" s="1"/>
  <c r="D39" i="76"/>
  <c r="B39" i="76"/>
  <c r="Q38" i="76"/>
  <c r="B38" i="76"/>
  <c r="Q37" i="76"/>
  <c r="B37" i="76"/>
  <c r="Q36" i="76"/>
  <c r="B36" i="76"/>
  <c r="Q35" i="76"/>
  <c r="B35" i="76"/>
  <c r="Q34" i="76"/>
  <c r="B34" i="76"/>
  <c r="Q33" i="76"/>
  <c r="B33" i="76"/>
  <c r="Q32" i="76"/>
  <c r="B32" i="76"/>
  <c r="Q31" i="76"/>
  <c r="B31" i="76"/>
  <c r="Q30" i="76"/>
  <c r="B30" i="76"/>
  <c r="Q29" i="76"/>
  <c r="B29" i="76"/>
  <c r="O28" i="76"/>
  <c r="N28" i="76"/>
  <c r="M28" i="76"/>
  <c r="L28" i="76"/>
  <c r="K28" i="76"/>
  <c r="J28" i="76"/>
  <c r="I28" i="76"/>
  <c r="H28" i="76"/>
  <c r="G28" i="76"/>
  <c r="F28" i="76"/>
  <c r="E28" i="76"/>
  <c r="D28" i="76"/>
  <c r="Q28" i="76" s="1"/>
  <c r="B28" i="76"/>
  <c r="Q27" i="76"/>
  <c r="B27" i="76"/>
  <c r="Q26" i="76"/>
  <c r="B26" i="76"/>
  <c r="Q25" i="76"/>
  <c r="B25" i="76"/>
  <c r="Q24" i="76"/>
  <c r="B24" i="76"/>
  <c r="Q23" i="76"/>
  <c r="B23" i="76"/>
  <c r="Q22" i="76"/>
  <c r="B22" i="76"/>
  <c r="Q21" i="76"/>
  <c r="B21" i="76"/>
  <c r="Q20" i="76"/>
  <c r="B20" i="76"/>
  <c r="Q19" i="76"/>
  <c r="B19" i="76"/>
  <c r="O18" i="76"/>
  <c r="O17" i="76" s="1"/>
  <c r="N18" i="76"/>
  <c r="M18" i="76"/>
  <c r="L18" i="76"/>
  <c r="L17" i="76" s="1"/>
  <c r="K18" i="76"/>
  <c r="J18" i="76"/>
  <c r="I18" i="76"/>
  <c r="H18" i="76"/>
  <c r="G18" i="76"/>
  <c r="G17" i="76" s="1"/>
  <c r="F18" i="76"/>
  <c r="E18" i="76"/>
  <c r="D18" i="76"/>
  <c r="Q18" i="76" s="1"/>
  <c r="B18" i="76"/>
  <c r="N17" i="76"/>
  <c r="J17" i="76"/>
  <c r="I17" i="76"/>
  <c r="H17" i="76"/>
  <c r="F17" i="76"/>
  <c r="E17" i="76"/>
  <c r="D17" i="76"/>
  <c r="M15" i="76"/>
  <c r="J15" i="76"/>
  <c r="E15" i="76"/>
  <c r="O14" i="76"/>
  <c r="M14" i="76"/>
  <c r="J14" i="76"/>
  <c r="J68" i="76" s="1"/>
  <c r="G14" i="76"/>
  <c r="E14" i="76"/>
  <c r="Q12" i="76"/>
  <c r="O12" i="76"/>
  <c r="N12" i="76"/>
  <c r="M12" i="76"/>
  <c r="L12" i="76"/>
  <c r="K12" i="76"/>
  <c r="J12" i="76"/>
  <c r="I12" i="76"/>
  <c r="H12" i="76"/>
  <c r="G12" i="76"/>
  <c r="F12" i="76"/>
  <c r="E12" i="76"/>
  <c r="D12" i="76"/>
  <c r="Q10" i="76"/>
  <c r="Q14" i="76" s="1"/>
  <c r="O10" i="76"/>
  <c r="N10" i="76"/>
  <c r="N14" i="76" s="1"/>
  <c r="M10" i="76"/>
  <c r="L10" i="76"/>
  <c r="K10" i="76"/>
  <c r="K14" i="76" s="1"/>
  <c r="J10" i="76"/>
  <c r="I10" i="76"/>
  <c r="I14" i="76" s="1"/>
  <c r="H10" i="76"/>
  <c r="H14" i="76" s="1"/>
  <c r="G10" i="76"/>
  <c r="F10" i="76"/>
  <c r="F14" i="76" s="1"/>
  <c r="E10" i="76"/>
  <c r="D10" i="76"/>
  <c r="O8" i="76"/>
  <c r="N8" i="76"/>
  <c r="M8" i="76"/>
  <c r="L8" i="76"/>
  <c r="K8" i="76"/>
  <c r="J8" i="76"/>
  <c r="I8" i="76"/>
  <c r="H8" i="76"/>
  <c r="G8" i="76"/>
  <c r="F8" i="76"/>
  <c r="E8" i="76"/>
  <c r="D8" i="76"/>
  <c r="B5" i="76"/>
  <c r="Q86" i="75"/>
  <c r="Q81" i="75"/>
  <c r="D81" i="75"/>
  <c r="Q79" i="75"/>
  <c r="B79" i="75"/>
  <c r="O78" i="75"/>
  <c r="N78" i="75"/>
  <c r="M78" i="75"/>
  <c r="L78" i="75"/>
  <c r="K78" i="75"/>
  <c r="J78" i="75"/>
  <c r="I78" i="75"/>
  <c r="H78" i="75"/>
  <c r="G78" i="75"/>
  <c r="F78" i="75"/>
  <c r="E78" i="75"/>
  <c r="D78" i="75"/>
  <c r="B78" i="75"/>
  <c r="Q77" i="75"/>
  <c r="B77" i="75"/>
  <c r="O76" i="75"/>
  <c r="N76" i="75"/>
  <c r="M76" i="75"/>
  <c r="L76" i="75"/>
  <c r="K76" i="75"/>
  <c r="J76" i="75"/>
  <c r="I76" i="75"/>
  <c r="H76" i="75"/>
  <c r="G76" i="75"/>
  <c r="F76" i="75"/>
  <c r="E76" i="75"/>
  <c r="D76" i="75"/>
  <c r="Q76" i="75" s="1"/>
  <c r="B76" i="75"/>
  <c r="Q75" i="75"/>
  <c r="B75" i="75"/>
  <c r="O74" i="75"/>
  <c r="N74" i="75"/>
  <c r="M74" i="75"/>
  <c r="L74" i="75"/>
  <c r="K74" i="75"/>
  <c r="J74" i="75"/>
  <c r="I74" i="75"/>
  <c r="H74" i="75"/>
  <c r="G74" i="75"/>
  <c r="F74" i="75"/>
  <c r="E74" i="75"/>
  <c r="D74" i="75"/>
  <c r="B74" i="75"/>
  <c r="Q73" i="75"/>
  <c r="B73" i="75"/>
  <c r="O72" i="75"/>
  <c r="N72" i="75"/>
  <c r="M72" i="75"/>
  <c r="L72" i="75"/>
  <c r="K72" i="75"/>
  <c r="J72" i="75"/>
  <c r="I72" i="75"/>
  <c r="H72" i="75"/>
  <c r="G72" i="75"/>
  <c r="F72" i="75"/>
  <c r="E72" i="75"/>
  <c r="D72" i="75"/>
  <c r="Q72" i="75" s="1"/>
  <c r="B72" i="75"/>
  <c r="Q71" i="75"/>
  <c r="B71" i="75"/>
  <c r="Q70" i="75"/>
  <c r="B70" i="75"/>
  <c r="Q69" i="75"/>
  <c r="B69" i="75"/>
  <c r="Q68" i="75"/>
  <c r="B68" i="75"/>
  <c r="Q67" i="75"/>
  <c r="B67" i="75"/>
  <c r="Q66" i="75"/>
  <c r="B66" i="75"/>
  <c r="Q65" i="75"/>
  <c r="B65" i="75"/>
  <c r="O64" i="75"/>
  <c r="N64" i="75"/>
  <c r="M64" i="75"/>
  <c r="L64" i="75"/>
  <c r="K64" i="75"/>
  <c r="J64" i="75"/>
  <c r="I64" i="75"/>
  <c r="H64" i="75"/>
  <c r="G64" i="75"/>
  <c r="F64" i="75"/>
  <c r="E64" i="75"/>
  <c r="Q64" i="75" s="1"/>
  <c r="D64" i="75"/>
  <c r="B64" i="75"/>
  <c r="Q63" i="75"/>
  <c r="B63" i="75"/>
  <c r="O62" i="75"/>
  <c r="N62" i="75"/>
  <c r="M62" i="75"/>
  <c r="L62" i="75"/>
  <c r="K62" i="75"/>
  <c r="J62" i="75"/>
  <c r="I62" i="75"/>
  <c r="H62" i="75"/>
  <c r="G62" i="75"/>
  <c r="F62" i="75"/>
  <c r="E62" i="75"/>
  <c r="D62" i="75"/>
  <c r="B62" i="75"/>
  <c r="Q61" i="75"/>
  <c r="B61" i="75"/>
  <c r="Q60" i="75"/>
  <c r="B60" i="75"/>
  <c r="Q59" i="75"/>
  <c r="B59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Q58" i="75" s="1"/>
  <c r="B58" i="75"/>
  <c r="Q57" i="75"/>
  <c r="B57" i="75"/>
  <c r="Q56" i="75"/>
  <c r="B56" i="75"/>
  <c r="O55" i="75"/>
  <c r="N55" i="75"/>
  <c r="M55" i="75"/>
  <c r="L55" i="75"/>
  <c r="K55" i="75"/>
  <c r="J55" i="75"/>
  <c r="I55" i="75"/>
  <c r="H55" i="75"/>
  <c r="Q55" i="75" s="1"/>
  <c r="G55" i="75"/>
  <c r="F55" i="75"/>
  <c r="E55" i="75"/>
  <c r="D55" i="75"/>
  <c r="B55" i="75"/>
  <c r="Q54" i="75"/>
  <c r="B54" i="75"/>
  <c r="O53" i="75"/>
  <c r="N53" i="75"/>
  <c r="M53" i="75"/>
  <c r="L53" i="75"/>
  <c r="K53" i="75"/>
  <c r="J53" i="75"/>
  <c r="I53" i="75"/>
  <c r="H53" i="75"/>
  <c r="Q53" i="75" s="1"/>
  <c r="G53" i="75"/>
  <c r="F53" i="75"/>
  <c r="E53" i="75"/>
  <c r="D53" i="75"/>
  <c r="B53" i="75"/>
  <c r="Q52" i="75"/>
  <c r="B52" i="75"/>
  <c r="O51" i="75"/>
  <c r="N51" i="75"/>
  <c r="M51" i="75"/>
  <c r="L51" i="75"/>
  <c r="K51" i="75"/>
  <c r="J51" i="75"/>
  <c r="I51" i="75"/>
  <c r="H51" i="75"/>
  <c r="Q51" i="75" s="1"/>
  <c r="G51" i="75"/>
  <c r="F51" i="75"/>
  <c r="E51" i="75"/>
  <c r="D51" i="75"/>
  <c r="B51" i="75"/>
  <c r="Q50" i="75"/>
  <c r="B50" i="75"/>
  <c r="O49" i="75"/>
  <c r="N49" i="75"/>
  <c r="M49" i="75"/>
  <c r="L49" i="75"/>
  <c r="K49" i="75"/>
  <c r="J49" i="75"/>
  <c r="I49" i="75"/>
  <c r="H49" i="75"/>
  <c r="H20" i="75" s="1"/>
  <c r="G49" i="75"/>
  <c r="F49" i="75"/>
  <c r="E49" i="75"/>
  <c r="D49" i="75"/>
  <c r="B49" i="75"/>
  <c r="Q48" i="75"/>
  <c r="B48" i="75"/>
  <c r="Q47" i="75"/>
  <c r="B47" i="75"/>
  <c r="O46" i="75"/>
  <c r="N46" i="75"/>
  <c r="M46" i="75"/>
  <c r="L46" i="75"/>
  <c r="K46" i="75"/>
  <c r="J46" i="75"/>
  <c r="I46" i="75"/>
  <c r="H46" i="75"/>
  <c r="G46" i="75"/>
  <c r="F46" i="75"/>
  <c r="E46" i="75"/>
  <c r="D46" i="75"/>
  <c r="B46" i="75"/>
  <c r="Q45" i="75"/>
  <c r="B45" i="75"/>
  <c r="O44" i="75"/>
  <c r="N44" i="75"/>
  <c r="M44" i="75"/>
  <c r="L44" i="75"/>
  <c r="K44" i="75"/>
  <c r="J44" i="75"/>
  <c r="I44" i="75"/>
  <c r="H44" i="75"/>
  <c r="G44" i="75"/>
  <c r="F44" i="75"/>
  <c r="E44" i="75"/>
  <c r="D44" i="75"/>
  <c r="B44" i="75"/>
  <c r="Q43" i="75"/>
  <c r="B43" i="75"/>
  <c r="O42" i="75"/>
  <c r="N42" i="75"/>
  <c r="M42" i="75"/>
  <c r="L42" i="75"/>
  <c r="K42" i="75"/>
  <c r="J42" i="75"/>
  <c r="I42" i="75"/>
  <c r="H42" i="75"/>
  <c r="G42" i="75"/>
  <c r="F42" i="75"/>
  <c r="E42" i="75"/>
  <c r="D42" i="75"/>
  <c r="B42" i="75"/>
  <c r="Q41" i="75"/>
  <c r="B41" i="75"/>
  <c r="Q40" i="75"/>
  <c r="B40" i="75"/>
  <c r="Q39" i="75"/>
  <c r="B39" i="75"/>
  <c r="Q38" i="75"/>
  <c r="B38" i="75"/>
  <c r="Q37" i="75"/>
  <c r="B37" i="75"/>
  <c r="Q36" i="75"/>
  <c r="B36" i="75"/>
  <c r="Q35" i="75"/>
  <c r="B35" i="75"/>
  <c r="Q34" i="75"/>
  <c r="B34" i="75"/>
  <c r="Q33" i="75"/>
  <c r="B33" i="75"/>
  <c r="Q32" i="75"/>
  <c r="B32" i="75"/>
  <c r="O31" i="75"/>
  <c r="N31" i="75"/>
  <c r="M31" i="75"/>
  <c r="L31" i="75"/>
  <c r="K31" i="75"/>
  <c r="J31" i="75"/>
  <c r="I31" i="75"/>
  <c r="H31" i="75"/>
  <c r="G31" i="75"/>
  <c r="F31" i="75"/>
  <c r="E31" i="75"/>
  <c r="D31" i="75"/>
  <c r="Q31" i="75" s="1"/>
  <c r="B31" i="75"/>
  <c r="Q30" i="75"/>
  <c r="B30" i="75"/>
  <c r="Q29" i="75"/>
  <c r="B29" i="75"/>
  <c r="Q28" i="75"/>
  <c r="B28" i="75"/>
  <c r="Q27" i="75"/>
  <c r="B27" i="75"/>
  <c r="Q26" i="75"/>
  <c r="B26" i="75"/>
  <c r="Q25" i="75"/>
  <c r="B25" i="75"/>
  <c r="Q24" i="75"/>
  <c r="B24" i="75"/>
  <c r="Q23" i="75"/>
  <c r="B23" i="75"/>
  <c r="Q22" i="75"/>
  <c r="B22" i="75"/>
  <c r="O21" i="75"/>
  <c r="O20" i="75" s="1"/>
  <c r="N21" i="75"/>
  <c r="M21" i="75"/>
  <c r="L21" i="75"/>
  <c r="L20" i="75" s="1"/>
  <c r="K21" i="75"/>
  <c r="J21" i="75"/>
  <c r="I21" i="75"/>
  <c r="H21" i="75"/>
  <c r="G21" i="75"/>
  <c r="F21" i="75"/>
  <c r="E21" i="75"/>
  <c r="D21" i="75"/>
  <c r="B21" i="75"/>
  <c r="M20" i="75"/>
  <c r="M83" i="75" s="1"/>
  <c r="K20" i="75"/>
  <c r="J20" i="75"/>
  <c r="I20" i="75"/>
  <c r="G20" i="75"/>
  <c r="E20" i="75"/>
  <c r="O18" i="75"/>
  <c r="J18" i="75"/>
  <c r="G18" i="75"/>
  <c r="O17" i="75"/>
  <c r="L17" i="75"/>
  <c r="J17" i="75"/>
  <c r="G17" i="75"/>
  <c r="G83" i="75" s="1"/>
  <c r="D17" i="75"/>
  <c r="Q15" i="75"/>
  <c r="B15" i="75"/>
  <c r="Q14" i="75"/>
  <c r="O14" i="75"/>
  <c r="N14" i="75"/>
  <c r="M14" i="75"/>
  <c r="L14" i="75"/>
  <c r="K14" i="75"/>
  <c r="J14" i="75"/>
  <c r="I14" i="75"/>
  <c r="H14" i="75"/>
  <c r="G14" i="75"/>
  <c r="F14" i="75"/>
  <c r="E14" i="75"/>
  <c r="D14" i="75"/>
  <c r="Q12" i="75"/>
  <c r="D12" i="75"/>
  <c r="B12" i="75"/>
  <c r="Q11" i="75"/>
  <c r="Q10" i="75" s="1"/>
  <c r="Q17" i="75" s="1"/>
  <c r="D11" i="75"/>
  <c r="B11" i="75"/>
  <c r="O10" i="75"/>
  <c r="N10" i="75"/>
  <c r="M10" i="75"/>
  <c r="M17" i="75" s="1"/>
  <c r="M18" i="75" s="1"/>
  <c r="L10" i="75"/>
  <c r="K10" i="75"/>
  <c r="K17" i="75" s="1"/>
  <c r="J10" i="75"/>
  <c r="I10" i="75"/>
  <c r="I17" i="75" s="1"/>
  <c r="H10" i="75"/>
  <c r="H17" i="75" s="1"/>
  <c r="G10" i="75"/>
  <c r="F10" i="75"/>
  <c r="E10" i="75"/>
  <c r="E17" i="75" s="1"/>
  <c r="E18" i="75" s="1"/>
  <c r="D10" i="75"/>
  <c r="O8" i="75"/>
  <c r="N8" i="75"/>
  <c r="M8" i="75"/>
  <c r="L8" i="75"/>
  <c r="K8" i="75"/>
  <c r="J8" i="75"/>
  <c r="I8" i="75"/>
  <c r="H8" i="75"/>
  <c r="G8" i="75"/>
  <c r="F8" i="75"/>
  <c r="E8" i="75"/>
  <c r="D8" i="75"/>
  <c r="B5" i="75"/>
  <c r="Q28" i="74"/>
  <c r="D23" i="74"/>
  <c r="Q23" i="74" s="1"/>
  <c r="Q21" i="74"/>
  <c r="B21" i="74"/>
  <c r="O20" i="74"/>
  <c r="O19" i="74" s="1"/>
  <c r="N20" i="74"/>
  <c r="N19" i="74" s="1"/>
  <c r="M20" i="74"/>
  <c r="L20" i="74"/>
  <c r="K20" i="74"/>
  <c r="J20" i="74"/>
  <c r="I20" i="74"/>
  <c r="I19" i="74" s="1"/>
  <c r="H20" i="74"/>
  <c r="G20" i="74"/>
  <c r="G19" i="74" s="1"/>
  <c r="F20" i="74"/>
  <c r="F19" i="74" s="1"/>
  <c r="E20" i="74"/>
  <c r="D20" i="74"/>
  <c r="B20" i="74"/>
  <c r="M19" i="74"/>
  <c r="L19" i="74"/>
  <c r="K19" i="74"/>
  <c r="J19" i="74"/>
  <c r="H19" i="74"/>
  <c r="E19" i="74"/>
  <c r="D19" i="74"/>
  <c r="O16" i="74"/>
  <c r="I16" i="74"/>
  <c r="I17" i="74" s="1"/>
  <c r="G16" i="74"/>
  <c r="Q14" i="74"/>
  <c r="B14" i="74"/>
  <c r="Q13" i="74"/>
  <c r="O13" i="74"/>
  <c r="N13" i="74"/>
  <c r="M13" i="74"/>
  <c r="L13" i="74"/>
  <c r="K13" i="74"/>
  <c r="J13" i="74"/>
  <c r="I13" i="74"/>
  <c r="H13" i="74"/>
  <c r="G13" i="74"/>
  <c r="F13" i="74"/>
  <c r="E13" i="74"/>
  <c r="D13" i="74"/>
  <c r="D11" i="74"/>
  <c r="D10" i="74" s="1"/>
  <c r="D16" i="74" s="1"/>
  <c r="B11" i="74"/>
  <c r="O10" i="74"/>
  <c r="N10" i="74"/>
  <c r="M10" i="74"/>
  <c r="M16" i="74" s="1"/>
  <c r="L10" i="74"/>
  <c r="L16" i="74" s="1"/>
  <c r="K10" i="74"/>
  <c r="K16" i="74" s="1"/>
  <c r="J10" i="74"/>
  <c r="J16" i="74" s="1"/>
  <c r="J25" i="74" s="1"/>
  <c r="I10" i="74"/>
  <c r="H10" i="74"/>
  <c r="H16" i="74" s="1"/>
  <c r="G10" i="74"/>
  <c r="F10" i="74"/>
  <c r="E10" i="74"/>
  <c r="E16" i="74" s="1"/>
  <c r="O8" i="74"/>
  <c r="N8" i="74"/>
  <c r="M8" i="74"/>
  <c r="L8" i="74"/>
  <c r="K8" i="74"/>
  <c r="J8" i="74"/>
  <c r="I8" i="74"/>
  <c r="H8" i="74"/>
  <c r="G8" i="74"/>
  <c r="F8" i="74"/>
  <c r="E8" i="74"/>
  <c r="D8" i="74"/>
  <c r="B5" i="74"/>
  <c r="Q86" i="73"/>
  <c r="D81" i="73"/>
  <c r="Q81" i="73" s="1"/>
  <c r="Q79" i="73"/>
  <c r="B79" i="73"/>
  <c r="O78" i="73"/>
  <c r="N78" i="73"/>
  <c r="M78" i="73"/>
  <c r="L78" i="73"/>
  <c r="K78" i="73"/>
  <c r="J78" i="73"/>
  <c r="I78" i="73"/>
  <c r="H78" i="73"/>
  <c r="G78" i="73"/>
  <c r="F78" i="73"/>
  <c r="E78" i="73"/>
  <c r="D78" i="73"/>
  <c r="Q78" i="73" s="1"/>
  <c r="B78" i="73"/>
  <c r="Q77" i="73"/>
  <c r="B77" i="73"/>
  <c r="Q76" i="73"/>
  <c r="B76" i="73"/>
  <c r="O75" i="73"/>
  <c r="N75" i="73"/>
  <c r="M75" i="73"/>
  <c r="L75" i="73"/>
  <c r="K75" i="73"/>
  <c r="J75" i="73"/>
  <c r="I75" i="73"/>
  <c r="H75" i="73"/>
  <c r="G75" i="73"/>
  <c r="F75" i="73"/>
  <c r="E75" i="73"/>
  <c r="D75" i="73"/>
  <c r="B75" i="73"/>
  <c r="Q74" i="73"/>
  <c r="B74" i="73"/>
  <c r="O73" i="73"/>
  <c r="N73" i="73"/>
  <c r="M73" i="73"/>
  <c r="L73" i="73"/>
  <c r="K73" i="73"/>
  <c r="J73" i="73"/>
  <c r="I73" i="73"/>
  <c r="H73" i="73"/>
  <c r="G73" i="73"/>
  <c r="F73" i="73"/>
  <c r="E73" i="73"/>
  <c r="D73" i="73"/>
  <c r="B73" i="73"/>
  <c r="Q72" i="73"/>
  <c r="B72" i="73"/>
  <c r="Q71" i="73"/>
  <c r="B71" i="73"/>
  <c r="Q70" i="73"/>
  <c r="B70" i="73"/>
  <c r="O69" i="73"/>
  <c r="N69" i="73"/>
  <c r="M69" i="73"/>
  <c r="L69" i="73"/>
  <c r="K69" i="73"/>
  <c r="J69" i="73"/>
  <c r="I69" i="73"/>
  <c r="H69" i="73"/>
  <c r="G69" i="73"/>
  <c r="F69" i="73"/>
  <c r="E69" i="73"/>
  <c r="D69" i="73"/>
  <c r="B69" i="73"/>
  <c r="Q68" i="73"/>
  <c r="B68" i="73"/>
  <c r="Q67" i="73"/>
  <c r="B67" i="73"/>
  <c r="O66" i="73"/>
  <c r="N66" i="73"/>
  <c r="M66" i="73"/>
  <c r="L66" i="73"/>
  <c r="K66" i="73"/>
  <c r="K22" i="73" s="1"/>
  <c r="J66" i="73"/>
  <c r="I66" i="73"/>
  <c r="H66" i="73"/>
  <c r="G66" i="73"/>
  <c r="F66" i="73"/>
  <c r="E66" i="73"/>
  <c r="D66" i="73"/>
  <c r="B66" i="73"/>
  <c r="Q65" i="73"/>
  <c r="B65" i="73"/>
  <c r="Q64" i="73"/>
  <c r="B64" i="73"/>
  <c r="O63" i="73"/>
  <c r="N63" i="73"/>
  <c r="M63" i="73"/>
  <c r="M22" i="73" s="1"/>
  <c r="L63" i="73"/>
  <c r="K63" i="73"/>
  <c r="J63" i="73"/>
  <c r="I63" i="73"/>
  <c r="H63" i="73"/>
  <c r="G63" i="73"/>
  <c r="F63" i="73"/>
  <c r="E63" i="73"/>
  <c r="E22" i="73" s="1"/>
  <c r="D63" i="73"/>
  <c r="Q63" i="73" s="1"/>
  <c r="B63" i="73"/>
  <c r="Q62" i="73"/>
  <c r="B62" i="73"/>
  <c r="Q61" i="73"/>
  <c r="B61" i="73"/>
  <c r="O60" i="73"/>
  <c r="N60" i="73"/>
  <c r="M60" i="73"/>
  <c r="L60" i="73"/>
  <c r="K60" i="73"/>
  <c r="J60" i="73"/>
  <c r="I60" i="73"/>
  <c r="H60" i="73"/>
  <c r="G60" i="73"/>
  <c r="F60" i="73"/>
  <c r="E60" i="73"/>
  <c r="D60" i="73"/>
  <c r="Q60" i="73" s="1"/>
  <c r="B60" i="73"/>
  <c r="Q59" i="73"/>
  <c r="B59" i="73"/>
  <c r="O58" i="73"/>
  <c r="N58" i="73"/>
  <c r="M58" i="73"/>
  <c r="L58" i="73"/>
  <c r="K58" i="73"/>
  <c r="J58" i="73"/>
  <c r="I58" i="73"/>
  <c r="H58" i="73"/>
  <c r="G58" i="73"/>
  <c r="F58" i="73"/>
  <c r="E58" i="73"/>
  <c r="D58" i="73"/>
  <c r="Q58" i="73" s="1"/>
  <c r="B58" i="73"/>
  <c r="Q57" i="73"/>
  <c r="B57" i="73"/>
  <c r="O56" i="73"/>
  <c r="N56" i="73"/>
  <c r="M56" i="73"/>
  <c r="L56" i="73"/>
  <c r="K56" i="73"/>
  <c r="J56" i="73"/>
  <c r="I56" i="73"/>
  <c r="H56" i="73"/>
  <c r="G56" i="73"/>
  <c r="F56" i="73"/>
  <c r="E56" i="73"/>
  <c r="D56" i="73"/>
  <c r="Q56" i="73" s="1"/>
  <c r="B56" i="73"/>
  <c r="Q55" i="73"/>
  <c r="B55" i="73"/>
  <c r="O54" i="73"/>
  <c r="N54" i="73"/>
  <c r="M54" i="73"/>
  <c r="L54" i="73"/>
  <c r="K54" i="73"/>
  <c r="J54" i="73"/>
  <c r="I54" i="73"/>
  <c r="H54" i="73"/>
  <c r="G54" i="73"/>
  <c r="F54" i="73"/>
  <c r="E54" i="73"/>
  <c r="D54" i="73"/>
  <c r="B54" i="73"/>
  <c r="Q53" i="73"/>
  <c r="B53" i="73"/>
  <c r="O52" i="73"/>
  <c r="N52" i="73"/>
  <c r="M52" i="73"/>
  <c r="L52" i="73"/>
  <c r="K52" i="73"/>
  <c r="J52" i="73"/>
  <c r="I52" i="73"/>
  <c r="H52" i="73"/>
  <c r="G52" i="73"/>
  <c r="F52" i="73"/>
  <c r="E52" i="73"/>
  <c r="D52" i="73"/>
  <c r="Q52" i="73" s="1"/>
  <c r="B52" i="73"/>
  <c r="Q51" i="73"/>
  <c r="B51" i="73"/>
  <c r="O50" i="73"/>
  <c r="N50" i="73"/>
  <c r="M50" i="73"/>
  <c r="L50" i="73"/>
  <c r="K50" i="73"/>
  <c r="J50" i="73"/>
  <c r="I50" i="73"/>
  <c r="H50" i="73"/>
  <c r="G50" i="73"/>
  <c r="F50" i="73"/>
  <c r="E50" i="73"/>
  <c r="D50" i="73"/>
  <c r="B50" i="73"/>
  <c r="Q49" i="73"/>
  <c r="B49" i="73"/>
  <c r="O48" i="73"/>
  <c r="N48" i="73"/>
  <c r="M48" i="73"/>
  <c r="L48" i="73"/>
  <c r="K48" i="73"/>
  <c r="J48" i="73"/>
  <c r="I48" i="73"/>
  <c r="H48" i="73"/>
  <c r="G48" i="73"/>
  <c r="G22" i="73" s="1"/>
  <c r="F48" i="73"/>
  <c r="E48" i="73"/>
  <c r="D48" i="73"/>
  <c r="B48" i="73"/>
  <c r="Q47" i="73"/>
  <c r="B47" i="73"/>
  <c r="O46" i="73"/>
  <c r="N46" i="73"/>
  <c r="M46" i="73"/>
  <c r="L46" i="73"/>
  <c r="K46" i="73"/>
  <c r="J46" i="73"/>
  <c r="I46" i="73"/>
  <c r="H46" i="73"/>
  <c r="G46" i="73"/>
  <c r="F46" i="73"/>
  <c r="E46" i="73"/>
  <c r="D46" i="73"/>
  <c r="B46" i="73"/>
  <c r="Q45" i="73"/>
  <c r="B45" i="73"/>
  <c r="O44" i="73"/>
  <c r="N44" i="73"/>
  <c r="M44" i="73"/>
  <c r="L44" i="73"/>
  <c r="K44" i="73"/>
  <c r="J44" i="73"/>
  <c r="I44" i="73"/>
  <c r="H44" i="73"/>
  <c r="G44" i="73"/>
  <c r="F44" i="73"/>
  <c r="E44" i="73"/>
  <c r="D44" i="73"/>
  <c r="Q44" i="73" s="1"/>
  <c r="B44" i="73"/>
  <c r="Q43" i="73"/>
  <c r="B43" i="73"/>
  <c r="Q42" i="73"/>
  <c r="B42" i="73"/>
  <c r="Q41" i="73"/>
  <c r="B41" i="73"/>
  <c r="Q40" i="73"/>
  <c r="B40" i="73"/>
  <c r="Q39" i="73"/>
  <c r="B39" i="73"/>
  <c r="Q38" i="73"/>
  <c r="B38" i="73"/>
  <c r="Q37" i="73"/>
  <c r="B37" i="73"/>
  <c r="Q36" i="73"/>
  <c r="B36" i="73"/>
  <c r="Q35" i="73"/>
  <c r="B35" i="73"/>
  <c r="Q34" i="73"/>
  <c r="B34" i="73"/>
  <c r="O33" i="73"/>
  <c r="N33" i="73"/>
  <c r="M33" i="73"/>
  <c r="L33" i="73"/>
  <c r="K33" i="73"/>
  <c r="J33" i="73"/>
  <c r="I33" i="73"/>
  <c r="H33" i="73"/>
  <c r="G33" i="73"/>
  <c r="F33" i="73"/>
  <c r="E33" i="73"/>
  <c r="D33" i="73"/>
  <c r="B33" i="73"/>
  <c r="Q32" i="73"/>
  <c r="B32" i="73"/>
  <c r="Q31" i="73"/>
  <c r="B31" i="73"/>
  <c r="Q30" i="73"/>
  <c r="B30" i="73"/>
  <c r="Q29" i="73"/>
  <c r="B29" i="73"/>
  <c r="Q28" i="73"/>
  <c r="B28" i="73"/>
  <c r="Q27" i="73"/>
  <c r="B27" i="73"/>
  <c r="Q26" i="73"/>
  <c r="B26" i="73"/>
  <c r="Q25" i="73"/>
  <c r="B25" i="73"/>
  <c r="Q24" i="73"/>
  <c r="B24" i="73"/>
  <c r="O23" i="73"/>
  <c r="N23" i="73"/>
  <c r="M23" i="73"/>
  <c r="L23" i="73"/>
  <c r="L22" i="73" s="1"/>
  <c r="K23" i="73"/>
  <c r="J23" i="73"/>
  <c r="I23" i="73"/>
  <c r="H23" i="73"/>
  <c r="G23" i="73"/>
  <c r="F23" i="73"/>
  <c r="E23" i="73"/>
  <c r="D23" i="73"/>
  <c r="Q23" i="73" s="1"/>
  <c r="B23" i="73"/>
  <c r="N22" i="73"/>
  <c r="J22" i="73"/>
  <c r="H22" i="73"/>
  <c r="F22" i="73"/>
  <c r="D22" i="73"/>
  <c r="O19" i="73"/>
  <c r="M19" i="73"/>
  <c r="M83" i="73" s="1"/>
  <c r="M88" i="73" s="1"/>
  <c r="M89" i="73" s="1"/>
  <c r="I19" i="73"/>
  <c r="G19" i="73"/>
  <c r="E19" i="73"/>
  <c r="Q17" i="73"/>
  <c r="B17" i="73"/>
  <c r="Q16" i="73"/>
  <c r="Q15" i="73" s="1"/>
  <c r="B16" i="73"/>
  <c r="O15" i="73"/>
  <c r="N15" i="73"/>
  <c r="M15" i="73"/>
  <c r="L15" i="73"/>
  <c r="K15" i="73"/>
  <c r="J15" i="73"/>
  <c r="I15" i="73"/>
  <c r="H15" i="73"/>
  <c r="G15" i="73"/>
  <c r="F15" i="73"/>
  <c r="E15" i="73"/>
  <c r="D15" i="73"/>
  <c r="D13" i="73"/>
  <c r="B13" i="73"/>
  <c r="Q12" i="73"/>
  <c r="D12" i="73"/>
  <c r="B12" i="73"/>
  <c r="D11" i="73"/>
  <c r="Q11" i="73" s="1"/>
  <c r="B11" i="73"/>
  <c r="O10" i="73"/>
  <c r="N10" i="73"/>
  <c r="N19" i="73" s="1"/>
  <c r="M10" i="73"/>
  <c r="L10" i="73"/>
  <c r="L19" i="73" s="1"/>
  <c r="K10" i="73"/>
  <c r="K19" i="73" s="1"/>
  <c r="J10" i="73"/>
  <c r="I10" i="73"/>
  <c r="H10" i="73"/>
  <c r="H19" i="73" s="1"/>
  <c r="G10" i="73"/>
  <c r="F10" i="73"/>
  <c r="F19" i="73" s="1"/>
  <c r="E10" i="73"/>
  <c r="O8" i="73"/>
  <c r="N8" i="73"/>
  <c r="M8" i="73"/>
  <c r="L8" i="73"/>
  <c r="K8" i="73"/>
  <c r="J8" i="73"/>
  <c r="I8" i="73"/>
  <c r="H8" i="73"/>
  <c r="G8" i="73"/>
  <c r="F8" i="73"/>
  <c r="E8" i="73"/>
  <c r="D8" i="73"/>
  <c r="B5" i="73"/>
  <c r="Q82" i="72"/>
  <c r="D77" i="72"/>
  <c r="Q77" i="72" s="1"/>
  <c r="Q75" i="72"/>
  <c r="B75" i="72"/>
  <c r="O74" i="72"/>
  <c r="N74" i="72"/>
  <c r="M74" i="72"/>
  <c r="L74" i="72"/>
  <c r="K74" i="72"/>
  <c r="J74" i="72"/>
  <c r="I74" i="72"/>
  <c r="H74" i="72"/>
  <c r="G74" i="72"/>
  <c r="F74" i="72"/>
  <c r="E74" i="72"/>
  <c r="D74" i="72"/>
  <c r="B74" i="72"/>
  <c r="Q73" i="72"/>
  <c r="B73" i="72"/>
  <c r="Q72" i="72"/>
  <c r="B72" i="72"/>
  <c r="O71" i="72"/>
  <c r="N71" i="72"/>
  <c r="M71" i="72"/>
  <c r="L71" i="72"/>
  <c r="K71" i="72"/>
  <c r="J71" i="72"/>
  <c r="I71" i="72"/>
  <c r="H71" i="72"/>
  <c r="G71" i="72"/>
  <c r="F71" i="72"/>
  <c r="E71" i="72"/>
  <c r="D71" i="72"/>
  <c r="B71" i="72"/>
  <c r="Q70" i="72"/>
  <c r="B70" i="72"/>
  <c r="Q69" i="72"/>
  <c r="B69" i="72"/>
  <c r="Q68" i="72"/>
  <c r="B68" i="72"/>
  <c r="Q67" i="72"/>
  <c r="B67" i="72"/>
  <c r="Q66" i="72"/>
  <c r="B66" i="72"/>
  <c r="O65" i="72"/>
  <c r="N65" i="72"/>
  <c r="M65" i="72"/>
  <c r="L65" i="72"/>
  <c r="K65" i="72"/>
  <c r="J65" i="72"/>
  <c r="I65" i="72"/>
  <c r="H65" i="72"/>
  <c r="G65" i="72"/>
  <c r="F65" i="72"/>
  <c r="E65" i="72"/>
  <c r="D65" i="72"/>
  <c r="B65" i="72"/>
  <c r="Q64" i="72"/>
  <c r="B64" i="72"/>
  <c r="Q63" i="72"/>
  <c r="B63" i="72"/>
  <c r="O62" i="72"/>
  <c r="N62" i="72"/>
  <c r="M62" i="72"/>
  <c r="L62" i="72"/>
  <c r="K62" i="72"/>
  <c r="J62" i="72"/>
  <c r="I62" i="72"/>
  <c r="I21" i="72" s="1"/>
  <c r="H62" i="72"/>
  <c r="G62" i="72"/>
  <c r="F62" i="72"/>
  <c r="E62" i="72"/>
  <c r="D62" i="72"/>
  <c r="Q62" i="72" s="1"/>
  <c r="B62" i="72"/>
  <c r="Q61" i="72"/>
  <c r="B61" i="72"/>
  <c r="Q60" i="72"/>
  <c r="B60" i="72"/>
  <c r="O59" i="72"/>
  <c r="N59" i="72"/>
  <c r="M59" i="72"/>
  <c r="L59" i="72"/>
  <c r="K59" i="72"/>
  <c r="J59" i="72"/>
  <c r="I59" i="72"/>
  <c r="H59" i="72"/>
  <c r="G59" i="72"/>
  <c r="F59" i="72"/>
  <c r="E59" i="72"/>
  <c r="D59" i="72"/>
  <c r="B59" i="72"/>
  <c r="Q58" i="72"/>
  <c r="B58" i="72"/>
  <c r="O57" i="72"/>
  <c r="N57" i="72"/>
  <c r="M57" i="72"/>
  <c r="L57" i="72"/>
  <c r="K57" i="72"/>
  <c r="J57" i="72"/>
  <c r="I57" i="72"/>
  <c r="H57" i="72"/>
  <c r="G57" i="72"/>
  <c r="F57" i="72"/>
  <c r="E57" i="72"/>
  <c r="D57" i="72"/>
  <c r="Q57" i="72" s="1"/>
  <c r="B57" i="72"/>
  <c r="Q56" i="72"/>
  <c r="B56" i="72"/>
  <c r="O55" i="72"/>
  <c r="N55" i="72"/>
  <c r="M55" i="72"/>
  <c r="L55" i="72"/>
  <c r="K55" i="72"/>
  <c r="J55" i="72"/>
  <c r="I55" i="72"/>
  <c r="H55" i="72"/>
  <c r="G55" i="72"/>
  <c r="F55" i="72"/>
  <c r="E55" i="72"/>
  <c r="D55" i="72"/>
  <c r="B55" i="72"/>
  <c r="Q54" i="72"/>
  <c r="B54" i="72"/>
  <c r="O53" i="72"/>
  <c r="N53" i="72"/>
  <c r="M53" i="72"/>
  <c r="L53" i="72"/>
  <c r="K53" i="72"/>
  <c r="J53" i="72"/>
  <c r="I53" i="72"/>
  <c r="H53" i="72"/>
  <c r="G53" i="72"/>
  <c r="F53" i="72"/>
  <c r="E53" i="72"/>
  <c r="D53" i="72"/>
  <c r="Q53" i="72" s="1"/>
  <c r="B53" i="72"/>
  <c r="Q52" i="72"/>
  <c r="B52" i="72"/>
  <c r="O51" i="72"/>
  <c r="N51" i="72"/>
  <c r="M51" i="72"/>
  <c r="L51" i="72"/>
  <c r="K51" i="72"/>
  <c r="J51" i="72"/>
  <c r="I51" i="72"/>
  <c r="H51" i="72"/>
  <c r="G51" i="72"/>
  <c r="F51" i="72"/>
  <c r="E51" i="72"/>
  <c r="D51" i="72"/>
  <c r="Q51" i="72" s="1"/>
  <c r="B51" i="72"/>
  <c r="Q50" i="72"/>
  <c r="B50" i="72"/>
  <c r="O49" i="72"/>
  <c r="N49" i="72"/>
  <c r="M49" i="72"/>
  <c r="L49" i="72"/>
  <c r="K49" i="72"/>
  <c r="J49" i="72"/>
  <c r="I49" i="72"/>
  <c r="H49" i="72"/>
  <c r="G49" i="72"/>
  <c r="F49" i="72"/>
  <c r="E49" i="72"/>
  <c r="D49" i="72"/>
  <c r="B49" i="72"/>
  <c r="Q48" i="72"/>
  <c r="B48" i="72"/>
  <c r="Q47" i="72"/>
  <c r="B47" i="72"/>
  <c r="O46" i="72"/>
  <c r="N46" i="72"/>
  <c r="M46" i="72"/>
  <c r="L46" i="72"/>
  <c r="K46" i="72"/>
  <c r="J46" i="72"/>
  <c r="I46" i="72"/>
  <c r="H46" i="72"/>
  <c r="G46" i="72"/>
  <c r="F46" i="72"/>
  <c r="E46" i="72"/>
  <c r="D46" i="72"/>
  <c r="Q46" i="72" s="1"/>
  <c r="B46" i="72"/>
  <c r="Q45" i="72"/>
  <c r="B45" i="72"/>
  <c r="O44" i="72"/>
  <c r="N44" i="72"/>
  <c r="M44" i="72"/>
  <c r="L44" i="72"/>
  <c r="K44" i="72"/>
  <c r="J44" i="72"/>
  <c r="I44" i="72"/>
  <c r="H44" i="72"/>
  <c r="G44" i="72"/>
  <c r="F44" i="72"/>
  <c r="E44" i="72"/>
  <c r="D44" i="72"/>
  <c r="Q44" i="72" s="1"/>
  <c r="B44" i="72"/>
  <c r="Q43" i="72"/>
  <c r="B43" i="72"/>
  <c r="O42" i="72"/>
  <c r="N42" i="72"/>
  <c r="M42" i="72"/>
  <c r="L42" i="72"/>
  <c r="K42" i="72"/>
  <c r="J42" i="72"/>
  <c r="I42" i="72"/>
  <c r="H42" i="72"/>
  <c r="G42" i="72"/>
  <c r="F42" i="72"/>
  <c r="E42" i="72"/>
  <c r="D42" i="72"/>
  <c r="B42" i="72"/>
  <c r="Q41" i="72"/>
  <c r="B41" i="72"/>
  <c r="Q40" i="72"/>
  <c r="B40" i="72"/>
  <c r="Q39" i="72"/>
  <c r="B39" i="72"/>
  <c r="Q38" i="72"/>
  <c r="B38" i="72"/>
  <c r="Q37" i="72"/>
  <c r="B37" i="72"/>
  <c r="Q36" i="72"/>
  <c r="B36" i="72"/>
  <c r="Q35" i="72"/>
  <c r="B35" i="72"/>
  <c r="Q34" i="72"/>
  <c r="B34" i="72"/>
  <c r="Q33" i="72"/>
  <c r="B33" i="72"/>
  <c r="Q32" i="72"/>
  <c r="B32" i="72"/>
  <c r="O31" i="72"/>
  <c r="N31" i="72"/>
  <c r="M31" i="72"/>
  <c r="L31" i="72"/>
  <c r="K31" i="72"/>
  <c r="J31" i="72"/>
  <c r="I31" i="72"/>
  <c r="H31" i="72"/>
  <c r="G31" i="72"/>
  <c r="F31" i="72"/>
  <c r="E31" i="72"/>
  <c r="D31" i="72"/>
  <c r="Q31" i="72" s="1"/>
  <c r="B31" i="72"/>
  <c r="Q30" i="72"/>
  <c r="B30" i="72"/>
  <c r="Q29" i="72"/>
  <c r="B29" i="72"/>
  <c r="Q28" i="72"/>
  <c r="B28" i="72"/>
  <c r="Q27" i="72"/>
  <c r="B27" i="72"/>
  <c r="Q26" i="72"/>
  <c r="B26" i="72"/>
  <c r="Q25" i="72"/>
  <c r="B25" i="72"/>
  <c r="Q24" i="72"/>
  <c r="B24" i="72"/>
  <c r="Q23" i="72"/>
  <c r="B23" i="72"/>
  <c r="O22" i="72"/>
  <c r="N22" i="72"/>
  <c r="M22" i="72"/>
  <c r="L22" i="72"/>
  <c r="K22" i="72"/>
  <c r="J22" i="72"/>
  <c r="I22" i="72"/>
  <c r="H22" i="72"/>
  <c r="G22" i="72"/>
  <c r="F22" i="72"/>
  <c r="E22" i="72"/>
  <c r="D22" i="72"/>
  <c r="Q22" i="72" s="1"/>
  <c r="B22" i="72"/>
  <c r="N21" i="72"/>
  <c r="L21" i="72"/>
  <c r="K21" i="72"/>
  <c r="J21" i="72"/>
  <c r="H21" i="72"/>
  <c r="F21" i="72"/>
  <c r="D21" i="72"/>
  <c r="M18" i="72"/>
  <c r="E18" i="72"/>
  <c r="Q16" i="72"/>
  <c r="B16" i="72"/>
  <c r="Q15" i="72"/>
  <c r="Q14" i="72" s="1"/>
  <c r="B15" i="72"/>
  <c r="O14" i="72"/>
  <c r="N14" i="72"/>
  <c r="M14" i="72"/>
  <c r="L14" i="72"/>
  <c r="K14" i="72"/>
  <c r="J14" i="72"/>
  <c r="I14" i="72"/>
  <c r="H14" i="72"/>
  <c r="G14" i="72"/>
  <c r="F14" i="72"/>
  <c r="E14" i="72"/>
  <c r="D14" i="72"/>
  <c r="D12" i="72"/>
  <c r="Q12" i="72" s="1"/>
  <c r="B12" i="72"/>
  <c r="Q11" i="72"/>
  <c r="Q10" i="72" s="1"/>
  <c r="Q18" i="72" s="1"/>
  <c r="Q19" i="72" s="1"/>
  <c r="D11" i="72"/>
  <c r="B11" i="72"/>
  <c r="O10" i="72"/>
  <c r="O18" i="72" s="1"/>
  <c r="N10" i="72"/>
  <c r="N18" i="72" s="1"/>
  <c r="M10" i="72"/>
  <c r="L10" i="72"/>
  <c r="L18" i="72" s="1"/>
  <c r="L19" i="72" s="1"/>
  <c r="K10" i="72"/>
  <c r="K18" i="72" s="1"/>
  <c r="J10" i="72"/>
  <c r="J18" i="72" s="1"/>
  <c r="I10" i="72"/>
  <c r="I18" i="72" s="1"/>
  <c r="H10" i="72"/>
  <c r="H18" i="72" s="1"/>
  <c r="H79" i="72" s="1"/>
  <c r="G10" i="72"/>
  <c r="G18" i="72" s="1"/>
  <c r="F10" i="72"/>
  <c r="F18" i="72" s="1"/>
  <c r="E10" i="72"/>
  <c r="D10" i="72"/>
  <c r="D18" i="72" s="1"/>
  <c r="D19" i="72" s="1"/>
  <c r="O8" i="72"/>
  <c r="N8" i="72"/>
  <c r="M8" i="72"/>
  <c r="L8" i="72"/>
  <c r="K8" i="72"/>
  <c r="J8" i="72"/>
  <c r="I8" i="72"/>
  <c r="H8" i="72"/>
  <c r="G8" i="72"/>
  <c r="F8" i="72"/>
  <c r="E8" i="72"/>
  <c r="D8" i="72"/>
  <c r="B5" i="72"/>
  <c r="Q27" i="71"/>
  <c r="Q22" i="71"/>
  <c r="D22" i="71"/>
  <c r="Q20" i="71"/>
  <c r="O20" i="71"/>
  <c r="N20" i="71"/>
  <c r="M20" i="71"/>
  <c r="L20" i="71"/>
  <c r="K20" i="71"/>
  <c r="J20" i="71"/>
  <c r="I20" i="71"/>
  <c r="H20" i="71"/>
  <c r="G20" i="71"/>
  <c r="F20" i="71"/>
  <c r="E20" i="71"/>
  <c r="D20" i="71"/>
  <c r="N17" i="71"/>
  <c r="F17" i="71"/>
  <c r="Q15" i="71"/>
  <c r="Q14" i="71" s="1"/>
  <c r="B15" i="71"/>
  <c r="O14" i="71"/>
  <c r="N14" i="71"/>
  <c r="M14" i="71"/>
  <c r="L14" i="71"/>
  <c r="K14" i="71"/>
  <c r="J14" i="71"/>
  <c r="I14" i="71"/>
  <c r="H14" i="71"/>
  <c r="G14" i="71"/>
  <c r="F14" i="71"/>
  <c r="E14" i="71"/>
  <c r="D14" i="71"/>
  <c r="Q12" i="71"/>
  <c r="D12" i="71"/>
  <c r="B12" i="71"/>
  <c r="Q11" i="71"/>
  <c r="D11" i="71"/>
  <c r="B11" i="71"/>
  <c r="Q10" i="71"/>
  <c r="Q17" i="71" s="1"/>
  <c r="O10" i="71"/>
  <c r="O17" i="71" s="1"/>
  <c r="N10" i="71"/>
  <c r="M10" i="71"/>
  <c r="L10" i="71"/>
  <c r="L17" i="71" s="1"/>
  <c r="K10" i="71"/>
  <c r="K17" i="71" s="1"/>
  <c r="J10" i="71"/>
  <c r="J17" i="71" s="1"/>
  <c r="I10" i="71"/>
  <c r="I17" i="71" s="1"/>
  <c r="I24" i="71" s="1"/>
  <c r="H10" i="71"/>
  <c r="H17" i="71" s="1"/>
  <c r="G10" i="71"/>
  <c r="G17" i="71" s="1"/>
  <c r="F10" i="71"/>
  <c r="E10" i="71"/>
  <c r="D10" i="71"/>
  <c r="D17" i="71" s="1"/>
  <c r="O8" i="71"/>
  <c r="N8" i="71"/>
  <c r="M8" i="71"/>
  <c r="L8" i="71"/>
  <c r="K8" i="71"/>
  <c r="J8" i="71"/>
  <c r="I8" i="71"/>
  <c r="H8" i="71"/>
  <c r="G8" i="71"/>
  <c r="F8" i="71"/>
  <c r="E8" i="71"/>
  <c r="D8" i="71"/>
  <c r="B5" i="71"/>
  <c r="Q69" i="70"/>
  <c r="Q64" i="70"/>
  <c r="D64" i="70"/>
  <c r="Q62" i="70"/>
  <c r="B62" i="70"/>
  <c r="O61" i="70"/>
  <c r="N61" i="70"/>
  <c r="M61" i="70"/>
  <c r="L61" i="70"/>
  <c r="K61" i="70"/>
  <c r="J61" i="70"/>
  <c r="I61" i="70"/>
  <c r="H61" i="70"/>
  <c r="G61" i="70"/>
  <c r="F61" i="70"/>
  <c r="E61" i="70"/>
  <c r="D61" i="70"/>
  <c r="Q61" i="70" s="1"/>
  <c r="B61" i="70"/>
  <c r="Q60" i="70"/>
  <c r="B60" i="70"/>
  <c r="O59" i="70"/>
  <c r="N59" i="70"/>
  <c r="M59" i="70"/>
  <c r="L59" i="70"/>
  <c r="K59" i="70"/>
  <c r="J59" i="70"/>
  <c r="I59" i="70"/>
  <c r="H59" i="70"/>
  <c r="G59" i="70"/>
  <c r="F59" i="70"/>
  <c r="E59" i="70"/>
  <c r="D59" i="70"/>
  <c r="Q59" i="70" s="1"/>
  <c r="B59" i="70"/>
  <c r="Q58" i="70"/>
  <c r="B58" i="70"/>
  <c r="Q57" i="70"/>
  <c r="B57" i="70"/>
  <c r="O56" i="70"/>
  <c r="N56" i="70"/>
  <c r="M56" i="70"/>
  <c r="L56" i="70"/>
  <c r="K56" i="70"/>
  <c r="J56" i="70"/>
  <c r="I56" i="70"/>
  <c r="H56" i="70"/>
  <c r="G56" i="70"/>
  <c r="F56" i="70"/>
  <c r="E56" i="70"/>
  <c r="D56" i="70"/>
  <c r="Q56" i="70" s="1"/>
  <c r="B56" i="70"/>
  <c r="Q55" i="70"/>
  <c r="B55" i="70"/>
  <c r="O54" i="70"/>
  <c r="O20" i="70" s="1"/>
  <c r="N54" i="70"/>
  <c r="M54" i="70"/>
  <c r="L54" i="70"/>
  <c r="K54" i="70"/>
  <c r="J54" i="70"/>
  <c r="I54" i="70"/>
  <c r="H54" i="70"/>
  <c r="G54" i="70"/>
  <c r="F54" i="70"/>
  <c r="E54" i="70"/>
  <c r="D54" i="70"/>
  <c r="B54" i="70"/>
  <c r="Q53" i="70"/>
  <c r="B53" i="70"/>
  <c r="O52" i="70"/>
  <c r="N52" i="70"/>
  <c r="M52" i="70"/>
  <c r="L52" i="70"/>
  <c r="K52" i="70"/>
  <c r="J52" i="70"/>
  <c r="I52" i="70"/>
  <c r="H52" i="70"/>
  <c r="G52" i="70"/>
  <c r="F52" i="70"/>
  <c r="E52" i="70"/>
  <c r="D52" i="70"/>
  <c r="B52" i="70"/>
  <c r="Q51" i="70"/>
  <c r="B51" i="70"/>
  <c r="Q50" i="70"/>
  <c r="B50" i="70"/>
  <c r="O49" i="70"/>
  <c r="N49" i="70"/>
  <c r="M49" i="70"/>
  <c r="L49" i="70"/>
  <c r="K49" i="70"/>
  <c r="J49" i="70"/>
  <c r="I49" i="70"/>
  <c r="H49" i="70"/>
  <c r="G49" i="70"/>
  <c r="F49" i="70"/>
  <c r="E49" i="70"/>
  <c r="D49" i="70"/>
  <c r="Q49" i="70" s="1"/>
  <c r="B49" i="70"/>
  <c r="Q48" i="70"/>
  <c r="B48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B47" i="70"/>
  <c r="Q46" i="70"/>
  <c r="B46" i="70"/>
  <c r="O45" i="70"/>
  <c r="N45" i="70"/>
  <c r="M45" i="70"/>
  <c r="L45" i="70"/>
  <c r="K45" i="70"/>
  <c r="J45" i="70"/>
  <c r="I45" i="70"/>
  <c r="H45" i="70"/>
  <c r="G45" i="70"/>
  <c r="F45" i="70"/>
  <c r="E45" i="70"/>
  <c r="D45" i="70"/>
  <c r="B45" i="70"/>
  <c r="Q44" i="70"/>
  <c r="B44" i="70"/>
  <c r="O43" i="70"/>
  <c r="N43" i="70"/>
  <c r="M43" i="70"/>
  <c r="L43" i="70"/>
  <c r="K43" i="70"/>
  <c r="J43" i="70"/>
  <c r="I43" i="70"/>
  <c r="H43" i="70"/>
  <c r="G43" i="70"/>
  <c r="F43" i="70"/>
  <c r="E43" i="70"/>
  <c r="D43" i="70"/>
  <c r="Q43" i="70" s="1"/>
  <c r="B43" i="70"/>
  <c r="Q42" i="70"/>
  <c r="B42" i="70"/>
  <c r="O41" i="70"/>
  <c r="N41" i="70"/>
  <c r="M41" i="70"/>
  <c r="L41" i="70"/>
  <c r="K41" i="70"/>
  <c r="J41" i="70"/>
  <c r="I41" i="70"/>
  <c r="H41" i="70"/>
  <c r="G41" i="70"/>
  <c r="F41" i="70"/>
  <c r="E41" i="70"/>
  <c r="D41" i="70"/>
  <c r="Q41" i="70" s="1"/>
  <c r="B41" i="70"/>
  <c r="Q40" i="70"/>
  <c r="B40" i="70"/>
  <c r="Q39" i="70"/>
  <c r="B39" i="70"/>
  <c r="Q38" i="70"/>
  <c r="B38" i="70"/>
  <c r="Q37" i="70"/>
  <c r="B37" i="70"/>
  <c r="Q36" i="70"/>
  <c r="B36" i="70"/>
  <c r="Q35" i="70"/>
  <c r="B35" i="70"/>
  <c r="Q34" i="70"/>
  <c r="B34" i="70"/>
  <c r="Q33" i="70"/>
  <c r="B33" i="70"/>
  <c r="Q32" i="70"/>
  <c r="B32" i="70"/>
  <c r="Q31" i="70"/>
  <c r="B31" i="70"/>
  <c r="O30" i="70"/>
  <c r="N30" i="70"/>
  <c r="M30" i="70"/>
  <c r="L30" i="70"/>
  <c r="K30" i="70"/>
  <c r="K20" i="70" s="1"/>
  <c r="J30" i="70"/>
  <c r="I30" i="70"/>
  <c r="H30" i="70"/>
  <c r="G30" i="70"/>
  <c r="F30" i="70"/>
  <c r="E30" i="70"/>
  <c r="D30" i="70"/>
  <c r="Q30" i="70" s="1"/>
  <c r="B30" i="70"/>
  <c r="Q29" i="70"/>
  <c r="B29" i="70"/>
  <c r="Q28" i="70"/>
  <c r="B28" i="70"/>
  <c r="Q27" i="70"/>
  <c r="B27" i="70"/>
  <c r="Q26" i="70"/>
  <c r="B26" i="70"/>
  <c r="Q25" i="70"/>
  <c r="B25" i="70"/>
  <c r="Q24" i="70"/>
  <c r="B24" i="70"/>
  <c r="Q23" i="70"/>
  <c r="B23" i="70"/>
  <c r="Q22" i="70"/>
  <c r="B22" i="70"/>
  <c r="O21" i="70"/>
  <c r="N21" i="70"/>
  <c r="M21" i="70"/>
  <c r="L21" i="70"/>
  <c r="K21" i="70"/>
  <c r="J21" i="70"/>
  <c r="I21" i="70"/>
  <c r="I20" i="70" s="1"/>
  <c r="H21" i="70"/>
  <c r="G21" i="70"/>
  <c r="F21" i="70"/>
  <c r="E21" i="70"/>
  <c r="D21" i="70"/>
  <c r="B21" i="70"/>
  <c r="N20" i="70"/>
  <c r="M20" i="70"/>
  <c r="L20" i="70"/>
  <c r="J20" i="70"/>
  <c r="H20" i="70"/>
  <c r="F20" i="70"/>
  <c r="E20" i="70"/>
  <c r="D20" i="70"/>
  <c r="O17" i="70"/>
  <c r="Q15" i="70"/>
  <c r="B15" i="70"/>
  <c r="Q14" i="70"/>
  <c r="O14" i="70"/>
  <c r="N14" i="70"/>
  <c r="M14" i="70"/>
  <c r="L14" i="70"/>
  <c r="K14" i="70"/>
  <c r="J14" i="70"/>
  <c r="I14" i="70"/>
  <c r="I17" i="70" s="1"/>
  <c r="H14" i="70"/>
  <c r="G14" i="70"/>
  <c r="F14" i="70"/>
  <c r="E14" i="70"/>
  <c r="D14" i="70"/>
  <c r="D12" i="70"/>
  <c r="Q12" i="70" s="1"/>
  <c r="B12" i="70"/>
  <c r="Q11" i="70"/>
  <c r="Q10" i="70" s="1"/>
  <c r="Q17" i="70" s="1"/>
  <c r="D11" i="70"/>
  <c r="B11" i="70"/>
  <c r="O10" i="70"/>
  <c r="N10" i="70"/>
  <c r="N17" i="70" s="1"/>
  <c r="M10" i="70"/>
  <c r="M17" i="70" s="1"/>
  <c r="L10" i="70"/>
  <c r="L17" i="70" s="1"/>
  <c r="L18" i="70" s="1"/>
  <c r="K10" i="70"/>
  <c r="K17" i="70" s="1"/>
  <c r="J10" i="70"/>
  <c r="I10" i="70"/>
  <c r="H10" i="70"/>
  <c r="G10" i="70"/>
  <c r="G17" i="70" s="1"/>
  <c r="F10" i="70"/>
  <c r="F17" i="70" s="1"/>
  <c r="E10" i="70"/>
  <c r="D10" i="70"/>
  <c r="D17" i="70" s="1"/>
  <c r="D18" i="70" s="1"/>
  <c r="O8" i="70"/>
  <c r="N8" i="70"/>
  <c r="M8" i="70"/>
  <c r="L8" i="70"/>
  <c r="K8" i="70"/>
  <c r="J8" i="70"/>
  <c r="I8" i="70"/>
  <c r="H8" i="70"/>
  <c r="G8" i="70"/>
  <c r="F8" i="70"/>
  <c r="E8" i="70"/>
  <c r="D8" i="70"/>
  <c r="B5" i="70"/>
  <c r="Q77" i="69"/>
  <c r="Q72" i="69"/>
  <c r="D72" i="69"/>
  <c r="Q70" i="69"/>
  <c r="B70" i="69"/>
  <c r="O69" i="69"/>
  <c r="N69" i="69"/>
  <c r="M69" i="69"/>
  <c r="L69" i="69"/>
  <c r="K69" i="69"/>
  <c r="J69" i="69"/>
  <c r="I69" i="69"/>
  <c r="H69" i="69"/>
  <c r="H31" i="69" s="1"/>
  <c r="G69" i="69"/>
  <c r="F69" i="69"/>
  <c r="E69" i="69"/>
  <c r="D69" i="69"/>
  <c r="B69" i="69"/>
  <c r="Q68" i="69"/>
  <c r="B68" i="69"/>
  <c r="Q67" i="69"/>
  <c r="B67" i="69"/>
  <c r="O66" i="69"/>
  <c r="N66" i="69"/>
  <c r="M66" i="69"/>
  <c r="L66" i="69"/>
  <c r="K66" i="69"/>
  <c r="J66" i="69"/>
  <c r="I66" i="69"/>
  <c r="H66" i="69"/>
  <c r="G66" i="69"/>
  <c r="F66" i="69"/>
  <c r="E66" i="69"/>
  <c r="D66" i="69"/>
  <c r="B66" i="69"/>
  <c r="Q65" i="69"/>
  <c r="B65" i="69"/>
  <c r="O64" i="69"/>
  <c r="N64" i="69"/>
  <c r="M64" i="69"/>
  <c r="L64" i="69"/>
  <c r="K64" i="69"/>
  <c r="J64" i="69"/>
  <c r="I64" i="69"/>
  <c r="H64" i="69"/>
  <c r="G64" i="69"/>
  <c r="F64" i="69"/>
  <c r="E64" i="69"/>
  <c r="D64" i="69"/>
  <c r="B64" i="69"/>
  <c r="Q63" i="69"/>
  <c r="B63" i="69"/>
  <c r="O62" i="69"/>
  <c r="N62" i="69"/>
  <c r="M62" i="69"/>
  <c r="L62" i="69"/>
  <c r="K62" i="69"/>
  <c r="J62" i="69"/>
  <c r="I62" i="69"/>
  <c r="H62" i="69"/>
  <c r="G62" i="69"/>
  <c r="F62" i="69"/>
  <c r="E62" i="69"/>
  <c r="D62" i="69"/>
  <c r="B62" i="69"/>
  <c r="Q61" i="69"/>
  <c r="B61" i="69"/>
  <c r="O60" i="69"/>
  <c r="N60" i="69"/>
  <c r="M60" i="69"/>
  <c r="L60" i="69"/>
  <c r="K60" i="69"/>
  <c r="J60" i="69"/>
  <c r="I60" i="69"/>
  <c r="H60" i="69"/>
  <c r="G60" i="69"/>
  <c r="F60" i="69"/>
  <c r="E60" i="69"/>
  <c r="D60" i="69"/>
  <c r="B60" i="69"/>
  <c r="Q59" i="69"/>
  <c r="B59" i="69"/>
  <c r="O58" i="69"/>
  <c r="N58" i="69"/>
  <c r="M58" i="69"/>
  <c r="L58" i="69"/>
  <c r="K58" i="69"/>
  <c r="J58" i="69"/>
  <c r="I58" i="69"/>
  <c r="H58" i="69"/>
  <c r="G58" i="69"/>
  <c r="F58" i="69"/>
  <c r="E58" i="69"/>
  <c r="D58" i="69"/>
  <c r="Q58" i="69" s="1"/>
  <c r="B58" i="69"/>
  <c r="Q57" i="69"/>
  <c r="B57" i="69"/>
  <c r="O56" i="69"/>
  <c r="N56" i="69"/>
  <c r="M56" i="69"/>
  <c r="L56" i="69"/>
  <c r="K56" i="69"/>
  <c r="J56" i="69"/>
  <c r="I56" i="69"/>
  <c r="H56" i="69"/>
  <c r="G56" i="69"/>
  <c r="F56" i="69"/>
  <c r="E56" i="69"/>
  <c r="D56" i="69"/>
  <c r="Q56" i="69" s="1"/>
  <c r="B56" i="69"/>
  <c r="Q55" i="69"/>
  <c r="B55" i="69"/>
  <c r="O54" i="69"/>
  <c r="N54" i="69"/>
  <c r="M54" i="69"/>
  <c r="L54" i="69"/>
  <c r="K54" i="69"/>
  <c r="J54" i="69"/>
  <c r="I54" i="69"/>
  <c r="H54" i="69"/>
  <c r="G54" i="69"/>
  <c r="F54" i="69"/>
  <c r="E54" i="69"/>
  <c r="D54" i="69"/>
  <c r="Q54" i="69" s="1"/>
  <c r="B54" i="69"/>
  <c r="Q53" i="69"/>
  <c r="B53" i="69"/>
  <c r="Q52" i="69"/>
  <c r="B52" i="69"/>
  <c r="Q51" i="69"/>
  <c r="B51" i="69"/>
  <c r="Q50" i="69"/>
  <c r="B50" i="69"/>
  <c r="Q49" i="69"/>
  <c r="B49" i="69"/>
  <c r="Q48" i="69"/>
  <c r="B48" i="69"/>
  <c r="Q47" i="69"/>
  <c r="B47" i="69"/>
  <c r="Q46" i="69"/>
  <c r="B46" i="69"/>
  <c r="Q45" i="69"/>
  <c r="B45" i="69"/>
  <c r="Q44" i="69"/>
  <c r="B44" i="69"/>
  <c r="O43" i="69"/>
  <c r="N43" i="69"/>
  <c r="M43" i="69"/>
  <c r="L43" i="69"/>
  <c r="K43" i="69"/>
  <c r="J43" i="69"/>
  <c r="I43" i="69"/>
  <c r="H43" i="69"/>
  <c r="G43" i="69"/>
  <c r="F43" i="69"/>
  <c r="E43" i="69"/>
  <c r="D43" i="69"/>
  <c r="Q43" i="69" s="1"/>
  <c r="B43" i="69"/>
  <c r="Q42" i="69"/>
  <c r="B42" i="69"/>
  <c r="Q41" i="69"/>
  <c r="B41" i="69"/>
  <c r="Q40" i="69"/>
  <c r="B40" i="69"/>
  <c r="Q39" i="69"/>
  <c r="B39" i="69"/>
  <c r="Q38" i="69"/>
  <c r="B38" i="69"/>
  <c r="Q37" i="69"/>
  <c r="B37" i="69"/>
  <c r="Q36" i="69"/>
  <c r="B36" i="69"/>
  <c r="Q35" i="69"/>
  <c r="B35" i="69"/>
  <c r="Q34" i="69"/>
  <c r="B34" i="69"/>
  <c r="Q33" i="69"/>
  <c r="B33" i="69"/>
  <c r="O32" i="69"/>
  <c r="O31" i="69" s="1"/>
  <c r="N32" i="69"/>
  <c r="N31" i="69" s="1"/>
  <c r="M32" i="69"/>
  <c r="L32" i="69"/>
  <c r="K32" i="69"/>
  <c r="J32" i="69"/>
  <c r="I32" i="69"/>
  <c r="H32" i="69"/>
  <c r="G32" i="69"/>
  <c r="G31" i="69" s="1"/>
  <c r="F32" i="69"/>
  <c r="F31" i="69" s="1"/>
  <c r="E32" i="69"/>
  <c r="D32" i="69"/>
  <c r="B32" i="69"/>
  <c r="M31" i="69"/>
  <c r="L31" i="69"/>
  <c r="K31" i="69"/>
  <c r="I31" i="69"/>
  <c r="E31" i="69"/>
  <c r="D31" i="69"/>
  <c r="I29" i="69"/>
  <c r="N28" i="69"/>
  <c r="M28" i="69"/>
  <c r="M74" i="69" s="1"/>
  <c r="F28" i="69"/>
  <c r="E28" i="69"/>
  <c r="Q26" i="69"/>
  <c r="B26" i="69"/>
  <c r="Q25" i="69"/>
  <c r="B25" i="69"/>
  <c r="Q24" i="69"/>
  <c r="B24" i="69"/>
  <c r="Q23" i="69"/>
  <c r="B23" i="69"/>
  <c r="Q22" i="69"/>
  <c r="B22" i="69"/>
  <c r="Q21" i="69"/>
  <c r="B21" i="69"/>
  <c r="Q20" i="69"/>
  <c r="B20" i="69"/>
  <c r="Q19" i="69"/>
  <c r="B19" i="69"/>
  <c r="Q18" i="69"/>
  <c r="B18" i="69"/>
  <c r="Q17" i="69"/>
  <c r="B17" i="69"/>
  <c r="Q16" i="69"/>
  <c r="O16" i="69"/>
  <c r="O28" i="69" s="1"/>
  <c r="O29" i="69" s="1"/>
  <c r="N16" i="69"/>
  <c r="M16" i="69"/>
  <c r="L16" i="69"/>
  <c r="K16" i="69"/>
  <c r="J16" i="69"/>
  <c r="I16" i="69"/>
  <c r="H16" i="69"/>
  <c r="G16" i="69"/>
  <c r="G28" i="69" s="1"/>
  <c r="G29" i="69" s="1"/>
  <c r="F16" i="69"/>
  <c r="E16" i="69"/>
  <c r="D16" i="69"/>
  <c r="Q14" i="69"/>
  <c r="D14" i="69"/>
  <c r="B14" i="69"/>
  <c r="D13" i="69"/>
  <c r="B13" i="69"/>
  <c r="D12" i="69"/>
  <c r="Q12" i="69" s="1"/>
  <c r="B12" i="69"/>
  <c r="Q11" i="69"/>
  <c r="D11" i="69"/>
  <c r="B11" i="69"/>
  <c r="O10" i="69"/>
  <c r="N10" i="69"/>
  <c r="M10" i="69"/>
  <c r="L10" i="69"/>
  <c r="L28" i="69" s="1"/>
  <c r="K10" i="69"/>
  <c r="K28" i="69" s="1"/>
  <c r="J10" i="69"/>
  <c r="J28" i="69" s="1"/>
  <c r="I10" i="69"/>
  <c r="I28" i="69" s="1"/>
  <c r="H10" i="69"/>
  <c r="H28" i="69" s="1"/>
  <c r="G10" i="69"/>
  <c r="F10" i="69"/>
  <c r="E10" i="69"/>
  <c r="O8" i="69"/>
  <c r="N8" i="69"/>
  <c r="M8" i="69"/>
  <c r="L8" i="69"/>
  <c r="K8" i="69"/>
  <c r="J8" i="69"/>
  <c r="I8" i="69"/>
  <c r="H8" i="69"/>
  <c r="G8" i="69"/>
  <c r="F8" i="69"/>
  <c r="E8" i="69"/>
  <c r="D8" i="69"/>
  <c r="B5" i="69"/>
  <c r="Q71" i="68"/>
  <c r="Q66" i="68"/>
  <c r="D66" i="68"/>
  <c r="Q64" i="68"/>
  <c r="B64" i="68"/>
  <c r="O63" i="68"/>
  <c r="N63" i="68"/>
  <c r="M63" i="68"/>
  <c r="M21" i="68" s="1"/>
  <c r="L63" i="68"/>
  <c r="K63" i="68"/>
  <c r="J63" i="68"/>
  <c r="I63" i="68"/>
  <c r="H63" i="68"/>
  <c r="G63" i="68"/>
  <c r="F63" i="68"/>
  <c r="E63" i="68"/>
  <c r="E21" i="68" s="1"/>
  <c r="D63" i="68"/>
  <c r="Q63" i="68" s="1"/>
  <c r="B63" i="68"/>
  <c r="Q62" i="68"/>
  <c r="B62" i="68"/>
  <c r="Q61" i="68"/>
  <c r="B61" i="68"/>
  <c r="Q60" i="68"/>
  <c r="B60" i="68"/>
  <c r="Q59" i="68"/>
  <c r="B59" i="68"/>
  <c r="O58" i="68"/>
  <c r="N58" i="68"/>
  <c r="M58" i="68"/>
  <c r="L58" i="68"/>
  <c r="K58" i="68"/>
  <c r="J58" i="68"/>
  <c r="I58" i="68"/>
  <c r="H58" i="68"/>
  <c r="G58" i="68"/>
  <c r="F58" i="68"/>
  <c r="E58" i="68"/>
  <c r="D58" i="68"/>
  <c r="Q58" i="68" s="1"/>
  <c r="B58" i="68"/>
  <c r="Q57" i="68"/>
  <c r="B57" i="68"/>
  <c r="O56" i="68"/>
  <c r="N56" i="68"/>
  <c r="M56" i="68"/>
  <c r="L56" i="68"/>
  <c r="K56" i="68"/>
  <c r="J56" i="68"/>
  <c r="I56" i="68"/>
  <c r="H56" i="68"/>
  <c r="G56" i="68"/>
  <c r="F56" i="68"/>
  <c r="E56" i="68"/>
  <c r="D56" i="68"/>
  <c r="B56" i="68"/>
  <c r="Q55" i="68"/>
  <c r="B55" i="68"/>
  <c r="Q54" i="68"/>
  <c r="B54" i="68"/>
  <c r="Q53" i="68"/>
  <c r="B53" i="68"/>
  <c r="O52" i="68"/>
  <c r="O21" i="68" s="1"/>
  <c r="N52" i="68"/>
  <c r="M52" i="68"/>
  <c r="L52" i="68"/>
  <c r="K52" i="68"/>
  <c r="J52" i="68"/>
  <c r="I52" i="68"/>
  <c r="H52" i="68"/>
  <c r="G52" i="68"/>
  <c r="F52" i="68"/>
  <c r="E52" i="68"/>
  <c r="D52" i="68"/>
  <c r="B52" i="68"/>
  <c r="Q51" i="68"/>
  <c r="B51" i="68"/>
  <c r="Q50" i="68"/>
  <c r="B50" i="68"/>
  <c r="O49" i="68"/>
  <c r="N49" i="68"/>
  <c r="M49" i="68"/>
  <c r="L49" i="68"/>
  <c r="K49" i="68"/>
  <c r="J49" i="68"/>
  <c r="I49" i="68"/>
  <c r="H49" i="68"/>
  <c r="G49" i="68"/>
  <c r="F49" i="68"/>
  <c r="E49" i="68"/>
  <c r="D49" i="68"/>
  <c r="B49" i="68"/>
  <c r="Q48" i="68"/>
  <c r="B48" i="68"/>
  <c r="O47" i="68"/>
  <c r="N47" i="68"/>
  <c r="M47" i="68"/>
  <c r="L47" i="68"/>
  <c r="K47" i="68"/>
  <c r="J47" i="68"/>
  <c r="I47" i="68"/>
  <c r="H47" i="68"/>
  <c r="Q47" i="68" s="1"/>
  <c r="G47" i="68"/>
  <c r="F47" i="68"/>
  <c r="E47" i="68"/>
  <c r="D47" i="68"/>
  <c r="B47" i="68"/>
  <c r="Q46" i="68"/>
  <c r="B46" i="68"/>
  <c r="O45" i="68"/>
  <c r="N45" i="68"/>
  <c r="M45" i="68"/>
  <c r="L45" i="68"/>
  <c r="K45" i="68"/>
  <c r="J45" i="68"/>
  <c r="I45" i="68"/>
  <c r="H45" i="68"/>
  <c r="Q45" i="68" s="1"/>
  <c r="G45" i="68"/>
  <c r="F45" i="68"/>
  <c r="E45" i="68"/>
  <c r="D45" i="68"/>
  <c r="B45" i="68"/>
  <c r="Q44" i="68"/>
  <c r="B44" i="68"/>
  <c r="O43" i="68"/>
  <c r="N43" i="68"/>
  <c r="M43" i="68"/>
  <c r="L43" i="68"/>
  <c r="K43" i="68"/>
  <c r="J43" i="68"/>
  <c r="I43" i="68"/>
  <c r="I21" i="68" s="1"/>
  <c r="H43" i="68"/>
  <c r="G43" i="68"/>
  <c r="F43" i="68"/>
  <c r="E43" i="68"/>
  <c r="D43" i="68"/>
  <c r="B43" i="68"/>
  <c r="Q42" i="68"/>
  <c r="B42" i="68"/>
  <c r="Q41" i="68"/>
  <c r="B41" i="68"/>
  <c r="Q40" i="68"/>
  <c r="B40" i="68"/>
  <c r="Q39" i="68"/>
  <c r="B39" i="68"/>
  <c r="Q38" i="68"/>
  <c r="B38" i="68"/>
  <c r="Q37" i="68"/>
  <c r="B37" i="68"/>
  <c r="Q36" i="68"/>
  <c r="B36" i="68"/>
  <c r="Q35" i="68"/>
  <c r="B35" i="68"/>
  <c r="Q34" i="68"/>
  <c r="B34" i="68"/>
  <c r="Q33" i="68"/>
  <c r="B33" i="68"/>
  <c r="O32" i="68"/>
  <c r="N32" i="68"/>
  <c r="M32" i="68"/>
  <c r="L32" i="68"/>
  <c r="K32" i="68"/>
  <c r="J32" i="68"/>
  <c r="I32" i="68"/>
  <c r="H32" i="68"/>
  <c r="G32" i="68"/>
  <c r="F32" i="68"/>
  <c r="E32" i="68"/>
  <c r="D32" i="68"/>
  <c r="B32" i="68"/>
  <c r="Q31" i="68"/>
  <c r="B31" i="68"/>
  <c r="Q30" i="68"/>
  <c r="B30" i="68"/>
  <c r="Q29" i="68"/>
  <c r="B29" i="68"/>
  <c r="Q28" i="68"/>
  <c r="B28" i="68"/>
  <c r="Q27" i="68"/>
  <c r="B27" i="68"/>
  <c r="Q26" i="68"/>
  <c r="B26" i="68"/>
  <c r="Q25" i="68"/>
  <c r="B25" i="68"/>
  <c r="Q24" i="68"/>
  <c r="B24" i="68"/>
  <c r="Q23" i="68"/>
  <c r="B23" i="68"/>
  <c r="O22" i="68"/>
  <c r="N22" i="68"/>
  <c r="M22" i="68"/>
  <c r="L22" i="68"/>
  <c r="L21" i="68" s="1"/>
  <c r="L68" i="68" s="1"/>
  <c r="K22" i="68"/>
  <c r="J22" i="68"/>
  <c r="I22" i="68"/>
  <c r="H22" i="68"/>
  <c r="G22" i="68"/>
  <c r="F22" i="68"/>
  <c r="E22" i="68"/>
  <c r="D22" i="68"/>
  <c r="Q22" i="68" s="1"/>
  <c r="B22" i="68"/>
  <c r="N21" i="68"/>
  <c r="J21" i="68"/>
  <c r="H21" i="68"/>
  <c r="F21" i="68"/>
  <c r="N19" i="68"/>
  <c r="F19" i="68"/>
  <c r="L18" i="68"/>
  <c r="L19" i="68" s="1"/>
  <c r="K18" i="68"/>
  <c r="Q16" i="68"/>
  <c r="Q15" i="68" s="1"/>
  <c r="B16" i="68"/>
  <c r="O15" i="68"/>
  <c r="N15" i="68"/>
  <c r="M15" i="68"/>
  <c r="L15" i="68"/>
  <c r="K15" i="68"/>
  <c r="J15" i="68"/>
  <c r="J18" i="68" s="1"/>
  <c r="I15" i="68"/>
  <c r="H15" i="68"/>
  <c r="G15" i="68"/>
  <c r="F15" i="68"/>
  <c r="E15" i="68"/>
  <c r="D15" i="68"/>
  <c r="D13" i="68"/>
  <c r="B13" i="68"/>
  <c r="D12" i="68"/>
  <c r="Q12" i="68" s="1"/>
  <c r="B12" i="68"/>
  <c r="D11" i="68"/>
  <c r="Q11" i="68" s="1"/>
  <c r="B11" i="68"/>
  <c r="O10" i="68"/>
  <c r="O18" i="68" s="1"/>
  <c r="N10" i="68"/>
  <c r="N18" i="68" s="1"/>
  <c r="M10" i="68"/>
  <c r="M18" i="68" s="1"/>
  <c r="L10" i="68"/>
  <c r="K10" i="68"/>
  <c r="J10" i="68"/>
  <c r="I10" i="68"/>
  <c r="I18" i="68" s="1"/>
  <c r="H10" i="68"/>
  <c r="H18" i="68" s="1"/>
  <c r="G10" i="68"/>
  <c r="G18" i="68" s="1"/>
  <c r="F10" i="68"/>
  <c r="F18" i="68" s="1"/>
  <c r="F68" i="68" s="1"/>
  <c r="E10" i="68"/>
  <c r="E18" i="68" s="1"/>
  <c r="O8" i="68"/>
  <c r="N8" i="68"/>
  <c r="M8" i="68"/>
  <c r="L8" i="68"/>
  <c r="K8" i="68"/>
  <c r="J8" i="68"/>
  <c r="I8" i="68"/>
  <c r="H8" i="68"/>
  <c r="G8" i="68"/>
  <c r="F8" i="68"/>
  <c r="E8" i="68"/>
  <c r="D8" i="68"/>
  <c r="B5" i="68"/>
  <c r="Q98" i="67"/>
  <c r="Q93" i="67"/>
  <c r="D93" i="67"/>
  <c r="Q91" i="67"/>
  <c r="B91" i="67"/>
  <c r="O90" i="67"/>
  <c r="N90" i="67"/>
  <c r="M90" i="67"/>
  <c r="L90" i="67"/>
  <c r="K90" i="67"/>
  <c r="J90" i="67"/>
  <c r="I90" i="67"/>
  <c r="H90" i="67"/>
  <c r="G90" i="67"/>
  <c r="F90" i="67"/>
  <c r="E90" i="67"/>
  <c r="D90" i="67"/>
  <c r="Q90" i="67" s="1"/>
  <c r="B90" i="67"/>
  <c r="Q89" i="67"/>
  <c r="B89" i="67"/>
  <c r="O88" i="67"/>
  <c r="N88" i="67"/>
  <c r="M88" i="67"/>
  <c r="M36" i="67" s="1"/>
  <c r="L88" i="67"/>
  <c r="K88" i="67"/>
  <c r="J88" i="67"/>
  <c r="I88" i="67"/>
  <c r="H88" i="67"/>
  <c r="G88" i="67"/>
  <c r="F88" i="67"/>
  <c r="E88" i="67"/>
  <c r="E36" i="67" s="1"/>
  <c r="D88" i="67"/>
  <c r="B88" i="67"/>
  <c r="Q87" i="67"/>
  <c r="B87" i="67"/>
  <c r="Q86" i="67"/>
  <c r="B86" i="67"/>
  <c r="Q85" i="67"/>
  <c r="B85" i="67"/>
  <c r="O84" i="67"/>
  <c r="N84" i="67"/>
  <c r="M84" i="67"/>
  <c r="L84" i="67"/>
  <c r="K84" i="67"/>
  <c r="J84" i="67"/>
  <c r="I84" i="67"/>
  <c r="H84" i="67"/>
  <c r="Q84" i="67" s="1"/>
  <c r="G84" i="67"/>
  <c r="F84" i="67"/>
  <c r="E84" i="67"/>
  <c r="D84" i="67"/>
  <c r="B84" i="67"/>
  <c r="Q83" i="67"/>
  <c r="B83" i="67"/>
  <c r="Q82" i="67"/>
  <c r="B82" i="67"/>
  <c r="O81" i="67"/>
  <c r="N81" i="67"/>
  <c r="M81" i="67"/>
  <c r="L81" i="67"/>
  <c r="K81" i="67"/>
  <c r="J81" i="67"/>
  <c r="I81" i="67"/>
  <c r="H81" i="67"/>
  <c r="G81" i="67"/>
  <c r="F81" i="67"/>
  <c r="E81" i="67"/>
  <c r="D81" i="67"/>
  <c r="B81" i="67"/>
  <c r="Q80" i="67"/>
  <c r="B80" i="67"/>
  <c r="Q79" i="67"/>
  <c r="B79" i="67"/>
  <c r="Q78" i="67"/>
  <c r="B78" i="67"/>
  <c r="O77" i="67"/>
  <c r="N77" i="67"/>
  <c r="M77" i="67"/>
  <c r="L77" i="67"/>
  <c r="K77" i="67"/>
  <c r="J77" i="67"/>
  <c r="I77" i="67"/>
  <c r="H77" i="67"/>
  <c r="G77" i="67"/>
  <c r="F77" i="67"/>
  <c r="Q77" i="67" s="1"/>
  <c r="E77" i="67"/>
  <c r="D77" i="67"/>
  <c r="B77" i="67"/>
  <c r="Q76" i="67"/>
  <c r="B76" i="67"/>
  <c r="O75" i="67"/>
  <c r="N75" i="67"/>
  <c r="M75" i="67"/>
  <c r="L75" i="67"/>
  <c r="K75" i="67"/>
  <c r="J75" i="67"/>
  <c r="I75" i="67"/>
  <c r="H75" i="67"/>
  <c r="G75" i="67"/>
  <c r="F75" i="67"/>
  <c r="Q75" i="67" s="1"/>
  <c r="E75" i="67"/>
  <c r="D75" i="67"/>
  <c r="B75" i="67"/>
  <c r="Q74" i="67"/>
  <c r="B74" i="67"/>
  <c r="O73" i="67"/>
  <c r="N73" i="67"/>
  <c r="M73" i="67"/>
  <c r="L73" i="67"/>
  <c r="K73" i="67"/>
  <c r="J73" i="67"/>
  <c r="I73" i="67"/>
  <c r="H73" i="67"/>
  <c r="G73" i="67"/>
  <c r="F73" i="67"/>
  <c r="E73" i="67"/>
  <c r="D73" i="67"/>
  <c r="B73" i="67"/>
  <c r="Q72" i="67"/>
  <c r="B72" i="67"/>
  <c r="O71" i="67"/>
  <c r="N71" i="67"/>
  <c r="M71" i="67"/>
  <c r="L71" i="67"/>
  <c r="K71" i="67"/>
  <c r="J71" i="67"/>
  <c r="I71" i="67"/>
  <c r="H71" i="67"/>
  <c r="G71" i="67"/>
  <c r="Q71" i="67" s="1"/>
  <c r="F71" i="67"/>
  <c r="E71" i="67"/>
  <c r="D71" i="67"/>
  <c r="B71" i="67"/>
  <c r="Q70" i="67"/>
  <c r="B70" i="67"/>
  <c r="O69" i="67"/>
  <c r="N69" i="67"/>
  <c r="M69" i="67"/>
  <c r="L69" i="67"/>
  <c r="K69" i="67"/>
  <c r="J69" i="67"/>
  <c r="I69" i="67"/>
  <c r="H69" i="67"/>
  <c r="G69" i="67"/>
  <c r="F69" i="67"/>
  <c r="E69" i="67"/>
  <c r="D69" i="67"/>
  <c r="B69" i="67"/>
  <c r="Q68" i="67"/>
  <c r="B68" i="67"/>
  <c r="Q67" i="67"/>
  <c r="B67" i="67"/>
  <c r="O66" i="67"/>
  <c r="N66" i="67"/>
  <c r="M66" i="67"/>
  <c r="L66" i="67"/>
  <c r="K66" i="67"/>
  <c r="J66" i="67"/>
  <c r="I66" i="67"/>
  <c r="H66" i="67"/>
  <c r="G66" i="67"/>
  <c r="F66" i="67"/>
  <c r="E66" i="67"/>
  <c r="D66" i="67"/>
  <c r="B66" i="67"/>
  <c r="Q65" i="67"/>
  <c r="B65" i="67"/>
  <c r="O64" i="67"/>
  <c r="N64" i="67"/>
  <c r="M64" i="67"/>
  <c r="L64" i="67"/>
  <c r="K64" i="67"/>
  <c r="J64" i="67"/>
  <c r="I64" i="67"/>
  <c r="H64" i="67"/>
  <c r="Q64" i="67" s="1"/>
  <c r="G64" i="67"/>
  <c r="F64" i="67"/>
  <c r="E64" i="67"/>
  <c r="D64" i="67"/>
  <c r="B64" i="67"/>
  <c r="Q63" i="67"/>
  <c r="B63" i="67"/>
  <c r="O62" i="67"/>
  <c r="N62" i="67"/>
  <c r="M62" i="67"/>
  <c r="L62" i="67"/>
  <c r="K62" i="67"/>
  <c r="J62" i="67"/>
  <c r="I62" i="67"/>
  <c r="I36" i="67" s="1"/>
  <c r="H62" i="67"/>
  <c r="G62" i="67"/>
  <c r="F62" i="67"/>
  <c r="E62" i="67"/>
  <c r="D62" i="67"/>
  <c r="B62" i="67"/>
  <c r="Q61" i="67"/>
  <c r="B61" i="67"/>
  <c r="O60" i="67"/>
  <c r="N60" i="67"/>
  <c r="M60" i="67"/>
  <c r="L60" i="67"/>
  <c r="K60" i="67"/>
  <c r="J60" i="67"/>
  <c r="I60" i="67"/>
  <c r="H60" i="67"/>
  <c r="Q60" i="67" s="1"/>
  <c r="G60" i="67"/>
  <c r="F60" i="67"/>
  <c r="E60" i="67"/>
  <c r="D60" i="67"/>
  <c r="B60" i="67"/>
  <c r="Q59" i="67"/>
  <c r="B59" i="67"/>
  <c r="O58" i="67"/>
  <c r="N58" i="67"/>
  <c r="M58" i="67"/>
  <c r="L58" i="67"/>
  <c r="K58" i="67"/>
  <c r="J58" i="67"/>
  <c r="I58" i="67"/>
  <c r="H58" i="67"/>
  <c r="Q58" i="67" s="1"/>
  <c r="G58" i="67"/>
  <c r="F58" i="67"/>
  <c r="E58" i="67"/>
  <c r="D58" i="67"/>
  <c r="B58" i="67"/>
  <c r="Q57" i="67"/>
  <c r="B57" i="67"/>
  <c r="Q56" i="67"/>
  <c r="B56" i="67"/>
  <c r="Q55" i="67"/>
  <c r="B55" i="67"/>
  <c r="Q54" i="67"/>
  <c r="B54" i="67"/>
  <c r="Q53" i="67"/>
  <c r="B53" i="67"/>
  <c r="Q52" i="67"/>
  <c r="B52" i="67"/>
  <c r="Q51" i="67"/>
  <c r="B51" i="67"/>
  <c r="Q50" i="67"/>
  <c r="B50" i="67"/>
  <c r="Q49" i="67"/>
  <c r="B49" i="67"/>
  <c r="Q48" i="67"/>
  <c r="B48" i="67"/>
  <c r="O47" i="67"/>
  <c r="N47" i="67"/>
  <c r="M47" i="67"/>
  <c r="L47" i="67"/>
  <c r="K47" i="67"/>
  <c r="J47" i="67"/>
  <c r="I47" i="67"/>
  <c r="H47" i="67"/>
  <c r="G47" i="67"/>
  <c r="F47" i="67"/>
  <c r="E47" i="67"/>
  <c r="D47" i="67"/>
  <c r="Q47" i="67" s="1"/>
  <c r="B47" i="67"/>
  <c r="Q46" i="67"/>
  <c r="B46" i="67"/>
  <c r="Q45" i="67"/>
  <c r="B45" i="67"/>
  <c r="Q44" i="67"/>
  <c r="B44" i="67"/>
  <c r="Q43" i="67"/>
  <c r="B43" i="67"/>
  <c r="Q42" i="67"/>
  <c r="B42" i="67"/>
  <c r="Q41" i="67"/>
  <c r="B41" i="67"/>
  <c r="Q40" i="67"/>
  <c r="B40" i="67"/>
  <c r="Q39" i="67"/>
  <c r="B39" i="67"/>
  <c r="Q38" i="67"/>
  <c r="B38" i="67"/>
  <c r="O37" i="67"/>
  <c r="N37" i="67"/>
  <c r="M37" i="67"/>
  <c r="L37" i="67"/>
  <c r="L36" i="67" s="1"/>
  <c r="K37" i="67"/>
  <c r="J37" i="67"/>
  <c r="I37" i="67"/>
  <c r="H37" i="67"/>
  <c r="G37" i="67"/>
  <c r="F37" i="67"/>
  <c r="E37" i="67"/>
  <c r="D37" i="67"/>
  <c r="B37" i="67"/>
  <c r="N36" i="67"/>
  <c r="J36" i="67"/>
  <c r="H36" i="67"/>
  <c r="F36" i="67"/>
  <c r="D36" i="67"/>
  <c r="K33" i="67"/>
  <c r="Q31" i="67"/>
  <c r="B31" i="67"/>
  <c r="Q30" i="67"/>
  <c r="B30" i="67"/>
  <c r="Q29" i="67"/>
  <c r="B29" i="67"/>
  <c r="Q28" i="67"/>
  <c r="B28" i="67"/>
  <c r="Q27" i="67"/>
  <c r="B27" i="67"/>
  <c r="Q26" i="67"/>
  <c r="B26" i="67"/>
  <c r="Q25" i="67"/>
  <c r="B25" i="67"/>
  <c r="Q24" i="67"/>
  <c r="B24" i="67"/>
  <c r="Q23" i="67"/>
  <c r="B23" i="67"/>
  <c r="Q22" i="67"/>
  <c r="B22" i="67"/>
  <c r="Q21" i="67"/>
  <c r="B21" i="67"/>
  <c r="Q20" i="67"/>
  <c r="B20" i="67"/>
  <c r="Q19" i="67"/>
  <c r="B19" i="67"/>
  <c r="Q18" i="67"/>
  <c r="B18" i="67"/>
  <c r="Q17" i="67"/>
  <c r="Q16" i="67" s="1"/>
  <c r="B17" i="67"/>
  <c r="O16" i="67"/>
  <c r="N16" i="67"/>
  <c r="M16" i="67"/>
  <c r="L16" i="67"/>
  <c r="K16" i="67"/>
  <c r="J16" i="67"/>
  <c r="I16" i="67"/>
  <c r="H16" i="67"/>
  <c r="G16" i="67"/>
  <c r="F16" i="67"/>
  <c r="E16" i="67"/>
  <c r="D16" i="67"/>
  <c r="Q14" i="67"/>
  <c r="D14" i="67"/>
  <c r="B14" i="67"/>
  <c r="D13" i="67"/>
  <c r="Q13" i="67" s="1"/>
  <c r="B13" i="67"/>
  <c r="Q12" i="67"/>
  <c r="D12" i="67"/>
  <c r="B12" i="67"/>
  <c r="D11" i="67"/>
  <c r="Q11" i="67" s="1"/>
  <c r="Q10" i="67" s="1"/>
  <c r="Q33" i="67" s="1"/>
  <c r="B11" i="67"/>
  <c r="O10" i="67"/>
  <c r="O33" i="67" s="1"/>
  <c r="N10" i="67"/>
  <c r="M10" i="67"/>
  <c r="M33" i="67" s="1"/>
  <c r="L10" i="67"/>
  <c r="L33" i="67" s="1"/>
  <c r="L34" i="67" s="1"/>
  <c r="K10" i="67"/>
  <c r="J10" i="67"/>
  <c r="J33" i="67" s="1"/>
  <c r="I10" i="67"/>
  <c r="I33" i="67" s="1"/>
  <c r="H10" i="67"/>
  <c r="H33" i="67" s="1"/>
  <c r="G10" i="67"/>
  <c r="G33" i="67" s="1"/>
  <c r="F10" i="67"/>
  <c r="E10" i="67"/>
  <c r="E33" i="67" s="1"/>
  <c r="D10" i="67"/>
  <c r="D33" i="67" s="1"/>
  <c r="D34" i="67" s="1"/>
  <c r="O8" i="67"/>
  <c r="N8" i="67"/>
  <c r="M8" i="67"/>
  <c r="L8" i="67"/>
  <c r="K8" i="67"/>
  <c r="J8" i="67"/>
  <c r="I8" i="67"/>
  <c r="H8" i="67"/>
  <c r="G8" i="67"/>
  <c r="F8" i="67"/>
  <c r="E8" i="67"/>
  <c r="D8" i="67"/>
  <c r="B5" i="67"/>
  <c r="Q26" i="66"/>
  <c r="D21" i="66"/>
  <c r="Q21" i="66" s="1"/>
  <c r="Q19" i="66"/>
  <c r="B19" i="66"/>
  <c r="O18" i="66"/>
  <c r="N18" i="66"/>
  <c r="M18" i="66"/>
  <c r="L18" i="66"/>
  <c r="L17" i="66" s="1"/>
  <c r="K18" i="66"/>
  <c r="K17" i="66" s="1"/>
  <c r="J18" i="66"/>
  <c r="I18" i="66"/>
  <c r="H18" i="66"/>
  <c r="G18" i="66"/>
  <c r="F18" i="66"/>
  <c r="E18" i="66"/>
  <c r="D18" i="66"/>
  <c r="B18" i="66"/>
  <c r="O17" i="66"/>
  <c r="N17" i="66"/>
  <c r="M17" i="66"/>
  <c r="J17" i="66"/>
  <c r="I17" i="66"/>
  <c r="H17" i="66"/>
  <c r="G17" i="66"/>
  <c r="F17" i="66"/>
  <c r="E17" i="66"/>
  <c r="O15" i="66"/>
  <c r="O14" i="66"/>
  <c r="O23" i="66" s="1"/>
  <c r="K14" i="66"/>
  <c r="I14" i="66"/>
  <c r="G14" i="66"/>
  <c r="G23" i="66" s="1"/>
  <c r="Q12" i="66"/>
  <c r="O12" i="66"/>
  <c r="N12" i="66"/>
  <c r="M12" i="66"/>
  <c r="L12" i="66"/>
  <c r="L14" i="66" s="1"/>
  <c r="K12" i="66"/>
  <c r="J12" i="66"/>
  <c r="I12" i="66"/>
  <c r="H12" i="66"/>
  <c r="G12" i="66"/>
  <c r="F12" i="66"/>
  <c r="E12" i="66"/>
  <c r="D12" i="66"/>
  <c r="D14" i="66" s="1"/>
  <c r="Q10" i="66"/>
  <c r="Q14" i="66" s="1"/>
  <c r="O10" i="66"/>
  <c r="N10" i="66"/>
  <c r="N14" i="66" s="1"/>
  <c r="M10" i="66"/>
  <c r="M14" i="66" s="1"/>
  <c r="L10" i="66"/>
  <c r="K10" i="66"/>
  <c r="J10" i="66"/>
  <c r="J14" i="66" s="1"/>
  <c r="I10" i="66"/>
  <c r="H10" i="66"/>
  <c r="H14" i="66" s="1"/>
  <c r="G10" i="66"/>
  <c r="F10" i="66"/>
  <c r="F14" i="66" s="1"/>
  <c r="F23" i="66" s="1"/>
  <c r="E10" i="66"/>
  <c r="E14" i="66" s="1"/>
  <c r="D10" i="66"/>
  <c r="O8" i="66"/>
  <c r="N8" i="66"/>
  <c r="M8" i="66"/>
  <c r="L8" i="66"/>
  <c r="K8" i="66"/>
  <c r="J8" i="66"/>
  <c r="I8" i="66"/>
  <c r="H8" i="66"/>
  <c r="G8" i="66"/>
  <c r="F8" i="66"/>
  <c r="E8" i="66"/>
  <c r="D8" i="66"/>
  <c r="B5" i="66"/>
  <c r="Q87" i="65"/>
  <c r="D82" i="65"/>
  <c r="Q82" i="65" s="1"/>
  <c r="Q80" i="65"/>
  <c r="B80" i="65"/>
  <c r="O79" i="65"/>
  <c r="N79" i="65"/>
  <c r="M79" i="65"/>
  <c r="L79" i="65"/>
  <c r="K79" i="65"/>
  <c r="J79" i="65"/>
  <c r="J31" i="65" s="1"/>
  <c r="I79" i="65"/>
  <c r="H79" i="65"/>
  <c r="Q79" i="65" s="1"/>
  <c r="G79" i="65"/>
  <c r="F79" i="65"/>
  <c r="E79" i="65"/>
  <c r="D79" i="65"/>
  <c r="B79" i="65"/>
  <c r="Q78" i="65"/>
  <c r="B78" i="65"/>
  <c r="Q77" i="65"/>
  <c r="B77" i="65"/>
  <c r="O76" i="65"/>
  <c r="N76" i="65"/>
  <c r="M76" i="65"/>
  <c r="L76" i="65"/>
  <c r="K76" i="65"/>
  <c r="J76" i="65"/>
  <c r="I76" i="65"/>
  <c r="H76" i="65"/>
  <c r="G76" i="65"/>
  <c r="F76" i="65"/>
  <c r="E76" i="65"/>
  <c r="D76" i="65"/>
  <c r="Q76" i="65" s="1"/>
  <c r="B76" i="65"/>
  <c r="Q75" i="65"/>
  <c r="B75" i="65"/>
  <c r="Q74" i="65"/>
  <c r="B74" i="65"/>
  <c r="O73" i="65"/>
  <c r="N73" i="65"/>
  <c r="M73" i="65"/>
  <c r="L73" i="65"/>
  <c r="K73" i="65"/>
  <c r="J73" i="65"/>
  <c r="I73" i="65"/>
  <c r="H73" i="65"/>
  <c r="G73" i="65"/>
  <c r="F73" i="65"/>
  <c r="E73" i="65"/>
  <c r="D73" i="65"/>
  <c r="Q73" i="65" s="1"/>
  <c r="B73" i="65"/>
  <c r="Q72" i="65"/>
  <c r="B72" i="65"/>
  <c r="Q71" i="65"/>
  <c r="B71" i="65"/>
  <c r="O70" i="65"/>
  <c r="N70" i="65"/>
  <c r="M70" i="65"/>
  <c r="L70" i="65"/>
  <c r="K70" i="65"/>
  <c r="J70" i="65"/>
  <c r="I70" i="65"/>
  <c r="H70" i="65"/>
  <c r="Q70" i="65" s="1"/>
  <c r="G70" i="65"/>
  <c r="F70" i="65"/>
  <c r="E70" i="65"/>
  <c r="D70" i="65"/>
  <c r="B70" i="65"/>
  <c r="Q69" i="65"/>
  <c r="B69" i="65"/>
  <c r="Q68" i="65"/>
  <c r="B68" i="65"/>
  <c r="Q67" i="65"/>
  <c r="B67" i="65"/>
  <c r="O66" i="65"/>
  <c r="N66" i="65"/>
  <c r="M66" i="65"/>
  <c r="L66" i="65"/>
  <c r="K66" i="65"/>
  <c r="J66" i="65"/>
  <c r="I66" i="65"/>
  <c r="H66" i="65"/>
  <c r="G66" i="65"/>
  <c r="F66" i="65"/>
  <c r="E66" i="65"/>
  <c r="D66" i="65"/>
  <c r="Q66" i="65" s="1"/>
  <c r="B66" i="65"/>
  <c r="Q65" i="65"/>
  <c r="B65" i="65"/>
  <c r="O64" i="65"/>
  <c r="N64" i="65"/>
  <c r="M64" i="65"/>
  <c r="L64" i="65"/>
  <c r="K64" i="65"/>
  <c r="J64" i="65"/>
  <c r="I64" i="65"/>
  <c r="H64" i="65"/>
  <c r="G64" i="65"/>
  <c r="F64" i="65"/>
  <c r="E64" i="65"/>
  <c r="D64" i="65"/>
  <c r="Q64" i="65" s="1"/>
  <c r="B64" i="65"/>
  <c r="Q63" i="65"/>
  <c r="B63" i="65"/>
  <c r="O62" i="65"/>
  <c r="N62" i="65"/>
  <c r="M62" i="65"/>
  <c r="L62" i="65"/>
  <c r="K62" i="65"/>
  <c r="J62" i="65"/>
  <c r="I62" i="65"/>
  <c r="H62" i="65"/>
  <c r="G62" i="65"/>
  <c r="F62" i="65"/>
  <c r="E62" i="65"/>
  <c r="D62" i="65"/>
  <c r="Q62" i="65" s="1"/>
  <c r="B62" i="65"/>
  <c r="Q61" i="65"/>
  <c r="B61" i="65"/>
  <c r="O60" i="65"/>
  <c r="N60" i="65"/>
  <c r="M60" i="65"/>
  <c r="L60" i="65"/>
  <c r="K60" i="65"/>
  <c r="J60" i="65"/>
  <c r="I60" i="65"/>
  <c r="H60" i="65"/>
  <c r="G60" i="65"/>
  <c r="F60" i="65"/>
  <c r="E60" i="65"/>
  <c r="D60" i="65"/>
  <c r="Q60" i="65" s="1"/>
  <c r="B60" i="65"/>
  <c r="Q59" i="65"/>
  <c r="B59" i="65"/>
  <c r="O58" i="65"/>
  <c r="N58" i="65"/>
  <c r="M58" i="65"/>
  <c r="L58" i="65"/>
  <c r="K58" i="65"/>
  <c r="J58" i="65"/>
  <c r="I58" i="65"/>
  <c r="H58" i="65"/>
  <c r="G58" i="65"/>
  <c r="F58" i="65"/>
  <c r="E58" i="65"/>
  <c r="D58" i="65"/>
  <c r="Q58" i="65" s="1"/>
  <c r="B58" i="65"/>
  <c r="Q57" i="65"/>
  <c r="B57" i="65"/>
  <c r="O56" i="65"/>
  <c r="N56" i="65"/>
  <c r="M56" i="65"/>
  <c r="L56" i="65"/>
  <c r="K56" i="65"/>
  <c r="J56" i="65"/>
  <c r="I56" i="65"/>
  <c r="H56" i="65"/>
  <c r="G56" i="65"/>
  <c r="F56" i="65"/>
  <c r="E56" i="65"/>
  <c r="D56" i="65"/>
  <c r="Q56" i="65" s="1"/>
  <c r="B56" i="65"/>
  <c r="Q55" i="65"/>
  <c r="B55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B54" i="65"/>
  <c r="Q53" i="65"/>
  <c r="B53" i="65"/>
  <c r="Q52" i="65"/>
  <c r="B52" i="65"/>
  <c r="Q51" i="65"/>
  <c r="B51" i="65"/>
  <c r="Q50" i="65"/>
  <c r="B50" i="65"/>
  <c r="Q49" i="65"/>
  <c r="B49" i="65"/>
  <c r="Q48" i="65"/>
  <c r="B48" i="65"/>
  <c r="Q47" i="65"/>
  <c r="B47" i="65"/>
  <c r="Q46" i="65"/>
  <c r="B46" i="65"/>
  <c r="Q45" i="65"/>
  <c r="B45" i="65"/>
  <c r="Q44" i="65"/>
  <c r="B44" i="65"/>
  <c r="O43" i="65"/>
  <c r="N43" i="65"/>
  <c r="M43" i="65"/>
  <c r="L43" i="65"/>
  <c r="K43" i="65"/>
  <c r="J43" i="65"/>
  <c r="I43" i="65"/>
  <c r="H43" i="65"/>
  <c r="G43" i="65"/>
  <c r="F43" i="65"/>
  <c r="E43" i="65"/>
  <c r="D43" i="65"/>
  <c r="B43" i="65"/>
  <c r="Q42" i="65"/>
  <c r="B42" i="65"/>
  <c r="Q41" i="65"/>
  <c r="B41" i="65"/>
  <c r="Q40" i="65"/>
  <c r="B40" i="65"/>
  <c r="Q39" i="65"/>
  <c r="B39" i="65"/>
  <c r="Q38" i="65"/>
  <c r="B38" i="65"/>
  <c r="Q37" i="65"/>
  <c r="B37" i="65"/>
  <c r="Q36" i="65"/>
  <c r="B36" i="65"/>
  <c r="Q35" i="65"/>
  <c r="B35" i="65"/>
  <c r="Q34" i="65"/>
  <c r="B34" i="65"/>
  <c r="Q33" i="65"/>
  <c r="B33" i="65"/>
  <c r="O32" i="65"/>
  <c r="N32" i="65"/>
  <c r="M32" i="65"/>
  <c r="M31" i="65" s="1"/>
  <c r="L32" i="65"/>
  <c r="K32" i="65"/>
  <c r="J32" i="65"/>
  <c r="I32" i="65"/>
  <c r="H32" i="65"/>
  <c r="H31" i="65" s="1"/>
  <c r="G32" i="65"/>
  <c r="F32" i="65"/>
  <c r="E32" i="65"/>
  <c r="E31" i="65" s="1"/>
  <c r="D32" i="65"/>
  <c r="B32" i="65"/>
  <c r="O31" i="65"/>
  <c r="N31" i="65"/>
  <c r="K31" i="65"/>
  <c r="I31" i="65"/>
  <c r="G31" i="65"/>
  <c r="F31" i="65"/>
  <c r="L29" i="65"/>
  <c r="N28" i="65"/>
  <c r="L28" i="65"/>
  <c r="H28" i="65"/>
  <c r="F28" i="65"/>
  <c r="Q26" i="65"/>
  <c r="B26" i="65"/>
  <c r="Q25" i="65"/>
  <c r="B25" i="65"/>
  <c r="Q24" i="65"/>
  <c r="B24" i="65"/>
  <c r="Q23" i="65"/>
  <c r="B23" i="65"/>
  <c r="Q22" i="65"/>
  <c r="B22" i="65"/>
  <c r="Q21" i="65"/>
  <c r="B21" i="65"/>
  <c r="Q20" i="65"/>
  <c r="B20" i="65"/>
  <c r="Q19" i="65"/>
  <c r="B19" i="65"/>
  <c r="Q18" i="65"/>
  <c r="B18" i="65"/>
  <c r="Q17" i="65"/>
  <c r="Q16" i="65" s="1"/>
  <c r="B17" i="65"/>
  <c r="O16" i="65"/>
  <c r="N16" i="65"/>
  <c r="M16" i="65"/>
  <c r="L16" i="65"/>
  <c r="K16" i="65"/>
  <c r="J16" i="65"/>
  <c r="I16" i="65"/>
  <c r="I28" i="65" s="1"/>
  <c r="I29" i="65" s="1"/>
  <c r="H16" i="65"/>
  <c r="G16" i="65"/>
  <c r="F16" i="65"/>
  <c r="E16" i="65"/>
  <c r="D16" i="65"/>
  <c r="D14" i="65"/>
  <c r="Q14" i="65" s="1"/>
  <c r="B14" i="65"/>
  <c r="D13" i="65"/>
  <c r="Q13" i="65" s="1"/>
  <c r="B13" i="65"/>
  <c r="Q12" i="65"/>
  <c r="D12" i="65"/>
  <c r="B12" i="65"/>
  <c r="D11" i="65"/>
  <c r="B11" i="65"/>
  <c r="O10" i="65"/>
  <c r="O28" i="65" s="1"/>
  <c r="N10" i="65"/>
  <c r="M10" i="65"/>
  <c r="M28" i="65" s="1"/>
  <c r="L10" i="65"/>
  <c r="K10" i="65"/>
  <c r="K28" i="65" s="1"/>
  <c r="K84" i="65" s="1"/>
  <c r="J10" i="65"/>
  <c r="J28" i="65" s="1"/>
  <c r="I10" i="65"/>
  <c r="H10" i="65"/>
  <c r="G10" i="65"/>
  <c r="G28" i="65" s="1"/>
  <c r="F10" i="65"/>
  <c r="E10" i="65"/>
  <c r="E28" i="65" s="1"/>
  <c r="O8" i="65"/>
  <c r="N8" i="65"/>
  <c r="M8" i="65"/>
  <c r="L8" i="65"/>
  <c r="K8" i="65"/>
  <c r="J8" i="65"/>
  <c r="I8" i="65"/>
  <c r="H8" i="65"/>
  <c r="G8" i="65"/>
  <c r="F8" i="65"/>
  <c r="E8" i="65"/>
  <c r="D8" i="65"/>
  <c r="B5" i="65"/>
  <c r="Q30" i="64"/>
  <c r="F27" i="64"/>
  <c r="D25" i="64"/>
  <c r="Q25" i="64" s="1"/>
  <c r="Q23" i="64"/>
  <c r="B23" i="64"/>
  <c r="O22" i="64"/>
  <c r="N22" i="64"/>
  <c r="M22" i="64"/>
  <c r="L22" i="64"/>
  <c r="K22" i="64"/>
  <c r="J22" i="64"/>
  <c r="I22" i="64"/>
  <c r="H22" i="64"/>
  <c r="G22" i="64"/>
  <c r="F22" i="64"/>
  <c r="E22" i="64"/>
  <c r="Q22" i="64" s="1"/>
  <c r="D22" i="64"/>
  <c r="B22" i="64"/>
  <c r="Q21" i="64"/>
  <c r="B21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B20" i="64"/>
  <c r="Q19" i="64"/>
  <c r="B19" i="64"/>
  <c r="O18" i="64"/>
  <c r="N18" i="64"/>
  <c r="M18" i="64"/>
  <c r="L18" i="64"/>
  <c r="K18" i="64"/>
  <c r="J18" i="64"/>
  <c r="I18" i="64"/>
  <c r="H18" i="64"/>
  <c r="H17" i="64" s="1"/>
  <c r="G18" i="64"/>
  <c r="G17" i="64" s="1"/>
  <c r="F18" i="64"/>
  <c r="E18" i="64"/>
  <c r="D18" i="64"/>
  <c r="B18" i="64"/>
  <c r="N17" i="64"/>
  <c r="M17" i="64"/>
  <c r="L17" i="64"/>
  <c r="K17" i="64"/>
  <c r="J17" i="64"/>
  <c r="I17" i="64"/>
  <c r="F17" i="64"/>
  <c r="E17" i="64"/>
  <c r="D17" i="64"/>
  <c r="O14" i="64"/>
  <c r="M14" i="64"/>
  <c r="M15" i="64" s="1"/>
  <c r="K14" i="64"/>
  <c r="K27" i="64" s="1"/>
  <c r="K28" i="64" s="1"/>
  <c r="G14" i="64"/>
  <c r="E14" i="64"/>
  <c r="E15" i="64" s="1"/>
  <c r="Q12" i="64"/>
  <c r="Q14" i="64" s="1"/>
  <c r="O12" i="64"/>
  <c r="N12" i="64"/>
  <c r="M12" i="64"/>
  <c r="L12" i="64"/>
  <c r="K12" i="64"/>
  <c r="J12" i="64"/>
  <c r="I12" i="64"/>
  <c r="H12" i="64"/>
  <c r="H14" i="64" s="1"/>
  <c r="G12" i="64"/>
  <c r="F12" i="64"/>
  <c r="E12" i="64"/>
  <c r="D12" i="64"/>
  <c r="Q10" i="64"/>
  <c r="O10" i="64"/>
  <c r="N10" i="64"/>
  <c r="N14" i="64" s="1"/>
  <c r="N15" i="64" s="1"/>
  <c r="M10" i="64"/>
  <c r="L10" i="64"/>
  <c r="K10" i="64"/>
  <c r="J10" i="64"/>
  <c r="J14" i="64" s="1"/>
  <c r="J27" i="64" s="1"/>
  <c r="I10" i="64"/>
  <c r="I14" i="64" s="1"/>
  <c r="H10" i="64"/>
  <c r="G10" i="64"/>
  <c r="F10" i="64"/>
  <c r="F14" i="64" s="1"/>
  <c r="F15" i="64" s="1"/>
  <c r="E10" i="64"/>
  <c r="D10" i="64"/>
  <c r="O8" i="64"/>
  <c r="N8" i="64"/>
  <c r="M8" i="64"/>
  <c r="L8" i="64"/>
  <c r="K8" i="64"/>
  <c r="J8" i="64"/>
  <c r="I8" i="64"/>
  <c r="H8" i="64"/>
  <c r="G8" i="64"/>
  <c r="F8" i="64"/>
  <c r="E8" i="64"/>
  <c r="D8" i="64"/>
  <c r="B5" i="64"/>
  <c r="Q65" i="63"/>
  <c r="Q60" i="63"/>
  <c r="D60" i="63"/>
  <c r="Q58" i="63"/>
  <c r="B58" i="63"/>
  <c r="O57" i="63"/>
  <c r="N57" i="63"/>
  <c r="N20" i="63" s="1"/>
  <c r="M57" i="63"/>
  <c r="L57" i="63"/>
  <c r="K57" i="63"/>
  <c r="J57" i="63"/>
  <c r="I57" i="63"/>
  <c r="H57" i="63"/>
  <c r="G57" i="63"/>
  <c r="F57" i="63"/>
  <c r="F20" i="63" s="1"/>
  <c r="E57" i="63"/>
  <c r="D57" i="63"/>
  <c r="B57" i="63"/>
  <c r="Q56" i="63"/>
  <c r="B56" i="63"/>
  <c r="Q55" i="63"/>
  <c r="B55" i="63"/>
  <c r="Q54" i="63"/>
  <c r="B54" i="63"/>
  <c r="O53" i="63"/>
  <c r="N53" i="63"/>
  <c r="M53" i="63"/>
  <c r="L53" i="63"/>
  <c r="K53" i="63"/>
  <c r="J53" i="63"/>
  <c r="I53" i="63"/>
  <c r="H53" i="63"/>
  <c r="Q53" i="63" s="1"/>
  <c r="G53" i="63"/>
  <c r="F53" i="63"/>
  <c r="E53" i="63"/>
  <c r="D53" i="63"/>
  <c r="B53" i="63"/>
  <c r="Q52" i="63"/>
  <c r="B52" i="63"/>
  <c r="O51" i="63"/>
  <c r="N51" i="63"/>
  <c r="M51" i="63"/>
  <c r="L51" i="63"/>
  <c r="K51" i="63"/>
  <c r="J51" i="63"/>
  <c r="I51" i="63"/>
  <c r="H51" i="63"/>
  <c r="G51" i="63"/>
  <c r="F51" i="63"/>
  <c r="E51" i="63"/>
  <c r="D51" i="63"/>
  <c r="B51" i="63"/>
  <c r="Q50" i="63"/>
  <c r="B50" i="63"/>
  <c r="O49" i="63"/>
  <c r="N49" i="63"/>
  <c r="M49" i="63"/>
  <c r="L49" i="63"/>
  <c r="K49" i="63"/>
  <c r="J49" i="63"/>
  <c r="I49" i="63"/>
  <c r="H49" i="63"/>
  <c r="G49" i="63"/>
  <c r="F49" i="63"/>
  <c r="E49" i="63"/>
  <c r="D49" i="63"/>
  <c r="B49" i="63"/>
  <c r="Q48" i="63"/>
  <c r="B48" i="63"/>
  <c r="O47" i="63"/>
  <c r="N47" i="63"/>
  <c r="M47" i="63"/>
  <c r="L47" i="63"/>
  <c r="K47" i="63"/>
  <c r="J47" i="63"/>
  <c r="I47" i="63"/>
  <c r="H47" i="63"/>
  <c r="G47" i="63"/>
  <c r="F47" i="63"/>
  <c r="E47" i="63"/>
  <c r="D47" i="63"/>
  <c r="B47" i="63"/>
  <c r="Q46" i="63"/>
  <c r="B46" i="63"/>
  <c r="O45" i="63"/>
  <c r="N45" i="63"/>
  <c r="M45" i="63"/>
  <c r="L45" i="63"/>
  <c r="K45" i="63"/>
  <c r="J45" i="63"/>
  <c r="I45" i="63"/>
  <c r="H45" i="63"/>
  <c r="Q45" i="63" s="1"/>
  <c r="G45" i="63"/>
  <c r="F45" i="63"/>
  <c r="E45" i="63"/>
  <c r="D45" i="63"/>
  <c r="B45" i="63"/>
  <c r="Q44" i="63"/>
  <c r="B44" i="63"/>
  <c r="O43" i="63"/>
  <c r="N43" i="63"/>
  <c r="M43" i="63"/>
  <c r="L43" i="63"/>
  <c r="K43" i="63"/>
  <c r="J43" i="63"/>
  <c r="I43" i="63"/>
  <c r="H43" i="63"/>
  <c r="Q43" i="63" s="1"/>
  <c r="G43" i="63"/>
  <c r="F43" i="63"/>
  <c r="E43" i="63"/>
  <c r="D43" i="63"/>
  <c r="B43" i="63"/>
  <c r="Q42" i="63"/>
  <c r="B42" i="63"/>
  <c r="O41" i="63"/>
  <c r="N41" i="63"/>
  <c r="M41" i="63"/>
  <c r="L41" i="63"/>
  <c r="K41" i="63"/>
  <c r="J41" i="63"/>
  <c r="I41" i="63"/>
  <c r="H41" i="63"/>
  <c r="G41" i="63"/>
  <c r="F41" i="63"/>
  <c r="E41" i="63"/>
  <c r="D41" i="63"/>
  <c r="B41" i="63"/>
  <c r="Q40" i="63"/>
  <c r="B40" i="63"/>
  <c r="Q39" i="63"/>
  <c r="B39" i="63"/>
  <c r="Q38" i="63"/>
  <c r="B38" i="63"/>
  <c r="Q37" i="63"/>
  <c r="B37" i="63"/>
  <c r="Q36" i="63"/>
  <c r="B36" i="63"/>
  <c r="Q35" i="63"/>
  <c r="B35" i="63"/>
  <c r="Q34" i="63"/>
  <c r="B34" i="63"/>
  <c r="Q33" i="63"/>
  <c r="B33" i="63"/>
  <c r="Q32" i="63"/>
  <c r="B32" i="63"/>
  <c r="Q31" i="63"/>
  <c r="B31" i="63"/>
  <c r="O30" i="63"/>
  <c r="N30" i="63"/>
  <c r="M30" i="63"/>
  <c r="L30" i="63"/>
  <c r="L20" i="63" s="1"/>
  <c r="K30" i="63"/>
  <c r="J30" i="63"/>
  <c r="I30" i="63"/>
  <c r="H30" i="63"/>
  <c r="G30" i="63"/>
  <c r="F30" i="63"/>
  <c r="E30" i="63"/>
  <c r="D30" i="63"/>
  <c r="B30" i="63"/>
  <c r="Q29" i="63"/>
  <c r="B29" i="63"/>
  <c r="Q28" i="63"/>
  <c r="B28" i="63"/>
  <c r="Q27" i="63"/>
  <c r="B27" i="63"/>
  <c r="Q26" i="63"/>
  <c r="B26" i="63"/>
  <c r="Q25" i="63"/>
  <c r="B25" i="63"/>
  <c r="Q24" i="63"/>
  <c r="B24" i="63"/>
  <c r="Q23" i="63"/>
  <c r="B23" i="63"/>
  <c r="Q22" i="63"/>
  <c r="B22" i="63"/>
  <c r="O21" i="63"/>
  <c r="N21" i="63"/>
  <c r="M21" i="63"/>
  <c r="L21" i="63"/>
  <c r="K21" i="63"/>
  <c r="K20" i="63" s="1"/>
  <c r="J21" i="63"/>
  <c r="I21" i="63"/>
  <c r="H21" i="63"/>
  <c r="Q21" i="63" s="1"/>
  <c r="G21" i="63"/>
  <c r="F21" i="63"/>
  <c r="E21" i="63"/>
  <c r="D21" i="63"/>
  <c r="B21" i="63"/>
  <c r="O20" i="63"/>
  <c r="M20" i="63"/>
  <c r="I20" i="63"/>
  <c r="H20" i="63"/>
  <c r="G20" i="63"/>
  <c r="E20" i="63"/>
  <c r="J17" i="63"/>
  <c r="H17" i="63"/>
  <c r="H62" i="63" s="1"/>
  <c r="H67" i="63" s="1"/>
  <c r="H68" i="63" s="1"/>
  <c r="Q15" i="63"/>
  <c r="Q14" i="63" s="1"/>
  <c r="B15" i="63"/>
  <c r="O14" i="63"/>
  <c r="N14" i="63"/>
  <c r="M14" i="63"/>
  <c r="L14" i="63"/>
  <c r="K14" i="63"/>
  <c r="J14" i="63"/>
  <c r="I14" i="63"/>
  <c r="H14" i="63"/>
  <c r="G14" i="63"/>
  <c r="F14" i="63"/>
  <c r="E14" i="63"/>
  <c r="D14" i="63"/>
  <c r="D12" i="63"/>
  <c r="Q12" i="63" s="1"/>
  <c r="B12" i="63"/>
  <c r="D11" i="63"/>
  <c r="Q11" i="63" s="1"/>
  <c r="B11" i="63"/>
  <c r="O10" i="63"/>
  <c r="O17" i="63" s="1"/>
  <c r="N10" i="63"/>
  <c r="N17" i="63" s="1"/>
  <c r="M10" i="63"/>
  <c r="M17" i="63" s="1"/>
  <c r="L10" i="63"/>
  <c r="L17" i="63" s="1"/>
  <c r="K10" i="63"/>
  <c r="K17" i="63" s="1"/>
  <c r="J10" i="63"/>
  <c r="I10" i="63"/>
  <c r="I17" i="63" s="1"/>
  <c r="H10" i="63"/>
  <c r="G10" i="63"/>
  <c r="G17" i="63" s="1"/>
  <c r="F10" i="63"/>
  <c r="F17" i="63" s="1"/>
  <c r="E10" i="63"/>
  <c r="E17" i="63" s="1"/>
  <c r="E18" i="63" s="1"/>
  <c r="D10" i="63"/>
  <c r="D17" i="63" s="1"/>
  <c r="O8" i="63"/>
  <c r="N8" i="63"/>
  <c r="M8" i="63"/>
  <c r="L8" i="63"/>
  <c r="K8" i="63"/>
  <c r="J8" i="63"/>
  <c r="I8" i="63"/>
  <c r="H8" i="63"/>
  <c r="G8" i="63"/>
  <c r="F8" i="63"/>
  <c r="E8" i="63"/>
  <c r="D8" i="63"/>
  <c r="B5" i="63"/>
  <c r="Q93" i="62"/>
  <c r="Q88" i="62"/>
  <c r="D88" i="62"/>
  <c r="Q86" i="62"/>
  <c r="B86" i="62"/>
  <c r="O85" i="62"/>
  <c r="N85" i="62"/>
  <c r="M85" i="62"/>
  <c r="L85" i="62"/>
  <c r="K85" i="62"/>
  <c r="J85" i="62"/>
  <c r="I85" i="62"/>
  <c r="H85" i="62"/>
  <c r="G85" i="62"/>
  <c r="F85" i="62"/>
  <c r="E85" i="62"/>
  <c r="D85" i="62"/>
  <c r="Q85" i="62" s="1"/>
  <c r="B85" i="62"/>
  <c r="Q84" i="62"/>
  <c r="B84" i="62"/>
  <c r="O83" i="62"/>
  <c r="N83" i="62"/>
  <c r="M83" i="62"/>
  <c r="L83" i="62"/>
  <c r="K83" i="62"/>
  <c r="J83" i="62"/>
  <c r="I83" i="62"/>
  <c r="H83" i="62"/>
  <c r="G83" i="62"/>
  <c r="F83" i="62"/>
  <c r="E83" i="62"/>
  <c r="D83" i="62"/>
  <c r="B83" i="62"/>
  <c r="Q82" i="62"/>
  <c r="B82" i="62"/>
  <c r="O81" i="62"/>
  <c r="N81" i="62"/>
  <c r="M81" i="62"/>
  <c r="L81" i="62"/>
  <c r="K81" i="62"/>
  <c r="J81" i="62"/>
  <c r="I81" i="62"/>
  <c r="H81" i="62"/>
  <c r="G81" i="62"/>
  <c r="F81" i="62"/>
  <c r="E81" i="62"/>
  <c r="D81" i="62"/>
  <c r="B81" i="62"/>
  <c r="Q80" i="62"/>
  <c r="B80" i="62"/>
  <c r="O79" i="62"/>
  <c r="N79" i="62"/>
  <c r="M79" i="62"/>
  <c r="L79" i="62"/>
  <c r="K79" i="62"/>
  <c r="J79" i="62"/>
  <c r="I79" i="62"/>
  <c r="H79" i="62"/>
  <c r="G79" i="62"/>
  <c r="F79" i="62"/>
  <c r="E79" i="62"/>
  <c r="D79" i="62"/>
  <c r="Q79" i="62" s="1"/>
  <c r="B79" i="62"/>
  <c r="Q78" i="62"/>
  <c r="B78" i="62"/>
  <c r="Q77" i="62"/>
  <c r="B77" i="62"/>
  <c r="Q76" i="62"/>
  <c r="B76" i="62"/>
  <c r="Q75" i="62"/>
  <c r="B75" i="62"/>
  <c r="Q74" i="62"/>
  <c r="B74" i="62"/>
  <c r="O73" i="62"/>
  <c r="N73" i="62"/>
  <c r="M73" i="62"/>
  <c r="L73" i="62"/>
  <c r="K73" i="62"/>
  <c r="J73" i="62"/>
  <c r="I73" i="62"/>
  <c r="H73" i="62"/>
  <c r="G73" i="62"/>
  <c r="F73" i="62"/>
  <c r="E73" i="62"/>
  <c r="D73" i="62"/>
  <c r="B73" i="62"/>
  <c r="Q72" i="62"/>
  <c r="B72" i="62"/>
  <c r="O71" i="62"/>
  <c r="N71" i="62"/>
  <c r="M71" i="62"/>
  <c r="L71" i="62"/>
  <c r="K71" i="62"/>
  <c r="J71" i="62"/>
  <c r="I71" i="62"/>
  <c r="H71" i="62"/>
  <c r="G71" i="62"/>
  <c r="F71" i="62"/>
  <c r="E71" i="62"/>
  <c r="D71" i="62"/>
  <c r="B71" i="62"/>
  <c r="Q70" i="62"/>
  <c r="B70" i="62"/>
  <c r="Q69" i="62"/>
  <c r="B69" i="62"/>
  <c r="O68" i="62"/>
  <c r="N68" i="62"/>
  <c r="M68" i="62"/>
  <c r="L68" i="62"/>
  <c r="K68" i="62"/>
  <c r="J68" i="62"/>
  <c r="I68" i="62"/>
  <c r="H68" i="62"/>
  <c r="G68" i="62"/>
  <c r="F68" i="62"/>
  <c r="E68" i="62"/>
  <c r="D68" i="62"/>
  <c r="B68" i="62"/>
  <c r="Q67" i="62"/>
  <c r="B67" i="62"/>
  <c r="Q66" i="62"/>
  <c r="B66" i="62"/>
  <c r="Q65" i="62"/>
  <c r="B65" i="62"/>
  <c r="Q64" i="62"/>
  <c r="B64" i="62"/>
  <c r="O63" i="62"/>
  <c r="N63" i="62"/>
  <c r="M63" i="62"/>
  <c r="L63" i="62"/>
  <c r="K63" i="62"/>
  <c r="J63" i="62"/>
  <c r="I63" i="62"/>
  <c r="H63" i="62"/>
  <c r="G63" i="62"/>
  <c r="F63" i="62"/>
  <c r="E63" i="62"/>
  <c r="D63" i="62"/>
  <c r="Q63" i="62" s="1"/>
  <c r="B63" i="62"/>
  <c r="Q62" i="62"/>
  <c r="B62" i="62"/>
  <c r="O61" i="62"/>
  <c r="N61" i="62"/>
  <c r="M61" i="62"/>
  <c r="L61" i="62"/>
  <c r="K61" i="62"/>
  <c r="J61" i="62"/>
  <c r="I61" i="62"/>
  <c r="H61" i="62"/>
  <c r="G61" i="62"/>
  <c r="F61" i="62"/>
  <c r="E61" i="62"/>
  <c r="D61" i="62"/>
  <c r="Q61" i="62" s="1"/>
  <c r="B61" i="62"/>
  <c r="Q60" i="62"/>
  <c r="B60" i="62"/>
  <c r="O59" i="62"/>
  <c r="N59" i="62"/>
  <c r="M59" i="62"/>
  <c r="L59" i="62"/>
  <c r="K59" i="62"/>
  <c r="J59" i="62"/>
  <c r="I59" i="62"/>
  <c r="H59" i="62"/>
  <c r="G59" i="62"/>
  <c r="F59" i="62"/>
  <c r="E59" i="62"/>
  <c r="D59" i="62"/>
  <c r="B59" i="62"/>
  <c r="Q58" i="62"/>
  <c r="B58" i="62"/>
  <c r="O57" i="62"/>
  <c r="N57" i="62"/>
  <c r="M57" i="62"/>
  <c r="L57" i="62"/>
  <c r="K57" i="62"/>
  <c r="J57" i="62"/>
  <c r="I57" i="62"/>
  <c r="H57" i="62"/>
  <c r="G57" i="62"/>
  <c r="F57" i="62"/>
  <c r="E57" i="62"/>
  <c r="D57" i="62"/>
  <c r="B57" i="62"/>
  <c r="Q56" i="62"/>
  <c r="B56" i="62"/>
  <c r="O55" i="62"/>
  <c r="N55" i="62"/>
  <c r="M55" i="62"/>
  <c r="L55" i="62"/>
  <c r="K55" i="62"/>
  <c r="J55" i="62"/>
  <c r="I55" i="62"/>
  <c r="H55" i="62"/>
  <c r="G55" i="62"/>
  <c r="F55" i="62"/>
  <c r="E55" i="62"/>
  <c r="D55" i="62"/>
  <c r="B55" i="62"/>
  <c r="Q54" i="62"/>
  <c r="B54" i="62"/>
  <c r="O53" i="62"/>
  <c r="N53" i="62"/>
  <c r="M53" i="62"/>
  <c r="L53" i="62"/>
  <c r="K53" i="62"/>
  <c r="J53" i="62"/>
  <c r="I53" i="62"/>
  <c r="H53" i="62"/>
  <c r="G53" i="62"/>
  <c r="Q53" i="62" s="1"/>
  <c r="F53" i="62"/>
  <c r="E53" i="62"/>
  <c r="D53" i="62"/>
  <c r="B53" i="62"/>
  <c r="Q52" i="62"/>
  <c r="B52" i="62"/>
  <c r="O51" i="62"/>
  <c r="N51" i="62"/>
  <c r="M51" i="62"/>
  <c r="L51" i="62"/>
  <c r="K51" i="62"/>
  <c r="J51" i="62"/>
  <c r="I51" i="62"/>
  <c r="H51" i="62"/>
  <c r="G51" i="62"/>
  <c r="Q51" i="62" s="1"/>
  <c r="F51" i="62"/>
  <c r="E51" i="62"/>
  <c r="D51" i="62"/>
  <c r="B51" i="62"/>
  <c r="Q50" i="62"/>
  <c r="B50" i="62"/>
  <c r="O49" i="62"/>
  <c r="N49" i="62"/>
  <c r="M49" i="62"/>
  <c r="L49" i="62"/>
  <c r="K49" i="62"/>
  <c r="J49" i="62"/>
  <c r="I49" i="62"/>
  <c r="H49" i="62"/>
  <c r="G49" i="62"/>
  <c r="F49" i="62"/>
  <c r="E49" i="62"/>
  <c r="D49" i="62"/>
  <c r="B49" i="62"/>
  <c r="Q48" i="62"/>
  <c r="B48" i="62"/>
  <c r="O47" i="62"/>
  <c r="N47" i="62"/>
  <c r="M47" i="62"/>
  <c r="L47" i="62"/>
  <c r="K47" i="62"/>
  <c r="J47" i="62"/>
  <c r="I47" i="62"/>
  <c r="H47" i="62"/>
  <c r="G47" i="62"/>
  <c r="Q47" i="62" s="1"/>
  <c r="F47" i="62"/>
  <c r="E47" i="62"/>
  <c r="D47" i="62"/>
  <c r="B47" i="62"/>
  <c r="Q46" i="62"/>
  <c r="B46" i="62"/>
  <c r="Q45" i="62"/>
  <c r="B45" i="62"/>
  <c r="O44" i="62"/>
  <c r="N44" i="62"/>
  <c r="M44" i="62"/>
  <c r="L44" i="62"/>
  <c r="K44" i="62"/>
  <c r="J44" i="62"/>
  <c r="I44" i="62"/>
  <c r="H44" i="62"/>
  <c r="G44" i="62"/>
  <c r="F44" i="62"/>
  <c r="E44" i="62"/>
  <c r="D44" i="62"/>
  <c r="Q44" i="62" s="1"/>
  <c r="B44" i="62"/>
  <c r="Q43" i="62"/>
  <c r="B43" i="62"/>
  <c r="O42" i="62"/>
  <c r="N42" i="62"/>
  <c r="M42" i="62"/>
  <c r="L42" i="62"/>
  <c r="K42" i="62"/>
  <c r="J42" i="62"/>
  <c r="I42" i="62"/>
  <c r="H42" i="62"/>
  <c r="G42" i="62"/>
  <c r="F42" i="62"/>
  <c r="E42" i="62"/>
  <c r="D42" i="62"/>
  <c r="Q42" i="62" s="1"/>
  <c r="B42" i="62"/>
  <c r="Q41" i="62"/>
  <c r="B41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Q40" i="62" s="1"/>
  <c r="B40" i="62"/>
  <c r="Q39" i="62"/>
  <c r="B39" i="62"/>
  <c r="Q38" i="62"/>
  <c r="B38" i="62"/>
  <c r="Q37" i="62"/>
  <c r="B37" i="62"/>
  <c r="Q36" i="62"/>
  <c r="B36" i="62"/>
  <c r="Q35" i="62"/>
  <c r="B35" i="62"/>
  <c r="Q34" i="62"/>
  <c r="B34" i="62"/>
  <c r="Q33" i="62"/>
  <c r="B33" i="62"/>
  <c r="Q32" i="62"/>
  <c r="B32" i="62"/>
  <c r="Q31" i="62"/>
  <c r="B31" i="62"/>
  <c r="Q30" i="62"/>
  <c r="B30" i="62"/>
  <c r="O29" i="62"/>
  <c r="N29" i="62"/>
  <c r="M29" i="62"/>
  <c r="L29" i="62"/>
  <c r="K29" i="62"/>
  <c r="J29" i="62"/>
  <c r="I29" i="62"/>
  <c r="H29" i="62"/>
  <c r="G29" i="62"/>
  <c r="F29" i="62"/>
  <c r="E29" i="62"/>
  <c r="D29" i="62"/>
  <c r="Q29" i="62" s="1"/>
  <c r="B29" i="62"/>
  <c r="Q28" i="62"/>
  <c r="B28" i="62"/>
  <c r="Q27" i="62"/>
  <c r="B27" i="62"/>
  <c r="Q26" i="62"/>
  <c r="B26" i="62"/>
  <c r="Q25" i="62"/>
  <c r="B25" i="62"/>
  <c r="Q24" i="62"/>
  <c r="B24" i="62"/>
  <c r="Q23" i="62"/>
  <c r="B23" i="62"/>
  <c r="Q22" i="62"/>
  <c r="B22" i="62"/>
  <c r="Q21" i="62"/>
  <c r="B21" i="62"/>
  <c r="Q20" i="62"/>
  <c r="B20" i="62"/>
  <c r="Q19" i="62"/>
  <c r="B19" i="62"/>
  <c r="O18" i="62"/>
  <c r="O17" i="62" s="1"/>
  <c r="N18" i="62"/>
  <c r="M18" i="62"/>
  <c r="L18" i="62"/>
  <c r="K18" i="62"/>
  <c r="J18" i="62"/>
  <c r="I18" i="62"/>
  <c r="H18" i="62"/>
  <c r="G18" i="62"/>
  <c r="G17" i="62" s="1"/>
  <c r="F18" i="62"/>
  <c r="E18" i="62"/>
  <c r="Q18" i="62" s="1"/>
  <c r="D18" i="62"/>
  <c r="B18" i="62"/>
  <c r="N17" i="62"/>
  <c r="M17" i="62"/>
  <c r="L17" i="62"/>
  <c r="J17" i="62"/>
  <c r="H17" i="62"/>
  <c r="F17" i="62"/>
  <c r="E17" i="62"/>
  <c r="D17" i="62"/>
  <c r="O14" i="62"/>
  <c r="N14" i="62"/>
  <c r="N15" i="62" s="1"/>
  <c r="G14" i="62"/>
  <c r="F14" i="62"/>
  <c r="F15" i="62" s="1"/>
  <c r="Q12" i="62"/>
  <c r="O12" i="62"/>
  <c r="N12" i="62"/>
  <c r="M12" i="62"/>
  <c r="M14" i="62" s="1"/>
  <c r="L12" i="62"/>
  <c r="K12" i="62"/>
  <c r="J12" i="62"/>
  <c r="I12" i="62"/>
  <c r="H12" i="62"/>
  <c r="G12" i="62"/>
  <c r="F12" i="62"/>
  <c r="E12" i="62"/>
  <c r="E14" i="62" s="1"/>
  <c r="D12" i="62"/>
  <c r="Q10" i="62"/>
  <c r="Q14" i="62" s="1"/>
  <c r="Q15" i="62" s="1"/>
  <c r="O10" i="62"/>
  <c r="N10" i="62"/>
  <c r="M10" i="62"/>
  <c r="L10" i="62"/>
  <c r="K10" i="62"/>
  <c r="K14" i="62" s="1"/>
  <c r="J10" i="62"/>
  <c r="J14" i="62" s="1"/>
  <c r="I10" i="62"/>
  <c r="I14" i="62" s="1"/>
  <c r="H10" i="62"/>
  <c r="H14" i="62" s="1"/>
  <c r="H15" i="62" s="1"/>
  <c r="G10" i="62"/>
  <c r="F10" i="62"/>
  <c r="E10" i="62"/>
  <c r="D10" i="62"/>
  <c r="O8" i="62"/>
  <c r="N8" i="62"/>
  <c r="M8" i="62"/>
  <c r="L8" i="62"/>
  <c r="K8" i="62"/>
  <c r="J8" i="62"/>
  <c r="I8" i="62"/>
  <c r="H8" i="62"/>
  <c r="G8" i="62"/>
  <c r="F8" i="62"/>
  <c r="E8" i="62"/>
  <c r="D8" i="62"/>
  <c r="B5" i="62"/>
  <c r="Q54" i="61"/>
  <c r="Q49" i="61"/>
  <c r="D49" i="61"/>
  <c r="Q47" i="61"/>
  <c r="B47" i="61"/>
  <c r="Q46" i="61"/>
  <c r="B46" i="61"/>
  <c r="O45" i="61"/>
  <c r="N45" i="61"/>
  <c r="M45" i="61"/>
  <c r="L45" i="61"/>
  <c r="K45" i="61"/>
  <c r="J45" i="61"/>
  <c r="I45" i="61"/>
  <c r="H45" i="61"/>
  <c r="Q45" i="61" s="1"/>
  <c r="G45" i="61"/>
  <c r="F45" i="61"/>
  <c r="E45" i="61"/>
  <c r="D45" i="61"/>
  <c r="B45" i="61"/>
  <c r="Q44" i="61"/>
  <c r="B44" i="61"/>
  <c r="O43" i="61"/>
  <c r="N43" i="61"/>
  <c r="M43" i="61"/>
  <c r="L43" i="61"/>
  <c r="K43" i="61"/>
  <c r="J43" i="61"/>
  <c r="I43" i="61"/>
  <c r="H43" i="61"/>
  <c r="Q43" i="61" s="1"/>
  <c r="G43" i="61"/>
  <c r="F43" i="61"/>
  <c r="E43" i="61"/>
  <c r="D43" i="61"/>
  <c r="B43" i="61"/>
  <c r="Q42" i="61"/>
  <c r="B42" i="61"/>
  <c r="O41" i="61"/>
  <c r="N41" i="61"/>
  <c r="M41" i="61"/>
  <c r="L41" i="61"/>
  <c r="K41" i="61"/>
  <c r="J41" i="61"/>
  <c r="I41" i="61"/>
  <c r="H41" i="61"/>
  <c r="Q41" i="61" s="1"/>
  <c r="G41" i="61"/>
  <c r="F41" i="61"/>
  <c r="E41" i="61"/>
  <c r="D41" i="61"/>
  <c r="B41" i="61"/>
  <c r="Q40" i="61"/>
  <c r="B40" i="61"/>
  <c r="O39" i="61"/>
  <c r="N39" i="61"/>
  <c r="M39" i="61"/>
  <c r="L39" i="61"/>
  <c r="K39" i="61"/>
  <c r="J39" i="61"/>
  <c r="I39" i="61"/>
  <c r="H39" i="61"/>
  <c r="Q39" i="61" s="1"/>
  <c r="G39" i="61"/>
  <c r="F39" i="61"/>
  <c r="E39" i="61"/>
  <c r="D39" i="61"/>
  <c r="B39" i="61"/>
  <c r="Q38" i="61"/>
  <c r="B38" i="61"/>
  <c r="Q37" i="61"/>
  <c r="B37" i="61"/>
  <c r="Q36" i="61"/>
  <c r="B36" i="61"/>
  <c r="Q35" i="61"/>
  <c r="B35" i="61"/>
  <c r="Q34" i="61"/>
  <c r="B34" i="61"/>
  <c r="Q33" i="61"/>
  <c r="B33" i="61"/>
  <c r="Q32" i="61"/>
  <c r="B32" i="61"/>
  <c r="Q31" i="61"/>
  <c r="B31" i="61"/>
  <c r="Q30" i="61"/>
  <c r="B30" i="61"/>
  <c r="Q29" i="61"/>
  <c r="B29" i="61"/>
  <c r="O28" i="61"/>
  <c r="N28" i="61"/>
  <c r="M28" i="61"/>
  <c r="L28" i="61"/>
  <c r="K28" i="61"/>
  <c r="J28" i="61"/>
  <c r="I28" i="61"/>
  <c r="H28" i="61"/>
  <c r="G28" i="61"/>
  <c r="F28" i="61"/>
  <c r="E28" i="61"/>
  <c r="Q28" i="61" s="1"/>
  <c r="D28" i="61"/>
  <c r="B28" i="61"/>
  <c r="Q27" i="61"/>
  <c r="B27" i="61"/>
  <c r="Q26" i="61"/>
  <c r="B26" i="61"/>
  <c r="Q25" i="61"/>
  <c r="B25" i="61"/>
  <c r="Q24" i="61"/>
  <c r="B24" i="61"/>
  <c r="Q23" i="61"/>
  <c r="B23" i="61"/>
  <c r="Q22" i="61"/>
  <c r="B22" i="61"/>
  <c r="Q21" i="61"/>
  <c r="B21" i="61"/>
  <c r="Q20" i="61"/>
  <c r="B20" i="61"/>
  <c r="Q19" i="61"/>
  <c r="B19" i="61"/>
  <c r="O18" i="61"/>
  <c r="N18" i="61"/>
  <c r="N17" i="61" s="1"/>
  <c r="M18" i="61"/>
  <c r="M17" i="61" s="1"/>
  <c r="L18" i="61"/>
  <c r="K18" i="61"/>
  <c r="J18" i="61"/>
  <c r="J17" i="61" s="1"/>
  <c r="I18" i="61"/>
  <c r="H18" i="61"/>
  <c r="G18" i="61"/>
  <c r="F18" i="61"/>
  <c r="F17" i="61" s="1"/>
  <c r="E18" i="61"/>
  <c r="E17" i="61" s="1"/>
  <c r="D18" i="61"/>
  <c r="B18" i="61"/>
  <c r="O17" i="61"/>
  <c r="L17" i="61"/>
  <c r="K17" i="61"/>
  <c r="I17" i="61"/>
  <c r="H17" i="61"/>
  <c r="G17" i="61"/>
  <c r="D17" i="61"/>
  <c r="N14" i="61"/>
  <c r="J14" i="61"/>
  <c r="F14" i="61"/>
  <c r="Q12" i="61"/>
  <c r="O12" i="61"/>
  <c r="N12" i="61"/>
  <c r="M12" i="61"/>
  <c r="L12" i="61"/>
  <c r="K12" i="61"/>
  <c r="K14" i="61" s="1"/>
  <c r="J12" i="61"/>
  <c r="I12" i="61"/>
  <c r="H12" i="61"/>
  <c r="G12" i="61"/>
  <c r="F12" i="61"/>
  <c r="E12" i="61"/>
  <c r="D12" i="61"/>
  <c r="Q10" i="61"/>
  <c r="Q14" i="61" s="1"/>
  <c r="O10" i="61"/>
  <c r="O14" i="61" s="1"/>
  <c r="N10" i="61"/>
  <c r="M10" i="61"/>
  <c r="M14" i="61" s="1"/>
  <c r="L10" i="61"/>
  <c r="L14" i="61" s="1"/>
  <c r="K10" i="61"/>
  <c r="J10" i="61"/>
  <c r="I10" i="61"/>
  <c r="I14" i="61" s="1"/>
  <c r="H10" i="61"/>
  <c r="H14" i="61" s="1"/>
  <c r="G10" i="61"/>
  <c r="G14" i="61" s="1"/>
  <c r="F10" i="61"/>
  <c r="E10" i="61"/>
  <c r="E14" i="61" s="1"/>
  <c r="D10" i="61"/>
  <c r="D14" i="61" s="1"/>
  <c r="O8" i="61"/>
  <c r="N8" i="61"/>
  <c r="M8" i="61"/>
  <c r="L8" i="61"/>
  <c r="K8" i="61"/>
  <c r="J8" i="61"/>
  <c r="I8" i="61"/>
  <c r="H8" i="61"/>
  <c r="G8" i="61"/>
  <c r="F8" i="61"/>
  <c r="E8" i="61"/>
  <c r="D8" i="61"/>
  <c r="B5" i="61"/>
  <c r="Q59" i="60"/>
  <c r="Q54" i="60"/>
  <c r="D54" i="60"/>
  <c r="Q52" i="60"/>
  <c r="B52" i="60"/>
  <c r="O51" i="60"/>
  <c r="N51" i="60"/>
  <c r="M51" i="60"/>
  <c r="L51" i="60"/>
  <c r="K51" i="60"/>
  <c r="J51" i="60"/>
  <c r="I51" i="60"/>
  <c r="H51" i="60"/>
  <c r="G51" i="60"/>
  <c r="F51" i="60"/>
  <c r="E51" i="60"/>
  <c r="D51" i="60"/>
  <c r="Q51" i="60" s="1"/>
  <c r="B51" i="60"/>
  <c r="Q50" i="60"/>
  <c r="B50" i="60"/>
  <c r="O49" i="60"/>
  <c r="N49" i="60"/>
  <c r="M49" i="60"/>
  <c r="L49" i="60"/>
  <c r="K49" i="60"/>
  <c r="J49" i="60"/>
  <c r="I49" i="60"/>
  <c r="H49" i="60"/>
  <c r="G49" i="60"/>
  <c r="F49" i="60"/>
  <c r="E49" i="60"/>
  <c r="D49" i="60"/>
  <c r="Q49" i="60" s="1"/>
  <c r="B49" i="60"/>
  <c r="Q48" i="60"/>
  <c r="B48" i="60"/>
  <c r="O47" i="60"/>
  <c r="N47" i="60"/>
  <c r="M47" i="60"/>
  <c r="L47" i="60"/>
  <c r="K47" i="60"/>
  <c r="J47" i="60"/>
  <c r="I47" i="60"/>
  <c r="I17" i="60" s="1"/>
  <c r="H47" i="60"/>
  <c r="G47" i="60"/>
  <c r="F47" i="60"/>
  <c r="E47" i="60"/>
  <c r="D47" i="60"/>
  <c r="Q47" i="60" s="1"/>
  <c r="B47" i="60"/>
  <c r="Q46" i="60"/>
  <c r="B46" i="60"/>
  <c r="Q45" i="60"/>
  <c r="B45" i="60"/>
  <c r="Q44" i="60"/>
  <c r="B44" i="60"/>
  <c r="O43" i="60"/>
  <c r="N43" i="60"/>
  <c r="M43" i="60"/>
  <c r="L43" i="60"/>
  <c r="K43" i="60"/>
  <c r="J43" i="60"/>
  <c r="I43" i="60"/>
  <c r="H43" i="60"/>
  <c r="G43" i="60"/>
  <c r="F43" i="60"/>
  <c r="E43" i="60"/>
  <c r="Q43" i="60" s="1"/>
  <c r="D43" i="60"/>
  <c r="B43" i="60"/>
  <c r="Q42" i="60"/>
  <c r="B42" i="60"/>
  <c r="O41" i="60"/>
  <c r="N41" i="60"/>
  <c r="M41" i="60"/>
  <c r="L41" i="60"/>
  <c r="K41" i="60"/>
  <c r="J41" i="60"/>
  <c r="I41" i="60"/>
  <c r="H41" i="60"/>
  <c r="G41" i="60"/>
  <c r="F41" i="60"/>
  <c r="E41" i="60"/>
  <c r="Q41" i="60" s="1"/>
  <c r="D41" i="60"/>
  <c r="B41" i="60"/>
  <c r="Q40" i="60"/>
  <c r="B40" i="60"/>
  <c r="O39" i="60"/>
  <c r="N39" i="60"/>
  <c r="M39" i="60"/>
  <c r="L39" i="60"/>
  <c r="K39" i="60"/>
  <c r="J39" i="60"/>
  <c r="I39" i="60"/>
  <c r="H39" i="60"/>
  <c r="G39" i="60"/>
  <c r="F39" i="60"/>
  <c r="E39" i="60"/>
  <c r="Q39" i="60" s="1"/>
  <c r="D39" i="60"/>
  <c r="B39" i="60"/>
  <c r="Q38" i="60"/>
  <c r="B38" i="60"/>
  <c r="Q37" i="60"/>
  <c r="B37" i="60"/>
  <c r="Q36" i="60"/>
  <c r="B36" i="60"/>
  <c r="Q35" i="60"/>
  <c r="B35" i="60"/>
  <c r="Q34" i="60"/>
  <c r="B34" i="60"/>
  <c r="Q33" i="60"/>
  <c r="B33" i="60"/>
  <c r="Q32" i="60"/>
  <c r="B32" i="60"/>
  <c r="Q31" i="60"/>
  <c r="B31" i="60"/>
  <c r="Q30" i="60"/>
  <c r="B30" i="60"/>
  <c r="Q29" i="60"/>
  <c r="B29" i="60"/>
  <c r="O28" i="60"/>
  <c r="N28" i="60"/>
  <c r="M28" i="60"/>
  <c r="L28" i="60"/>
  <c r="K28" i="60"/>
  <c r="J28" i="60"/>
  <c r="I28" i="60"/>
  <c r="H28" i="60"/>
  <c r="G28" i="60"/>
  <c r="F28" i="60"/>
  <c r="E28" i="60"/>
  <c r="D28" i="60"/>
  <c r="Q28" i="60" s="1"/>
  <c r="B28" i="60"/>
  <c r="Q27" i="60"/>
  <c r="B27" i="60"/>
  <c r="Q26" i="60"/>
  <c r="B26" i="60"/>
  <c r="Q25" i="60"/>
  <c r="B25" i="60"/>
  <c r="Q24" i="60"/>
  <c r="B24" i="60"/>
  <c r="Q23" i="60"/>
  <c r="B23" i="60"/>
  <c r="Q22" i="60"/>
  <c r="B22" i="60"/>
  <c r="Q21" i="60"/>
  <c r="B21" i="60"/>
  <c r="Q20" i="60"/>
  <c r="B20" i="60"/>
  <c r="Q19" i="60"/>
  <c r="B19" i="60"/>
  <c r="O18" i="60"/>
  <c r="O17" i="60" s="1"/>
  <c r="N18" i="60"/>
  <c r="M18" i="60"/>
  <c r="L18" i="60"/>
  <c r="K18" i="60"/>
  <c r="K17" i="60" s="1"/>
  <c r="J18" i="60"/>
  <c r="J17" i="60" s="1"/>
  <c r="I18" i="60"/>
  <c r="H18" i="60"/>
  <c r="G18" i="60"/>
  <c r="G17" i="60" s="1"/>
  <c r="F18" i="60"/>
  <c r="E18" i="60"/>
  <c r="Q18" i="60" s="1"/>
  <c r="D18" i="60"/>
  <c r="B18" i="60"/>
  <c r="N17" i="60"/>
  <c r="M17" i="60"/>
  <c r="L17" i="60"/>
  <c r="H17" i="60"/>
  <c r="F17" i="60"/>
  <c r="E17" i="60"/>
  <c r="D17" i="60"/>
  <c r="N15" i="60"/>
  <c r="J15" i="60"/>
  <c r="F15" i="60"/>
  <c r="O14" i="60"/>
  <c r="O15" i="60" s="1"/>
  <c r="N14" i="60"/>
  <c r="K14" i="60"/>
  <c r="J14" i="60"/>
  <c r="J56" i="60" s="1"/>
  <c r="G14" i="60"/>
  <c r="G15" i="60" s="1"/>
  <c r="F14" i="60"/>
  <c r="F56" i="60" s="1"/>
  <c r="Q12" i="60"/>
  <c r="O12" i="60"/>
  <c r="N12" i="60"/>
  <c r="M12" i="60"/>
  <c r="L12" i="60"/>
  <c r="K12" i="60"/>
  <c r="J12" i="60"/>
  <c r="I12" i="60"/>
  <c r="H12" i="60"/>
  <c r="G12" i="60"/>
  <c r="F12" i="60"/>
  <c r="E12" i="60"/>
  <c r="D12" i="60"/>
  <c r="Q10" i="60"/>
  <c r="Q14" i="60" s="1"/>
  <c r="O10" i="60"/>
  <c r="N10" i="60"/>
  <c r="M10" i="60"/>
  <c r="M14" i="60" s="1"/>
  <c r="L10" i="60"/>
  <c r="L14" i="60" s="1"/>
  <c r="K10" i="60"/>
  <c r="J10" i="60"/>
  <c r="I10" i="60"/>
  <c r="I14" i="60" s="1"/>
  <c r="H10" i="60"/>
  <c r="H14" i="60" s="1"/>
  <c r="G10" i="60"/>
  <c r="F10" i="60"/>
  <c r="E10" i="60"/>
  <c r="E14" i="60" s="1"/>
  <c r="D10" i="60"/>
  <c r="D14" i="60" s="1"/>
  <c r="O8" i="60"/>
  <c r="N8" i="60"/>
  <c r="M8" i="60"/>
  <c r="L8" i="60"/>
  <c r="K8" i="60"/>
  <c r="J8" i="60"/>
  <c r="I8" i="60"/>
  <c r="H8" i="60"/>
  <c r="G8" i="60"/>
  <c r="F8" i="60"/>
  <c r="E8" i="60"/>
  <c r="D8" i="60"/>
  <c r="B5" i="60"/>
  <c r="Q64" i="59"/>
  <c r="Q59" i="59"/>
  <c r="D59" i="59"/>
  <c r="Q57" i="59"/>
  <c r="B57" i="59"/>
  <c r="O56" i="59"/>
  <c r="N56" i="59"/>
  <c r="M56" i="59"/>
  <c r="L56" i="59"/>
  <c r="K56" i="59"/>
  <c r="J56" i="59"/>
  <c r="I56" i="59"/>
  <c r="H56" i="59"/>
  <c r="G56" i="59"/>
  <c r="F56" i="59"/>
  <c r="E56" i="59"/>
  <c r="D56" i="59"/>
  <c r="Q56" i="59" s="1"/>
  <c r="B56" i="59"/>
  <c r="Q55" i="59"/>
  <c r="B55" i="59"/>
  <c r="Q54" i="59"/>
  <c r="B54" i="59"/>
  <c r="O53" i="59"/>
  <c r="N53" i="59"/>
  <c r="M53" i="59"/>
  <c r="L53" i="59"/>
  <c r="K53" i="59"/>
  <c r="J53" i="59"/>
  <c r="I53" i="59"/>
  <c r="H53" i="59"/>
  <c r="Q53" i="59" s="1"/>
  <c r="G53" i="59"/>
  <c r="F53" i="59"/>
  <c r="E53" i="59"/>
  <c r="D53" i="59"/>
  <c r="B53" i="59"/>
  <c r="Q52" i="59"/>
  <c r="B52" i="59"/>
  <c r="O51" i="59"/>
  <c r="N51" i="59"/>
  <c r="M51" i="59"/>
  <c r="L51" i="59"/>
  <c r="K51" i="59"/>
  <c r="J51" i="59"/>
  <c r="I51" i="59"/>
  <c r="H51" i="59"/>
  <c r="Q51" i="59" s="1"/>
  <c r="G51" i="59"/>
  <c r="F51" i="59"/>
  <c r="E51" i="59"/>
  <c r="D51" i="59"/>
  <c r="B51" i="59"/>
  <c r="Q50" i="59"/>
  <c r="B50" i="59"/>
  <c r="Q49" i="59"/>
  <c r="B49" i="59"/>
  <c r="O48" i="59"/>
  <c r="N48" i="59"/>
  <c r="M48" i="59"/>
  <c r="L48" i="59"/>
  <c r="K48" i="59"/>
  <c r="J48" i="59"/>
  <c r="I48" i="59"/>
  <c r="H48" i="59"/>
  <c r="G48" i="59"/>
  <c r="F48" i="59"/>
  <c r="E48" i="59"/>
  <c r="Q48" i="59" s="1"/>
  <c r="D48" i="59"/>
  <c r="B48" i="59"/>
  <c r="Q47" i="59"/>
  <c r="B47" i="59"/>
  <c r="Q46" i="59"/>
  <c r="B46" i="59"/>
  <c r="Q45" i="59"/>
  <c r="B45" i="59"/>
  <c r="O44" i="59"/>
  <c r="N44" i="59"/>
  <c r="M44" i="59"/>
  <c r="L44" i="59"/>
  <c r="K44" i="59"/>
  <c r="J44" i="59"/>
  <c r="I44" i="59"/>
  <c r="H44" i="59"/>
  <c r="G44" i="59"/>
  <c r="F44" i="59"/>
  <c r="E44" i="59"/>
  <c r="D44" i="59"/>
  <c r="Q44" i="59" s="1"/>
  <c r="B44" i="59"/>
  <c r="Q43" i="59"/>
  <c r="B43" i="59"/>
  <c r="O42" i="59"/>
  <c r="N42" i="59"/>
  <c r="M42" i="59"/>
  <c r="L42" i="59"/>
  <c r="K42" i="59"/>
  <c r="J42" i="59"/>
  <c r="I42" i="59"/>
  <c r="H42" i="59"/>
  <c r="G42" i="59"/>
  <c r="F42" i="59"/>
  <c r="E42" i="59"/>
  <c r="D42" i="59"/>
  <c r="Q42" i="59" s="1"/>
  <c r="B42" i="59"/>
  <c r="Q41" i="59"/>
  <c r="B41" i="59"/>
  <c r="Q40" i="59"/>
  <c r="B40" i="59"/>
  <c r="O39" i="59"/>
  <c r="N39" i="59"/>
  <c r="M39" i="59"/>
  <c r="L39" i="59"/>
  <c r="K39" i="59"/>
  <c r="J39" i="59"/>
  <c r="I39" i="59"/>
  <c r="H39" i="59"/>
  <c r="Q39" i="59" s="1"/>
  <c r="G39" i="59"/>
  <c r="F39" i="59"/>
  <c r="E39" i="59"/>
  <c r="D39" i="59"/>
  <c r="B39" i="59"/>
  <c r="Q38" i="59"/>
  <c r="B38" i="59"/>
  <c r="Q37" i="59"/>
  <c r="B37" i="59"/>
  <c r="Q36" i="59"/>
  <c r="B36" i="59"/>
  <c r="Q35" i="59"/>
  <c r="B35" i="59"/>
  <c r="Q34" i="59"/>
  <c r="B34" i="59"/>
  <c r="Q33" i="59"/>
  <c r="B33" i="59"/>
  <c r="Q32" i="59"/>
  <c r="B32" i="59"/>
  <c r="Q31" i="59"/>
  <c r="B31" i="59"/>
  <c r="Q30" i="59"/>
  <c r="B30" i="59"/>
  <c r="Q29" i="59"/>
  <c r="B29" i="59"/>
  <c r="O28" i="59"/>
  <c r="N28" i="59"/>
  <c r="M28" i="59"/>
  <c r="L28" i="59"/>
  <c r="K28" i="59"/>
  <c r="J28" i="59"/>
  <c r="I28" i="59"/>
  <c r="H28" i="59"/>
  <c r="G28" i="59"/>
  <c r="F28" i="59"/>
  <c r="E28" i="59"/>
  <c r="Q28" i="59" s="1"/>
  <c r="D28" i="59"/>
  <c r="B28" i="59"/>
  <c r="Q27" i="59"/>
  <c r="B27" i="59"/>
  <c r="Q26" i="59"/>
  <c r="B26" i="59"/>
  <c r="Q25" i="59"/>
  <c r="B25" i="59"/>
  <c r="Q24" i="59"/>
  <c r="B24" i="59"/>
  <c r="Q23" i="59"/>
  <c r="B23" i="59"/>
  <c r="Q22" i="59"/>
  <c r="B22" i="59"/>
  <c r="Q21" i="59"/>
  <c r="B21" i="59"/>
  <c r="Q20" i="59"/>
  <c r="B20" i="59"/>
  <c r="Q19" i="59"/>
  <c r="B19" i="59"/>
  <c r="O18" i="59"/>
  <c r="N18" i="59"/>
  <c r="N17" i="59" s="1"/>
  <c r="M18" i="59"/>
  <c r="M17" i="59" s="1"/>
  <c r="L18" i="59"/>
  <c r="K18" i="59"/>
  <c r="J18" i="59"/>
  <c r="J17" i="59" s="1"/>
  <c r="I18" i="59"/>
  <c r="H18" i="59"/>
  <c r="G18" i="59"/>
  <c r="F18" i="59"/>
  <c r="F17" i="59" s="1"/>
  <c r="E18" i="59"/>
  <c r="Q18" i="59" s="1"/>
  <c r="D18" i="59"/>
  <c r="B18" i="59"/>
  <c r="O17" i="59"/>
  <c r="L17" i="59"/>
  <c r="K17" i="59"/>
  <c r="I17" i="59"/>
  <c r="H17" i="59"/>
  <c r="G17" i="59"/>
  <c r="E17" i="59"/>
  <c r="D17" i="59"/>
  <c r="M15" i="59"/>
  <c r="I15" i="59"/>
  <c r="E15" i="59"/>
  <c r="N14" i="59"/>
  <c r="N61" i="59" s="1"/>
  <c r="J14" i="59"/>
  <c r="I14" i="59"/>
  <c r="I61" i="59" s="1"/>
  <c r="F14" i="59"/>
  <c r="Q12" i="59"/>
  <c r="O12" i="59"/>
  <c r="N12" i="59"/>
  <c r="M12" i="59"/>
  <c r="L12" i="59"/>
  <c r="K12" i="59"/>
  <c r="J12" i="59"/>
  <c r="I12" i="59"/>
  <c r="H12" i="59"/>
  <c r="G12" i="59"/>
  <c r="F12" i="59"/>
  <c r="E12" i="59"/>
  <c r="D12" i="59"/>
  <c r="Q10" i="59"/>
  <c r="Q14" i="59" s="1"/>
  <c r="O10" i="59"/>
  <c r="N10" i="59"/>
  <c r="M10" i="59"/>
  <c r="M14" i="59" s="1"/>
  <c r="L10" i="59"/>
  <c r="L14" i="59" s="1"/>
  <c r="K10" i="59"/>
  <c r="K14" i="59" s="1"/>
  <c r="J10" i="59"/>
  <c r="I10" i="59"/>
  <c r="H10" i="59"/>
  <c r="H14" i="59" s="1"/>
  <c r="G10" i="59"/>
  <c r="F10" i="59"/>
  <c r="E10" i="59"/>
  <c r="E14" i="59" s="1"/>
  <c r="E61" i="59" s="1"/>
  <c r="D10" i="59"/>
  <c r="D14" i="59" s="1"/>
  <c r="O8" i="59"/>
  <c r="N8" i="59"/>
  <c r="M8" i="59"/>
  <c r="L8" i="59"/>
  <c r="K8" i="59"/>
  <c r="J8" i="59"/>
  <c r="I8" i="59"/>
  <c r="H8" i="59"/>
  <c r="G8" i="59"/>
  <c r="F8" i="59"/>
  <c r="E8" i="59"/>
  <c r="D8" i="59"/>
  <c r="B5" i="59"/>
  <c r="Q77" i="58"/>
  <c r="Q72" i="58"/>
  <c r="D72" i="58"/>
  <c r="Q70" i="58"/>
  <c r="B70" i="58"/>
  <c r="O69" i="58"/>
  <c r="N69" i="58"/>
  <c r="M69" i="58"/>
  <c r="L69" i="58"/>
  <c r="K69" i="58"/>
  <c r="J69" i="58"/>
  <c r="I69" i="58"/>
  <c r="H69" i="58"/>
  <c r="G69" i="58"/>
  <c r="F69" i="58"/>
  <c r="E69" i="58"/>
  <c r="D69" i="58"/>
  <c r="Q69" i="58" s="1"/>
  <c r="B69" i="58"/>
  <c r="Q68" i="58"/>
  <c r="B68" i="58"/>
  <c r="O67" i="58"/>
  <c r="N67" i="58"/>
  <c r="M67" i="58"/>
  <c r="L67" i="58"/>
  <c r="K67" i="58"/>
  <c r="J67" i="58"/>
  <c r="I67" i="58"/>
  <c r="H67" i="58"/>
  <c r="G67" i="58"/>
  <c r="F67" i="58"/>
  <c r="E67" i="58"/>
  <c r="D67" i="58"/>
  <c r="B67" i="58"/>
  <c r="Q66" i="58"/>
  <c r="B66" i="58"/>
  <c r="O65" i="58"/>
  <c r="N65" i="58"/>
  <c r="M65" i="58"/>
  <c r="L65" i="58"/>
  <c r="K65" i="58"/>
  <c r="J65" i="58"/>
  <c r="I65" i="58"/>
  <c r="H65" i="58"/>
  <c r="G65" i="58"/>
  <c r="F65" i="58"/>
  <c r="E65" i="58"/>
  <c r="D65" i="58"/>
  <c r="Q65" i="58" s="1"/>
  <c r="B65" i="58"/>
  <c r="Q64" i="58"/>
  <c r="B64" i="58"/>
  <c r="Q63" i="58"/>
  <c r="B63" i="58"/>
  <c r="Q62" i="58"/>
  <c r="B62" i="58"/>
  <c r="Q61" i="58"/>
  <c r="B61" i="58"/>
  <c r="O60" i="58"/>
  <c r="N60" i="58"/>
  <c r="M60" i="58"/>
  <c r="L60" i="58"/>
  <c r="K60" i="58"/>
  <c r="J60" i="58"/>
  <c r="I60" i="58"/>
  <c r="H60" i="58"/>
  <c r="G60" i="58"/>
  <c r="Q60" i="58" s="1"/>
  <c r="F60" i="58"/>
  <c r="E60" i="58"/>
  <c r="D60" i="58"/>
  <c r="B60" i="58"/>
  <c r="Q59" i="58"/>
  <c r="B59" i="58"/>
  <c r="O58" i="58"/>
  <c r="N58" i="58"/>
  <c r="M58" i="58"/>
  <c r="L58" i="58"/>
  <c r="K58" i="58"/>
  <c r="J58" i="58"/>
  <c r="I58" i="58"/>
  <c r="H58" i="58"/>
  <c r="G58" i="58"/>
  <c r="Q58" i="58" s="1"/>
  <c r="F58" i="58"/>
  <c r="E58" i="58"/>
  <c r="D58" i="58"/>
  <c r="B58" i="58"/>
  <c r="Q57" i="58"/>
  <c r="B57" i="58"/>
  <c r="O56" i="58"/>
  <c r="N56" i="58"/>
  <c r="M56" i="58"/>
  <c r="L56" i="58"/>
  <c r="K56" i="58"/>
  <c r="J56" i="58"/>
  <c r="I56" i="58"/>
  <c r="H56" i="58"/>
  <c r="G56" i="58"/>
  <c r="Q56" i="58" s="1"/>
  <c r="F56" i="58"/>
  <c r="E56" i="58"/>
  <c r="D56" i="58"/>
  <c r="B56" i="58"/>
  <c r="Q55" i="58"/>
  <c r="B55" i="58"/>
  <c r="Q54" i="58"/>
  <c r="B54" i="58"/>
  <c r="Q53" i="58"/>
  <c r="B53" i="58"/>
  <c r="O52" i="58"/>
  <c r="N52" i="58"/>
  <c r="M52" i="58"/>
  <c r="L52" i="58"/>
  <c r="K52" i="58"/>
  <c r="J52" i="58"/>
  <c r="I52" i="58"/>
  <c r="H52" i="58"/>
  <c r="G52" i="58"/>
  <c r="F52" i="58"/>
  <c r="E52" i="58"/>
  <c r="D52" i="58"/>
  <c r="B52" i="58"/>
  <c r="Q51" i="58"/>
  <c r="B51" i="58"/>
  <c r="O50" i="58"/>
  <c r="N50" i="58"/>
  <c r="M50" i="58"/>
  <c r="L50" i="58"/>
  <c r="K50" i="58"/>
  <c r="J50" i="58"/>
  <c r="I50" i="58"/>
  <c r="H50" i="58"/>
  <c r="G50" i="58"/>
  <c r="F50" i="58"/>
  <c r="E50" i="58"/>
  <c r="D50" i="58"/>
  <c r="B50" i="58"/>
  <c r="Q49" i="58"/>
  <c r="B49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Q48" i="58" s="1"/>
  <c r="B48" i="58"/>
  <c r="Q47" i="58"/>
  <c r="B47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B46" i="58"/>
  <c r="Q45" i="58"/>
  <c r="B45" i="58"/>
  <c r="O44" i="58"/>
  <c r="N44" i="58"/>
  <c r="M44" i="58"/>
  <c r="L44" i="58"/>
  <c r="K44" i="58"/>
  <c r="J44" i="58"/>
  <c r="I44" i="58"/>
  <c r="H44" i="58"/>
  <c r="G44" i="58"/>
  <c r="F44" i="58"/>
  <c r="E44" i="58"/>
  <c r="D44" i="58"/>
  <c r="Q44" i="58" s="1"/>
  <c r="B44" i="58"/>
  <c r="Q43" i="58"/>
  <c r="B43" i="58"/>
  <c r="O42" i="58"/>
  <c r="N42" i="58"/>
  <c r="M42" i="58"/>
  <c r="L42" i="58"/>
  <c r="K42" i="58"/>
  <c r="J42" i="58"/>
  <c r="I42" i="58"/>
  <c r="H42" i="58"/>
  <c r="G42" i="58"/>
  <c r="F42" i="58"/>
  <c r="E42" i="58"/>
  <c r="D42" i="58"/>
  <c r="B42" i="58"/>
  <c r="Q41" i="58"/>
  <c r="B41" i="58"/>
  <c r="O40" i="58"/>
  <c r="N40" i="58"/>
  <c r="M40" i="58"/>
  <c r="L40" i="58"/>
  <c r="K40" i="58"/>
  <c r="J40" i="58"/>
  <c r="I40" i="58"/>
  <c r="H40" i="58"/>
  <c r="G40" i="58"/>
  <c r="F40" i="58"/>
  <c r="E40" i="58"/>
  <c r="D40" i="58"/>
  <c r="Q40" i="58" s="1"/>
  <c r="B40" i="58"/>
  <c r="Q39" i="58"/>
  <c r="B39" i="58"/>
  <c r="Q38" i="58"/>
  <c r="B38" i="58"/>
  <c r="Q37" i="58"/>
  <c r="B37" i="58"/>
  <c r="Q36" i="58"/>
  <c r="B36" i="58"/>
  <c r="Q35" i="58"/>
  <c r="B35" i="58"/>
  <c r="Q34" i="58"/>
  <c r="B34" i="58"/>
  <c r="Q33" i="58"/>
  <c r="B33" i="58"/>
  <c r="Q32" i="58"/>
  <c r="B32" i="58"/>
  <c r="Q31" i="58"/>
  <c r="B31" i="58"/>
  <c r="Q30" i="58"/>
  <c r="B30" i="58"/>
  <c r="O29" i="58"/>
  <c r="N29" i="58"/>
  <c r="M29" i="58"/>
  <c r="M17" i="58" s="1"/>
  <c r="L29" i="58"/>
  <c r="K29" i="58"/>
  <c r="J29" i="58"/>
  <c r="I29" i="58"/>
  <c r="H29" i="58"/>
  <c r="G29" i="58"/>
  <c r="F29" i="58"/>
  <c r="E29" i="58"/>
  <c r="D29" i="58"/>
  <c r="B29" i="58"/>
  <c r="Q28" i="58"/>
  <c r="B28" i="58"/>
  <c r="Q27" i="58"/>
  <c r="B27" i="58"/>
  <c r="Q26" i="58"/>
  <c r="B26" i="58"/>
  <c r="Q25" i="58"/>
  <c r="B25" i="58"/>
  <c r="Q24" i="58"/>
  <c r="B24" i="58"/>
  <c r="Q23" i="58"/>
  <c r="B23" i="58"/>
  <c r="Q22" i="58"/>
  <c r="B22" i="58"/>
  <c r="Q21" i="58"/>
  <c r="B21" i="58"/>
  <c r="Q20" i="58"/>
  <c r="B20" i="58"/>
  <c r="Q19" i="58"/>
  <c r="B19" i="58"/>
  <c r="O18" i="58"/>
  <c r="N18" i="58"/>
  <c r="M18" i="58"/>
  <c r="L18" i="58"/>
  <c r="K18" i="58"/>
  <c r="J18" i="58"/>
  <c r="I18" i="58"/>
  <c r="H18" i="58"/>
  <c r="G18" i="58"/>
  <c r="F18" i="58"/>
  <c r="E18" i="58"/>
  <c r="D18" i="58"/>
  <c r="Q18" i="58" s="1"/>
  <c r="B18" i="58"/>
  <c r="N17" i="58"/>
  <c r="L17" i="58"/>
  <c r="J17" i="58"/>
  <c r="H17" i="58"/>
  <c r="H74" i="58" s="1"/>
  <c r="F17" i="58"/>
  <c r="E17" i="58"/>
  <c r="D17" i="58"/>
  <c r="O14" i="58"/>
  <c r="N14" i="58"/>
  <c r="N15" i="58" s="1"/>
  <c r="G14" i="58"/>
  <c r="F14" i="58"/>
  <c r="F15" i="58" s="1"/>
  <c r="Q12" i="58"/>
  <c r="O12" i="58"/>
  <c r="N12" i="58"/>
  <c r="M12" i="58"/>
  <c r="L12" i="58"/>
  <c r="K12" i="58"/>
  <c r="K14" i="58" s="1"/>
  <c r="J12" i="58"/>
  <c r="I12" i="58"/>
  <c r="H12" i="58"/>
  <c r="G12" i="58"/>
  <c r="F12" i="58"/>
  <c r="E12" i="58"/>
  <c r="D12" i="58"/>
  <c r="Q10" i="58"/>
  <c r="Q14" i="58" s="1"/>
  <c r="Q15" i="58" s="1"/>
  <c r="O10" i="58"/>
  <c r="N10" i="58"/>
  <c r="M10" i="58"/>
  <c r="M14" i="58" s="1"/>
  <c r="L10" i="58"/>
  <c r="L14" i="58" s="1"/>
  <c r="K10" i="58"/>
  <c r="J10" i="58"/>
  <c r="J14" i="58" s="1"/>
  <c r="I10" i="58"/>
  <c r="I14" i="58" s="1"/>
  <c r="H10" i="58"/>
  <c r="H14" i="58" s="1"/>
  <c r="H15" i="58" s="1"/>
  <c r="G10" i="58"/>
  <c r="F10" i="58"/>
  <c r="E10" i="58"/>
  <c r="E14" i="58" s="1"/>
  <c r="D10" i="58"/>
  <c r="D14" i="58" s="1"/>
  <c r="O8" i="58"/>
  <c r="N8" i="58"/>
  <c r="M8" i="58"/>
  <c r="L8" i="58"/>
  <c r="K8" i="58"/>
  <c r="J8" i="58"/>
  <c r="I8" i="58"/>
  <c r="H8" i="58"/>
  <c r="G8" i="58"/>
  <c r="F8" i="58"/>
  <c r="E8" i="58"/>
  <c r="D8" i="58"/>
  <c r="B5" i="58"/>
  <c r="Q67" i="57"/>
  <c r="E64" i="57"/>
  <c r="D62" i="57"/>
  <c r="Q62" i="57" s="1"/>
  <c r="Q60" i="57"/>
  <c r="B60" i="57"/>
  <c r="O59" i="57"/>
  <c r="N59" i="57"/>
  <c r="M59" i="57"/>
  <c r="L59" i="57"/>
  <c r="K59" i="57"/>
  <c r="J59" i="57"/>
  <c r="I59" i="57"/>
  <c r="H59" i="57"/>
  <c r="G59" i="57"/>
  <c r="F59" i="57"/>
  <c r="E59" i="57"/>
  <c r="D59" i="57"/>
  <c r="B59" i="57"/>
  <c r="Q58" i="57"/>
  <c r="B58" i="57"/>
  <c r="O57" i="57"/>
  <c r="N57" i="57"/>
  <c r="M57" i="57"/>
  <c r="L57" i="57"/>
  <c r="K57" i="57"/>
  <c r="J57" i="57"/>
  <c r="I57" i="57"/>
  <c r="H57" i="57"/>
  <c r="G57" i="57"/>
  <c r="F57" i="57"/>
  <c r="E57" i="57"/>
  <c r="D57" i="57"/>
  <c r="Q57" i="57" s="1"/>
  <c r="B57" i="57"/>
  <c r="Q56" i="57"/>
  <c r="B56" i="57"/>
  <c r="O55" i="57"/>
  <c r="N55" i="57"/>
  <c r="M55" i="57"/>
  <c r="L55" i="57"/>
  <c r="K55" i="57"/>
  <c r="J55" i="57"/>
  <c r="I55" i="57"/>
  <c r="H55" i="57"/>
  <c r="G55" i="57"/>
  <c r="F55" i="57"/>
  <c r="E55" i="57"/>
  <c r="D55" i="57"/>
  <c r="Q55" i="57" s="1"/>
  <c r="B55" i="57"/>
  <c r="Q54" i="57"/>
  <c r="B54" i="57"/>
  <c r="O53" i="57"/>
  <c r="N53" i="57"/>
  <c r="M53" i="57"/>
  <c r="L53" i="57"/>
  <c r="K53" i="57"/>
  <c r="J53" i="57"/>
  <c r="I53" i="57"/>
  <c r="H53" i="57"/>
  <c r="G53" i="57"/>
  <c r="F53" i="57"/>
  <c r="E53" i="57"/>
  <c r="D53" i="57"/>
  <c r="B53" i="57"/>
  <c r="Q52" i="57"/>
  <c r="B52" i="57"/>
  <c r="O51" i="57"/>
  <c r="N51" i="57"/>
  <c r="M51" i="57"/>
  <c r="L51" i="57"/>
  <c r="K51" i="57"/>
  <c r="J51" i="57"/>
  <c r="I51" i="57"/>
  <c r="H51" i="57"/>
  <c r="G51" i="57"/>
  <c r="F51" i="57"/>
  <c r="E51" i="57"/>
  <c r="D51" i="57"/>
  <c r="Q51" i="57" s="1"/>
  <c r="B51" i="57"/>
  <c r="Q50" i="57"/>
  <c r="B50" i="57"/>
  <c r="Q49" i="57"/>
  <c r="B49" i="57"/>
  <c r="Q48" i="57"/>
  <c r="B48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B47" i="57"/>
  <c r="Q46" i="57"/>
  <c r="B46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Q45" i="57" s="1"/>
  <c r="B45" i="57"/>
  <c r="Q44" i="57"/>
  <c r="B44" i="57"/>
  <c r="O43" i="57"/>
  <c r="N43" i="57"/>
  <c r="M43" i="57"/>
  <c r="L43" i="57"/>
  <c r="K43" i="57"/>
  <c r="J43" i="57"/>
  <c r="I43" i="57"/>
  <c r="H43" i="57"/>
  <c r="G43" i="57"/>
  <c r="F43" i="57"/>
  <c r="E43" i="57"/>
  <c r="D43" i="57"/>
  <c r="B43" i="57"/>
  <c r="Q42" i="57"/>
  <c r="B42" i="57"/>
  <c r="O41" i="57"/>
  <c r="N41" i="57"/>
  <c r="M41" i="57"/>
  <c r="L41" i="57"/>
  <c r="K41" i="57"/>
  <c r="J41" i="57"/>
  <c r="J17" i="57" s="1"/>
  <c r="I41" i="57"/>
  <c r="H41" i="57"/>
  <c r="G41" i="57"/>
  <c r="F41" i="57"/>
  <c r="E41" i="57"/>
  <c r="D41" i="57"/>
  <c r="B41" i="57"/>
  <c r="Q40" i="57"/>
  <c r="B40" i="57"/>
  <c r="O39" i="57"/>
  <c r="N39" i="57"/>
  <c r="M39" i="57"/>
  <c r="L39" i="57"/>
  <c r="K39" i="57"/>
  <c r="J39" i="57"/>
  <c r="I39" i="57"/>
  <c r="H39" i="57"/>
  <c r="G39" i="57"/>
  <c r="F39" i="57"/>
  <c r="E39" i="57"/>
  <c r="D39" i="57"/>
  <c r="Q39" i="57" s="1"/>
  <c r="B39" i="57"/>
  <c r="Q38" i="57"/>
  <c r="B38" i="57"/>
  <c r="Q37" i="57"/>
  <c r="B37" i="57"/>
  <c r="Q36" i="57"/>
  <c r="B36" i="57"/>
  <c r="Q35" i="57"/>
  <c r="B35" i="57"/>
  <c r="Q34" i="57"/>
  <c r="B34" i="57"/>
  <c r="Q33" i="57"/>
  <c r="B33" i="57"/>
  <c r="Q32" i="57"/>
  <c r="B32" i="57"/>
  <c r="Q31" i="57"/>
  <c r="B31" i="57"/>
  <c r="Q30" i="57"/>
  <c r="B30" i="57"/>
  <c r="Q29" i="57"/>
  <c r="B29" i="57"/>
  <c r="O28" i="57"/>
  <c r="N28" i="57"/>
  <c r="M28" i="57"/>
  <c r="L28" i="57"/>
  <c r="K28" i="57"/>
  <c r="J28" i="57"/>
  <c r="I28" i="57"/>
  <c r="H28" i="57"/>
  <c r="G28" i="57"/>
  <c r="F28" i="57"/>
  <c r="E28" i="57"/>
  <c r="D28" i="57"/>
  <c r="Q28" i="57" s="1"/>
  <c r="B28" i="57"/>
  <c r="Q27" i="57"/>
  <c r="B27" i="57"/>
  <c r="Q26" i="57"/>
  <c r="B26" i="57"/>
  <c r="Q25" i="57"/>
  <c r="B25" i="57"/>
  <c r="Q24" i="57"/>
  <c r="B24" i="57"/>
  <c r="Q23" i="57"/>
  <c r="B23" i="57"/>
  <c r="Q22" i="57"/>
  <c r="B22" i="57"/>
  <c r="Q21" i="57"/>
  <c r="B21" i="57"/>
  <c r="Q20" i="57"/>
  <c r="B20" i="57"/>
  <c r="Q19" i="57"/>
  <c r="B19" i="57"/>
  <c r="O18" i="57"/>
  <c r="N18" i="57"/>
  <c r="M18" i="57"/>
  <c r="L18" i="57"/>
  <c r="L17" i="57" s="1"/>
  <c r="K18" i="57"/>
  <c r="J18" i="57"/>
  <c r="I18" i="57"/>
  <c r="H18" i="57"/>
  <c r="G18" i="57"/>
  <c r="F18" i="57"/>
  <c r="E18" i="57"/>
  <c r="D18" i="57"/>
  <c r="B18" i="57"/>
  <c r="O17" i="57"/>
  <c r="M17" i="57"/>
  <c r="K17" i="57"/>
  <c r="I17" i="57"/>
  <c r="H17" i="57"/>
  <c r="G17" i="57"/>
  <c r="E17" i="57"/>
  <c r="O15" i="57"/>
  <c r="G15" i="57"/>
  <c r="Q14" i="57"/>
  <c r="O14" i="57"/>
  <c r="O64" i="57" s="1"/>
  <c r="L14" i="57"/>
  <c r="H14" i="57"/>
  <c r="H64" i="57" s="1"/>
  <c r="H69" i="57" s="1"/>
  <c r="H70" i="57" s="1"/>
  <c r="G14" i="57"/>
  <c r="G64" i="57" s="1"/>
  <c r="D14" i="57"/>
  <c r="Q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Q10" i="57"/>
  <c r="O10" i="57"/>
  <c r="N10" i="57"/>
  <c r="N14" i="57" s="1"/>
  <c r="M10" i="57"/>
  <c r="M14" i="57" s="1"/>
  <c r="M15" i="57" s="1"/>
  <c r="L10" i="57"/>
  <c r="K10" i="57"/>
  <c r="K14" i="57" s="1"/>
  <c r="J10" i="57"/>
  <c r="J14" i="57" s="1"/>
  <c r="I10" i="57"/>
  <c r="I14" i="57" s="1"/>
  <c r="H10" i="57"/>
  <c r="G10" i="57"/>
  <c r="F10" i="57"/>
  <c r="F14" i="57" s="1"/>
  <c r="E10" i="57"/>
  <c r="E14" i="57" s="1"/>
  <c r="E15" i="57" s="1"/>
  <c r="D10" i="57"/>
  <c r="O8" i="57"/>
  <c r="N8" i="57"/>
  <c r="M8" i="57"/>
  <c r="L8" i="57"/>
  <c r="K8" i="57"/>
  <c r="J8" i="57"/>
  <c r="I8" i="57"/>
  <c r="H8" i="57"/>
  <c r="G8" i="57"/>
  <c r="F8" i="57"/>
  <c r="E8" i="57"/>
  <c r="D8" i="57"/>
  <c r="B5" i="57"/>
  <c r="Q76" i="56"/>
  <c r="D71" i="56"/>
  <c r="Q71" i="56" s="1"/>
  <c r="Q69" i="56"/>
  <c r="B69" i="56"/>
  <c r="O68" i="56"/>
  <c r="N68" i="56"/>
  <c r="M68" i="56"/>
  <c r="L68" i="56"/>
  <c r="K68" i="56"/>
  <c r="J68" i="56"/>
  <c r="I68" i="56"/>
  <c r="H68" i="56"/>
  <c r="G68" i="56"/>
  <c r="F68" i="56"/>
  <c r="Q68" i="56" s="1"/>
  <c r="E68" i="56"/>
  <c r="D68" i="56"/>
  <c r="B68" i="56"/>
  <c r="Q67" i="56"/>
  <c r="B67" i="56"/>
  <c r="O66" i="56"/>
  <c r="N66" i="56"/>
  <c r="M66" i="56"/>
  <c r="L66" i="56"/>
  <c r="K66" i="56"/>
  <c r="J66" i="56"/>
  <c r="I66" i="56"/>
  <c r="H66" i="56"/>
  <c r="G66" i="56"/>
  <c r="F66" i="56"/>
  <c r="Q66" i="56" s="1"/>
  <c r="E66" i="56"/>
  <c r="D66" i="56"/>
  <c r="B66" i="56"/>
  <c r="Q65" i="56"/>
  <c r="B65" i="56"/>
  <c r="O64" i="56"/>
  <c r="N64" i="56"/>
  <c r="M64" i="56"/>
  <c r="L64" i="56"/>
  <c r="K64" i="56"/>
  <c r="J64" i="56"/>
  <c r="I64" i="56"/>
  <c r="H64" i="56"/>
  <c r="G64" i="56"/>
  <c r="F64" i="56"/>
  <c r="E64" i="56"/>
  <c r="D64" i="56"/>
  <c r="B64" i="56"/>
  <c r="Q63" i="56"/>
  <c r="B63" i="56"/>
  <c r="Q62" i="56"/>
  <c r="B62" i="56"/>
  <c r="O61" i="56"/>
  <c r="N61" i="56"/>
  <c r="M61" i="56"/>
  <c r="L61" i="56"/>
  <c r="K61" i="56"/>
  <c r="J61" i="56"/>
  <c r="I61" i="56"/>
  <c r="H61" i="56"/>
  <c r="G61" i="56"/>
  <c r="F61" i="56"/>
  <c r="E61" i="56"/>
  <c r="D61" i="56"/>
  <c r="B61" i="56"/>
  <c r="Q60" i="56"/>
  <c r="B60" i="56"/>
  <c r="O59" i="56"/>
  <c r="N59" i="56"/>
  <c r="M59" i="56"/>
  <c r="L59" i="56"/>
  <c r="K59" i="56"/>
  <c r="J59" i="56"/>
  <c r="I59" i="56"/>
  <c r="H59" i="56"/>
  <c r="G59" i="56"/>
  <c r="F59" i="56"/>
  <c r="E59" i="56"/>
  <c r="D59" i="56"/>
  <c r="Q59" i="56" s="1"/>
  <c r="B59" i="56"/>
  <c r="Q58" i="56"/>
  <c r="B58" i="56"/>
  <c r="O57" i="56"/>
  <c r="N57" i="56"/>
  <c r="M57" i="56"/>
  <c r="L57" i="56"/>
  <c r="K57" i="56"/>
  <c r="J57" i="56"/>
  <c r="I57" i="56"/>
  <c r="H57" i="56"/>
  <c r="G57" i="56"/>
  <c r="F57" i="56"/>
  <c r="E57" i="56"/>
  <c r="D57" i="56"/>
  <c r="B57" i="56"/>
  <c r="Q56" i="56"/>
  <c r="B56" i="56"/>
  <c r="Q55" i="56"/>
  <c r="B55" i="56"/>
  <c r="Q54" i="56"/>
  <c r="B54" i="56"/>
  <c r="O53" i="56"/>
  <c r="N53" i="56"/>
  <c r="M53" i="56"/>
  <c r="L53" i="56"/>
  <c r="K53" i="56"/>
  <c r="J53" i="56"/>
  <c r="I53" i="56"/>
  <c r="H53" i="56"/>
  <c r="G53" i="56"/>
  <c r="F53" i="56"/>
  <c r="E53" i="56"/>
  <c r="D53" i="56"/>
  <c r="Q53" i="56" s="1"/>
  <c r="B53" i="56"/>
  <c r="Q52" i="56"/>
  <c r="B52" i="56"/>
  <c r="O51" i="56"/>
  <c r="N51" i="56"/>
  <c r="M51" i="56"/>
  <c r="L51" i="56"/>
  <c r="K51" i="56"/>
  <c r="J51" i="56"/>
  <c r="I51" i="56"/>
  <c r="H51" i="56"/>
  <c r="G51" i="56"/>
  <c r="F51" i="56"/>
  <c r="E51" i="56"/>
  <c r="D51" i="56"/>
  <c r="Q51" i="56" s="1"/>
  <c r="B51" i="56"/>
  <c r="Q50" i="56"/>
  <c r="B50" i="56"/>
  <c r="O49" i="56"/>
  <c r="N49" i="56"/>
  <c r="M49" i="56"/>
  <c r="L49" i="56"/>
  <c r="K49" i="56"/>
  <c r="J49" i="56"/>
  <c r="I49" i="56"/>
  <c r="H49" i="56"/>
  <c r="G49" i="56"/>
  <c r="F49" i="56"/>
  <c r="E49" i="56"/>
  <c r="D49" i="56"/>
  <c r="Q49" i="56" s="1"/>
  <c r="B49" i="56"/>
  <c r="Q48" i="56"/>
  <c r="B48" i="56"/>
  <c r="O47" i="56"/>
  <c r="N47" i="56"/>
  <c r="M47" i="56"/>
  <c r="L47" i="56"/>
  <c r="K47" i="56"/>
  <c r="J47" i="56"/>
  <c r="I47" i="56"/>
  <c r="H47" i="56"/>
  <c r="G47" i="56"/>
  <c r="F47" i="56"/>
  <c r="E47" i="56"/>
  <c r="D47" i="56"/>
  <c r="Q47" i="56" s="1"/>
  <c r="B47" i="56"/>
  <c r="Q46" i="56"/>
  <c r="B46" i="56"/>
  <c r="O45" i="56"/>
  <c r="N45" i="56"/>
  <c r="M45" i="56"/>
  <c r="L45" i="56"/>
  <c r="K45" i="56"/>
  <c r="J45" i="56"/>
  <c r="I45" i="56"/>
  <c r="H45" i="56"/>
  <c r="G45" i="56"/>
  <c r="F45" i="56"/>
  <c r="E45" i="56"/>
  <c r="D45" i="56"/>
  <c r="Q45" i="56" s="1"/>
  <c r="B45" i="56"/>
  <c r="Q44" i="56"/>
  <c r="B44" i="56"/>
  <c r="O43" i="56"/>
  <c r="N43" i="56"/>
  <c r="M43" i="56"/>
  <c r="L43" i="56"/>
  <c r="K43" i="56"/>
  <c r="J43" i="56"/>
  <c r="I43" i="56"/>
  <c r="H43" i="56"/>
  <c r="G43" i="56"/>
  <c r="F43" i="56"/>
  <c r="E43" i="56"/>
  <c r="D43" i="56"/>
  <c r="B43" i="56"/>
  <c r="Q42" i="56"/>
  <c r="B42" i="56"/>
  <c r="O41" i="56"/>
  <c r="N41" i="56"/>
  <c r="M41" i="56"/>
  <c r="L41" i="56"/>
  <c r="K41" i="56"/>
  <c r="J41" i="56"/>
  <c r="I41" i="56"/>
  <c r="H41" i="56"/>
  <c r="G41" i="56"/>
  <c r="F41" i="56"/>
  <c r="E41" i="56"/>
  <c r="D41" i="56"/>
  <c r="B41" i="56"/>
  <c r="Q40" i="56"/>
  <c r="B40" i="56"/>
  <c r="O39" i="56"/>
  <c r="N39" i="56"/>
  <c r="M39" i="56"/>
  <c r="L39" i="56"/>
  <c r="K39" i="56"/>
  <c r="J39" i="56"/>
  <c r="I39" i="56"/>
  <c r="H39" i="56"/>
  <c r="G39" i="56"/>
  <c r="F39" i="56"/>
  <c r="E39" i="56"/>
  <c r="D39" i="56"/>
  <c r="B39" i="56"/>
  <c r="Q38" i="56"/>
  <c r="B38" i="56"/>
  <c r="Q37" i="56"/>
  <c r="B37" i="56"/>
  <c r="Q36" i="56"/>
  <c r="B36" i="56"/>
  <c r="Q35" i="56"/>
  <c r="B35" i="56"/>
  <c r="Q34" i="56"/>
  <c r="B34" i="56"/>
  <c r="Q33" i="56"/>
  <c r="B33" i="56"/>
  <c r="Q32" i="56"/>
  <c r="B32" i="56"/>
  <c r="Q31" i="56"/>
  <c r="B31" i="56"/>
  <c r="Q30" i="56"/>
  <c r="B30" i="56"/>
  <c r="Q29" i="56"/>
  <c r="B29" i="56"/>
  <c r="O28" i="56"/>
  <c r="N28" i="56"/>
  <c r="M28" i="56"/>
  <c r="L28" i="56"/>
  <c r="K28" i="56"/>
  <c r="J28" i="56"/>
  <c r="I28" i="56"/>
  <c r="H28" i="56"/>
  <c r="G28" i="56"/>
  <c r="F28" i="56"/>
  <c r="E28" i="56"/>
  <c r="D28" i="56"/>
  <c r="Q28" i="56" s="1"/>
  <c r="B28" i="56"/>
  <c r="Q27" i="56"/>
  <c r="B27" i="56"/>
  <c r="Q26" i="56"/>
  <c r="B26" i="56"/>
  <c r="Q25" i="56"/>
  <c r="B25" i="56"/>
  <c r="Q24" i="56"/>
  <c r="B24" i="56"/>
  <c r="Q23" i="56"/>
  <c r="B23" i="56"/>
  <c r="Q22" i="56"/>
  <c r="B22" i="56"/>
  <c r="Q21" i="56"/>
  <c r="B21" i="56"/>
  <c r="Q20" i="56"/>
  <c r="B20" i="56"/>
  <c r="Q19" i="56"/>
  <c r="B19" i="56"/>
  <c r="O18" i="56"/>
  <c r="N18" i="56"/>
  <c r="M18" i="56"/>
  <c r="L18" i="56"/>
  <c r="K18" i="56"/>
  <c r="K17" i="56" s="1"/>
  <c r="J18" i="56"/>
  <c r="I18" i="56"/>
  <c r="H18" i="56"/>
  <c r="G18" i="56"/>
  <c r="F18" i="56"/>
  <c r="E18" i="56"/>
  <c r="D18" i="56"/>
  <c r="Q18" i="56" s="1"/>
  <c r="B18" i="56"/>
  <c r="O17" i="56"/>
  <c r="N17" i="56"/>
  <c r="L17" i="56"/>
  <c r="J17" i="56"/>
  <c r="J73" i="56" s="1"/>
  <c r="H17" i="56"/>
  <c r="G17" i="56"/>
  <c r="F17" i="56"/>
  <c r="D17" i="56"/>
  <c r="N15" i="56"/>
  <c r="K14" i="56"/>
  <c r="I14" i="56"/>
  <c r="I15" i="56" s="1"/>
  <c r="Q12" i="56"/>
  <c r="Q14" i="56" s="1"/>
  <c r="O12" i="56"/>
  <c r="O14" i="56" s="1"/>
  <c r="N12" i="56"/>
  <c r="N14" i="56" s="1"/>
  <c r="M12" i="56"/>
  <c r="L12" i="56"/>
  <c r="K12" i="56"/>
  <c r="J12" i="56"/>
  <c r="I12" i="56"/>
  <c r="H12" i="56"/>
  <c r="H14" i="56" s="1"/>
  <c r="G12" i="56"/>
  <c r="G14" i="56" s="1"/>
  <c r="F12" i="56"/>
  <c r="F14" i="56" s="1"/>
  <c r="E12" i="56"/>
  <c r="D12" i="56"/>
  <c r="Q10" i="56"/>
  <c r="O10" i="56"/>
  <c r="N10" i="56"/>
  <c r="M10" i="56"/>
  <c r="M14" i="56" s="1"/>
  <c r="L10" i="56"/>
  <c r="L14" i="56" s="1"/>
  <c r="K10" i="56"/>
  <c r="J10" i="56"/>
  <c r="J14" i="56" s="1"/>
  <c r="J15" i="56" s="1"/>
  <c r="I10" i="56"/>
  <c r="H10" i="56"/>
  <c r="G10" i="56"/>
  <c r="F10" i="56"/>
  <c r="E10" i="56"/>
  <c r="E14" i="56" s="1"/>
  <c r="D10" i="56"/>
  <c r="D14" i="56" s="1"/>
  <c r="O8" i="56"/>
  <c r="N8" i="56"/>
  <c r="M8" i="56"/>
  <c r="L8" i="56"/>
  <c r="K8" i="56"/>
  <c r="J8" i="56"/>
  <c r="I8" i="56"/>
  <c r="H8" i="56"/>
  <c r="G8" i="56"/>
  <c r="F8" i="56"/>
  <c r="E8" i="56"/>
  <c r="D8" i="56"/>
  <c r="B5" i="56"/>
  <c r="Q33" i="55"/>
  <c r="I30" i="55"/>
  <c r="Q28" i="55"/>
  <c r="D28" i="55"/>
  <c r="Q26" i="55"/>
  <c r="B26" i="55"/>
  <c r="Q25" i="55"/>
  <c r="B25" i="55"/>
  <c r="O24" i="55"/>
  <c r="N24" i="55"/>
  <c r="M24" i="55"/>
  <c r="L24" i="55"/>
  <c r="K24" i="55"/>
  <c r="J24" i="55"/>
  <c r="I24" i="55"/>
  <c r="H24" i="55"/>
  <c r="G24" i="55"/>
  <c r="F24" i="55"/>
  <c r="E24" i="55"/>
  <c r="D24" i="55"/>
  <c r="Q24" i="55" s="1"/>
  <c r="B24" i="55"/>
  <c r="Q23" i="55"/>
  <c r="B23" i="55"/>
  <c r="O22" i="55"/>
  <c r="N22" i="55"/>
  <c r="M22" i="55"/>
  <c r="L22" i="55"/>
  <c r="K22" i="55"/>
  <c r="J22" i="55"/>
  <c r="I22" i="55"/>
  <c r="H22" i="55"/>
  <c r="G22" i="55"/>
  <c r="F22" i="55"/>
  <c r="E22" i="55"/>
  <c r="D22" i="55"/>
  <c r="Q22" i="55" s="1"/>
  <c r="B22" i="55"/>
  <c r="Q21" i="55"/>
  <c r="B21" i="55"/>
  <c r="O20" i="55"/>
  <c r="N20" i="55"/>
  <c r="M20" i="55"/>
  <c r="L20" i="55"/>
  <c r="K20" i="55"/>
  <c r="J20" i="55"/>
  <c r="I20" i="55"/>
  <c r="H20" i="55"/>
  <c r="G20" i="55"/>
  <c r="F20" i="55"/>
  <c r="E20" i="55"/>
  <c r="D20" i="55"/>
  <c r="Q20" i="55" s="1"/>
  <c r="B20" i="55"/>
  <c r="Q19" i="55"/>
  <c r="B19" i="55"/>
  <c r="O18" i="55"/>
  <c r="N18" i="55"/>
  <c r="M18" i="55"/>
  <c r="L18" i="55"/>
  <c r="K18" i="55"/>
  <c r="K17" i="55" s="1"/>
  <c r="J18" i="55"/>
  <c r="I18" i="55"/>
  <c r="I17" i="55" s="1"/>
  <c r="H18" i="55"/>
  <c r="G18" i="55"/>
  <c r="F18" i="55"/>
  <c r="E18" i="55"/>
  <c r="D18" i="55"/>
  <c r="B18" i="55"/>
  <c r="O17" i="55"/>
  <c r="N17" i="55"/>
  <c r="M17" i="55"/>
  <c r="J17" i="55"/>
  <c r="H17" i="55"/>
  <c r="G17" i="55"/>
  <c r="F17" i="55"/>
  <c r="E17" i="55"/>
  <c r="O15" i="55"/>
  <c r="L14" i="55"/>
  <c r="D14" i="55"/>
  <c r="Q12" i="55"/>
  <c r="O12" i="55"/>
  <c r="O14" i="55" s="1"/>
  <c r="O30" i="55" s="1"/>
  <c r="N12" i="55"/>
  <c r="M12" i="55"/>
  <c r="L12" i="55"/>
  <c r="K12" i="55"/>
  <c r="J12" i="55"/>
  <c r="I12" i="55"/>
  <c r="I14" i="55" s="1"/>
  <c r="I15" i="55" s="1"/>
  <c r="H12" i="55"/>
  <c r="G12" i="55"/>
  <c r="G14" i="55" s="1"/>
  <c r="F12" i="55"/>
  <c r="E12" i="55"/>
  <c r="D12" i="55"/>
  <c r="Q10" i="55"/>
  <c r="Q14" i="55" s="1"/>
  <c r="O10" i="55"/>
  <c r="N10" i="55"/>
  <c r="N14" i="55" s="1"/>
  <c r="M10" i="55"/>
  <c r="M14" i="55" s="1"/>
  <c r="L10" i="55"/>
  <c r="K10" i="55"/>
  <c r="K14" i="55" s="1"/>
  <c r="J10" i="55"/>
  <c r="J14" i="55" s="1"/>
  <c r="I10" i="55"/>
  <c r="H10" i="55"/>
  <c r="H14" i="55" s="1"/>
  <c r="G10" i="55"/>
  <c r="F10" i="55"/>
  <c r="F14" i="55" s="1"/>
  <c r="E10" i="55"/>
  <c r="E14" i="55" s="1"/>
  <c r="D10" i="55"/>
  <c r="O8" i="55"/>
  <c r="N8" i="55"/>
  <c r="M8" i="55"/>
  <c r="L8" i="55"/>
  <c r="K8" i="55"/>
  <c r="J8" i="55"/>
  <c r="I8" i="55"/>
  <c r="H8" i="55"/>
  <c r="G8" i="55"/>
  <c r="F8" i="55"/>
  <c r="E8" i="55"/>
  <c r="D8" i="55"/>
  <c r="B5" i="55"/>
  <c r="O30" i="54"/>
  <c r="N30" i="54"/>
  <c r="M30" i="54"/>
  <c r="L30" i="54"/>
  <c r="K30" i="54"/>
  <c r="J30" i="54"/>
  <c r="I30" i="54"/>
  <c r="H30" i="54"/>
  <c r="G30" i="54"/>
  <c r="F30" i="54"/>
  <c r="E30" i="54"/>
  <c r="D30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Q24" i="54"/>
  <c r="L21" i="54"/>
  <c r="Q19" i="54"/>
  <c r="D19" i="54"/>
  <c r="Q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M14" i="54"/>
  <c r="E14" i="54"/>
  <c r="Q12" i="54"/>
  <c r="O12" i="54"/>
  <c r="N12" i="54"/>
  <c r="M12" i="54"/>
  <c r="L12" i="54"/>
  <c r="K12" i="54"/>
  <c r="J12" i="54"/>
  <c r="J14" i="54" s="1"/>
  <c r="I12" i="54"/>
  <c r="H12" i="54"/>
  <c r="G12" i="54"/>
  <c r="F12" i="54"/>
  <c r="E12" i="54"/>
  <c r="D12" i="54"/>
  <c r="Q10" i="54"/>
  <c r="Q14" i="54" s="1"/>
  <c r="Q21" i="54" s="1"/>
  <c r="O10" i="54"/>
  <c r="O14" i="54" s="1"/>
  <c r="N10" i="54"/>
  <c r="N14" i="54" s="1"/>
  <c r="M10" i="54"/>
  <c r="L10" i="54"/>
  <c r="L14" i="54" s="1"/>
  <c r="L15" i="54" s="1"/>
  <c r="K10" i="54"/>
  <c r="K14" i="54" s="1"/>
  <c r="J10" i="54"/>
  <c r="I10" i="54"/>
  <c r="I14" i="54" s="1"/>
  <c r="H10" i="54"/>
  <c r="H14" i="54" s="1"/>
  <c r="H21" i="54" s="1"/>
  <c r="G10" i="54"/>
  <c r="G14" i="54" s="1"/>
  <c r="F10" i="54"/>
  <c r="F14" i="54" s="1"/>
  <c r="E10" i="54"/>
  <c r="D10" i="54"/>
  <c r="D14" i="54" s="1"/>
  <c r="D15" i="54" s="1"/>
  <c r="O8" i="54"/>
  <c r="N8" i="54"/>
  <c r="M8" i="54"/>
  <c r="L8" i="54"/>
  <c r="K8" i="54"/>
  <c r="J8" i="54"/>
  <c r="I8" i="54"/>
  <c r="H8" i="54"/>
  <c r="G8" i="54"/>
  <c r="F8" i="54"/>
  <c r="E8" i="54"/>
  <c r="D8" i="54"/>
  <c r="B5" i="54"/>
  <c r="B39" i="53"/>
  <c r="B38" i="53"/>
  <c r="G34" i="53"/>
  <c r="E34" i="53"/>
  <c r="D34" i="53"/>
  <c r="G33" i="53"/>
  <c r="E33" i="53"/>
  <c r="D33" i="53"/>
  <c r="G28" i="53"/>
  <c r="E28" i="53"/>
  <c r="D28" i="53"/>
  <c r="G23" i="53"/>
  <c r="E23" i="53"/>
  <c r="D23" i="53"/>
  <c r="G21" i="53"/>
  <c r="E21" i="53"/>
  <c r="D21" i="53"/>
  <c r="B21" i="53"/>
  <c r="G20" i="53"/>
  <c r="E20" i="53"/>
  <c r="D20" i="53"/>
  <c r="B20" i="53"/>
  <c r="G19" i="53"/>
  <c r="E19" i="53"/>
  <c r="D19" i="53"/>
  <c r="G14" i="53"/>
  <c r="E14" i="53"/>
  <c r="D14" i="53"/>
  <c r="B14" i="53"/>
  <c r="G13" i="53"/>
  <c r="E13" i="53"/>
  <c r="D13" i="53"/>
  <c r="G11" i="53"/>
  <c r="E11" i="53"/>
  <c r="D11" i="53"/>
  <c r="B11" i="53"/>
  <c r="G10" i="53"/>
  <c r="E10" i="53"/>
  <c r="D10" i="53"/>
  <c r="E8" i="53"/>
  <c r="D8" i="53"/>
  <c r="B39" i="52"/>
  <c r="B38" i="52"/>
  <c r="G34" i="52"/>
  <c r="E34" i="52"/>
  <c r="D34" i="52"/>
  <c r="G33" i="52"/>
  <c r="E33" i="52"/>
  <c r="D33" i="52"/>
  <c r="G28" i="52"/>
  <c r="E28" i="52"/>
  <c r="D28" i="52"/>
  <c r="G23" i="52"/>
  <c r="E23" i="52"/>
  <c r="D23" i="52"/>
  <c r="G21" i="52"/>
  <c r="E21" i="52"/>
  <c r="D21" i="52"/>
  <c r="B21" i="52"/>
  <c r="G20" i="52"/>
  <c r="E20" i="52"/>
  <c r="D20" i="52"/>
  <c r="B20" i="52"/>
  <c r="G19" i="52"/>
  <c r="E19" i="52"/>
  <c r="D19" i="52"/>
  <c r="G14" i="52"/>
  <c r="E14" i="52"/>
  <c r="D14" i="52"/>
  <c r="B14" i="52"/>
  <c r="G13" i="52"/>
  <c r="E13" i="52"/>
  <c r="D13" i="52"/>
  <c r="G11" i="52"/>
  <c r="E11" i="52"/>
  <c r="D11" i="52"/>
  <c r="B11" i="52"/>
  <c r="G10" i="52"/>
  <c r="E10" i="52"/>
  <c r="D10" i="52"/>
  <c r="E8" i="52"/>
  <c r="D8" i="52"/>
  <c r="Q77" i="51"/>
  <c r="D72" i="51"/>
  <c r="Q72" i="51" s="1"/>
  <c r="Q70" i="51"/>
  <c r="B70" i="51"/>
  <c r="O69" i="51"/>
  <c r="N69" i="51"/>
  <c r="M69" i="51"/>
  <c r="L69" i="51"/>
  <c r="K69" i="51"/>
  <c r="J69" i="51"/>
  <c r="I69" i="51"/>
  <c r="H69" i="51"/>
  <c r="G69" i="51"/>
  <c r="F69" i="51"/>
  <c r="F31" i="51" s="1"/>
  <c r="E69" i="51"/>
  <c r="D69" i="51"/>
  <c r="Q69" i="51" s="1"/>
  <c r="B69" i="51"/>
  <c r="Q68" i="51"/>
  <c r="B68" i="51"/>
  <c r="Q67" i="51"/>
  <c r="B67" i="51"/>
  <c r="O66" i="51"/>
  <c r="N66" i="51"/>
  <c r="M66" i="51"/>
  <c r="L66" i="51"/>
  <c r="K66" i="51"/>
  <c r="J66" i="51"/>
  <c r="I66" i="51"/>
  <c r="H66" i="51"/>
  <c r="Q66" i="51" s="1"/>
  <c r="G66" i="51"/>
  <c r="F66" i="51"/>
  <c r="E66" i="51"/>
  <c r="D66" i="51"/>
  <c r="B66" i="51"/>
  <c r="Q65" i="51"/>
  <c r="B65" i="51"/>
  <c r="O64" i="51"/>
  <c r="N64" i="51"/>
  <c r="M64" i="51"/>
  <c r="L64" i="51"/>
  <c r="K64" i="51"/>
  <c r="J64" i="51"/>
  <c r="I64" i="51"/>
  <c r="H64" i="51"/>
  <c r="Q64" i="51" s="1"/>
  <c r="G64" i="51"/>
  <c r="F64" i="51"/>
  <c r="E64" i="51"/>
  <c r="D64" i="51"/>
  <c r="B64" i="51"/>
  <c r="Q63" i="51"/>
  <c r="B63" i="51"/>
  <c r="O62" i="51"/>
  <c r="N62" i="51"/>
  <c r="M62" i="51"/>
  <c r="L62" i="51"/>
  <c r="K62" i="51"/>
  <c r="J62" i="51"/>
  <c r="I62" i="51"/>
  <c r="H62" i="51"/>
  <c r="Q62" i="51" s="1"/>
  <c r="G62" i="51"/>
  <c r="F62" i="51"/>
  <c r="E62" i="51"/>
  <c r="D62" i="51"/>
  <c r="B62" i="51"/>
  <c r="Q61" i="51"/>
  <c r="B61" i="51"/>
  <c r="O60" i="51"/>
  <c r="N60" i="51"/>
  <c r="M60" i="51"/>
  <c r="L60" i="51"/>
  <c r="K60" i="51"/>
  <c r="J60" i="51"/>
  <c r="I60" i="51"/>
  <c r="H60" i="51"/>
  <c r="Q60" i="51" s="1"/>
  <c r="G60" i="51"/>
  <c r="F60" i="51"/>
  <c r="E60" i="51"/>
  <c r="D60" i="51"/>
  <c r="B60" i="51"/>
  <c r="Q59" i="51"/>
  <c r="B59" i="51"/>
  <c r="O58" i="51"/>
  <c r="N58" i="51"/>
  <c r="M58" i="51"/>
  <c r="L58" i="51"/>
  <c r="K58" i="51"/>
  <c r="J58" i="51"/>
  <c r="I58" i="51"/>
  <c r="H58" i="51"/>
  <c r="Q58" i="51" s="1"/>
  <c r="G58" i="51"/>
  <c r="F58" i="51"/>
  <c r="E58" i="51"/>
  <c r="D58" i="51"/>
  <c r="B58" i="51"/>
  <c r="Q57" i="51"/>
  <c r="B57" i="51"/>
  <c r="O56" i="51"/>
  <c r="N56" i="51"/>
  <c r="M56" i="51"/>
  <c r="L56" i="51"/>
  <c r="K56" i="51"/>
  <c r="J56" i="51"/>
  <c r="I56" i="51"/>
  <c r="H56" i="51"/>
  <c r="Q56" i="51" s="1"/>
  <c r="G56" i="51"/>
  <c r="F56" i="51"/>
  <c r="E56" i="51"/>
  <c r="D56" i="51"/>
  <c r="B56" i="51"/>
  <c r="Q55" i="51"/>
  <c r="B55" i="51"/>
  <c r="O54" i="51"/>
  <c r="N54" i="51"/>
  <c r="M54" i="51"/>
  <c r="L54" i="51"/>
  <c r="K54" i="51"/>
  <c r="J54" i="51"/>
  <c r="I54" i="51"/>
  <c r="H54" i="51"/>
  <c r="H31" i="51" s="1"/>
  <c r="G54" i="51"/>
  <c r="F54" i="51"/>
  <c r="E54" i="51"/>
  <c r="D54" i="51"/>
  <c r="B54" i="51"/>
  <c r="Q53" i="51"/>
  <c r="B53" i="51"/>
  <c r="Q52" i="51"/>
  <c r="B52" i="51"/>
  <c r="Q51" i="51"/>
  <c r="B51" i="51"/>
  <c r="Q50" i="51"/>
  <c r="B50" i="51"/>
  <c r="Q49" i="51"/>
  <c r="B49" i="51"/>
  <c r="Q48" i="51"/>
  <c r="B48" i="51"/>
  <c r="Q47" i="51"/>
  <c r="B47" i="51"/>
  <c r="Q46" i="51"/>
  <c r="B46" i="51"/>
  <c r="Q45" i="51"/>
  <c r="B45" i="51"/>
  <c r="Q44" i="51"/>
  <c r="B44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B43" i="51"/>
  <c r="Q42" i="51"/>
  <c r="B42" i="51"/>
  <c r="Q41" i="51"/>
  <c r="B41" i="51"/>
  <c r="Q40" i="51"/>
  <c r="B40" i="51"/>
  <c r="Q39" i="51"/>
  <c r="B39" i="51"/>
  <c r="Q38" i="51"/>
  <c r="B38" i="51"/>
  <c r="Q37" i="51"/>
  <c r="B37" i="51"/>
  <c r="Q36" i="51"/>
  <c r="B36" i="51"/>
  <c r="Q35" i="51"/>
  <c r="B35" i="51"/>
  <c r="Q34" i="51"/>
  <c r="B34" i="51"/>
  <c r="Q33" i="51"/>
  <c r="B33" i="51"/>
  <c r="O32" i="51"/>
  <c r="N32" i="51"/>
  <c r="N31" i="51" s="1"/>
  <c r="M32" i="51"/>
  <c r="L32" i="51"/>
  <c r="L31" i="51" s="1"/>
  <c r="K32" i="51"/>
  <c r="J32" i="51"/>
  <c r="I32" i="51"/>
  <c r="H32" i="51"/>
  <c r="G32" i="51"/>
  <c r="F32" i="51"/>
  <c r="E32" i="51"/>
  <c r="D32" i="51"/>
  <c r="B32" i="51"/>
  <c r="O31" i="51"/>
  <c r="M31" i="51"/>
  <c r="K31" i="51"/>
  <c r="J31" i="51"/>
  <c r="I31" i="51"/>
  <c r="G31" i="51"/>
  <c r="E31" i="51"/>
  <c r="G29" i="51"/>
  <c r="L28" i="51"/>
  <c r="Q26" i="51"/>
  <c r="B26" i="51"/>
  <c r="Q25" i="51"/>
  <c r="B25" i="51"/>
  <c r="Q24" i="51"/>
  <c r="B24" i="51"/>
  <c r="Q23" i="51"/>
  <c r="B23" i="51"/>
  <c r="Q22" i="51"/>
  <c r="B22" i="51"/>
  <c r="Q21" i="51"/>
  <c r="B21" i="51"/>
  <c r="Q20" i="51"/>
  <c r="B20" i="51"/>
  <c r="Q19" i="51"/>
  <c r="B19" i="51"/>
  <c r="Q18" i="51"/>
  <c r="B18" i="51"/>
  <c r="Q17" i="51"/>
  <c r="Q16" i="51" s="1"/>
  <c r="B17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D14" i="51"/>
  <c r="Q14" i="51" s="1"/>
  <c r="B14" i="51"/>
  <c r="Q13" i="51"/>
  <c r="D13" i="51"/>
  <c r="B13" i="51"/>
  <c r="Q12" i="51"/>
  <c r="D12" i="51"/>
  <c r="B12" i="51"/>
  <c r="Q11" i="51"/>
  <c r="Q10" i="51" s="1"/>
  <c r="Q28" i="51" s="1"/>
  <c r="D11" i="51"/>
  <c r="B11" i="51"/>
  <c r="O10" i="51"/>
  <c r="O28" i="51" s="1"/>
  <c r="O74" i="51" s="1"/>
  <c r="N10" i="51"/>
  <c r="N28" i="51" s="1"/>
  <c r="M10" i="51"/>
  <c r="L10" i="51"/>
  <c r="K10" i="51"/>
  <c r="K28" i="51" s="1"/>
  <c r="J10" i="51"/>
  <c r="J28" i="51" s="1"/>
  <c r="I10" i="51"/>
  <c r="I28" i="51" s="1"/>
  <c r="H10" i="51"/>
  <c r="H28" i="51" s="1"/>
  <c r="G10" i="51"/>
  <c r="G28" i="51" s="1"/>
  <c r="F10" i="51"/>
  <c r="F28" i="51" s="1"/>
  <c r="E10" i="51"/>
  <c r="O8" i="51"/>
  <c r="N8" i="51"/>
  <c r="M8" i="51"/>
  <c r="L8" i="51"/>
  <c r="K8" i="51"/>
  <c r="J8" i="51"/>
  <c r="I8" i="51"/>
  <c r="H8" i="51"/>
  <c r="G8" i="51"/>
  <c r="F8" i="51"/>
  <c r="E8" i="51"/>
  <c r="D8" i="51"/>
  <c r="B39" i="50"/>
  <c r="B38" i="50"/>
  <c r="G34" i="50"/>
  <c r="E34" i="50"/>
  <c r="D34" i="50"/>
  <c r="G33" i="50"/>
  <c r="E33" i="50"/>
  <c r="D33" i="50"/>
  <c r="G28" i="50"/>
  <c r="E28" i="50"/>
  <c r="D28" i="50"/>
  <c r="G23" i="50"/>
  <c r="E23" i="50"/>
  <c r="D23" i="50"/>
  <c r="G21" i="50"/>
  <c r="E21" i="50"/>
  <c r="D21" i="50"/>
  <c r="B21" i="50"/>
  <c r="G20" i="50"/>
  <c r="E20" i="50"/>
  <c r="D20" i="50"/>
  <c r="B20" i="50"/>
  <c r="G19" i="50"/>
  <c r="E19" i="50"/>
  <c r="D19" i="50"/>
  <c r="G14" i="50"/>
  <c r="E14" i="50"/>
  <c r="D14" i="50"/>
  <c r="B14" i="50"/>
  <c r="G13" i="50"/>
  <c r="E13" i="50"/>
  <c r="D13" i="50"/>
  <c r="G11" i="50"/>
  <c r="E11" i="50"/>
  <c r="D11" i="50"/>
  <c r="B11" i="50"/>
  <c r="G10" i="50"/>
  <c r="E10" i="50"/>
  <c r="D10" i="50"/>
  <c r="E8" i="50"/>
  <c r="D8" i="50"/>
  <c r="B39" i="49"/>
  <c r="B38" i="49"/>
  <c r="G34" i="49"/>
  <c r="E34" i="49"/>
  <c r="D34" i="49"/>
  <c r="G33" i="49"/>
  <c r="E33" i="49"/>
  <c r="D33" i="49"/>
  <c r="G28" i="49"/>
  <c r="E28" i="49"/>
  <c r="D28" i="49"/>
  <c r="G23" i="49"/>
  <c r="E23" i="49"/>
  <c r="D23" i="49"/>
  <c r="G21" i="49"/>
  <c r="E21" i="49"/>
  <c r="D21" i="49"/>
  <c r="B21" i="49"/>
  <c r="G20" i="49"/>
  <c r="E20" i="49"/>
  <c r="D20" i="49"/>
  <c r="B20" i="49"/>
  <c r="G19" i="49"/>
  <c r="E19" i="49"/>
  <c r="D19" i="49"/>
  <c r="G14" i="49"/>
  <c r="E14" i="49"/>
  <c r="D14" i="49"/>
  <c r="B14" i="49"/>
  <c r="G13" i="49"/>
  <c r="E13" i="49"/>
  <c r="D13" i="49"/>
  <c r="G11" i="49"/>
  <c r="E11" i="49"/>
  <c r="D11" i="49"/>
  <c r="B11" i="49"/>
  <c r="G10" i="49"/>
  <c r="E10" i="49"/>
  <c r="D10" i="49"/>
  <c r="E8" i="49"/>
  <c r="D8" i="49"/>
  <c r="Q73" i="48"/>
  <c r="D68" i="48"/>
  <c r="Q68" i="48" s="1"/>
  <c r="Q66" i="48"/>
  <c r="B66" i="48"/>
  <c r="O65" i="48"/>
  <c r="N65" i="48"/>
  <c r="M65" i="48"/>
  <c r="L65" i="48"/>
  <c r="K65" i="48"/>
  <c r="J65" i="48"/>
  <c r="I65" i="48"/>
  <c r="H65" i="48"/>
  <c r="G65" i="48"/>
  <c r="F65" i="48"/>
  <c r="E65" i="48"/>
  <c r="D65" i="48"/>
  <c r="Q65" i="48" s="1"/>
  <c r="B65" i="48"/>
  <c r="Q64" i="48"/>
  <c r="B64" i="48"/>
  <c r="O63" i="48"/>
  <c r="N63" i="48"/>
  <c r="M63" i="48"/>
  <c r="L63" i="48"/>
  <c r="K63" i="48"/>
  <c r="J63" i="48"/>
  <c r="I63" i="48"/>
  <c r="H63" i="48"/>
  <c r="G63" i="48"/>
  <c r="F63" i="48"/>
  <c r="E63" i="48"/>
  <c r="D63" i="48"/>
  <c r="Q63" i="48" s="1"/>
  <c r="B63" i="48"/>
  <c r="Q62" i="48"/>
  <c r="B62" i="48"/>
  <c r="Q61" i="48"/>
  <c r="B61" i="48"/>
  <c r="O60" i="48"/>
  <c r="N60" i="48"/>
  <c r="M60" i="48"/>
  <c r="L60" i="48"/>
  <c r="K60" i="48"/>
  <c r="J60" i="48"/>
  <c r="I60" i="48"/>
  <c r="H60" i="48"/>
  <c r="G60" i="48"/>
  <c r="F60" i="48"/>
  <c r="E60" i="48"/>
  <c r="Q60" i="48" s="1"/>
  <c r="D60" i="48"/>
  <c r="B60" i="48"/>
  <c r="Q59" i="48"/>
  <c r="B59" i="48"/>
  <c r="O58" i="48"/>
  <c r="N58" i="48"/>
  <c r="M58" i="48"/>
  <c r="L58" i="48"/>
  <c r="K58" i="48"/>
  <c r="J58" i="48"/>
  <c r="I58" i="48"/>
  <c r="H58" i="48"/>
  <c r="G58" i="48"/>
  <c r="F58" i="48"/>
  <c r="E58" i="48"/>
  <c r="D58" i="48"/>
  <c r="B58" i="48"/>
  <c r="Q57" i="48"/>
  <c r="B57" i="48"/>
  <c r="Q56" i="48"/>
  <c r="B56" i="48"/>
  <c r="Q55" i="48"/>
  <c r="B55" i="48"/>
  <c r="O54" i="48"/>
  <c r="N54" i="48"/>
  <c r="M54" i="48"/>
  <c r="L54" i="48"/>
  <c r="K54" i="48"/>
  <c r="J54" i="48"/>
  <c r="I54" i="48"/>
  <c r="H54" i="48"/>
  <c r="G54" i="48"/>
  <c r="G18" i="48" s="1"/>
  <c r="F54" i="48"/>
  <c r="E54" i="48"/>
  <c r="D54" i="48"/>
  <c r="B54" i="48"/>
  <c r="Q53" i="48"/>
  <c r="B53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Q52" i="48" s="1"/>
  <c r="B52" i="48"/>
  <c r="Q51" i="48"/>
  <c r="B51" i="48"/>
  <c r="O50" i="48"/>
  <c r="N50" i="48"/>
  <c r="M50" i="48"/>
  <c r="L50" i="48"/>
  <c r="K50" i="48"/>
  <c r="J50" i="48"/>
  <c r="I50" i="48"/>
  <c r="H50" i="48"/>
  <c r="G50" i="48"/>
  <c r="F50" i="48"/>
  <c r="E50" i="48"/>
  <c r="D50" i="48"/>
  <c r="Q50" i="48" s="1"/>
  <c r="B50" i="48"/>
  <c r="Q49" i="48"/>
  <c r="B49" i="48"/>
  <c r="O48" i="48"/>
  <c r="N48" i="48"/>
  <c r="M48" i="48"/>
  <c r="L48" i="48"/>
  <c r="K48" i="48"/>
  <c r="J48" i="48"/>
  <c r="I48" i="48"/>
  <c r="H48" i="48"/>
  <c r="G48" i="48"/>
  <c r="F48" i="48"/>
  <c r="E48" i="48"/>
  <c r="D48" i="48"/>
  <c r="Q48" i="48" s="1"/>
  <c r="B48" i="48"/>
  <c r="Q47" i="48"/>
  <c r="B47" i="48"/>
  <c r="O46" i="48"/>
  <c r="N46" i="48"/>
  <c r="M46" i="48"/>
  <c r="L46" i="48"/>
  <c r="K46" i="48"/>
  <c r="J46" i="48"/>
  <c r="I46" i="48"/>
  <c r="H46" i="48"/>
  <c r="G46" i="48"/>
  <c r="F46" i="48"/>
  <c r="E46" i="48"/>
  <c r="D46" i="48"/>
  <c r="B46" i="48"/>
  <c r="Q45" i="48"/>
  <c r="B45" i="48"/>
  <c r="O44" i="48"/>
  <c r="N44" i="48"/>
  <c r="M44" i="48"/>
  <c r="L44" i="48"/>
  <c r="K44" i="48"/>
  <c r="J44" i="48"/>
  <c r="I44" i="48"/>
  <c r="H44" i="48"/>
  <c r="G44" i="48"/>
  <c r="F44" i="48"/>
  <c r="E44" i="48"/>
  <c r="D44" i="48"/>
  <c r="B44" i="48"/>
  <c r="Q43" i="48"/>
  <c r="B43" i="48"/>
  <c r="O42" i="48"/>
  <c r="N42" i="48"/>
  <c r="M42" i="48"/>
  <c r="L42" i="48"/>
  <c r="K42" i="48"/>
  <c r="J42" i="48"/>
  <c r="I42" i="48"/>
  <c r="H42" i="48"/>
  <c r="G42" i="48"/>
  <c r="F42" i="48"/>
  <c r="E42" i="48"/>
  <c r="D42" i="48"/>
  <c r="B42" i="48"/>
  <c r="Q41" i="48"/>
  <c r="B41" i="48"/>
  <c r="O40" i="48"/>
  <c r="N40" i="48"/>
  <c r="M40" i="48"/>
  <c r="L40" i="48"/>
  <c r="K40" i="48"/>
  <c r="J40" i="48"/>
  <c r="I40" i="48"/>
  <c r="H40" i="48"/>
  <c r="G40" i="48"/>
  <c r="F40" i="48"/>
  <c r="E40" i="48"/>
  <c r="D40" i="48"/>
  <c r="B40" i="48"/>
  <c r="Q39" i="48"/>
  <c r="B39" i="48"/>
  <c r="Q38" i="48"/>
  <c r="B38" i="48"/>
  <c r="Q37" i="48"/>
  <c r="B37" i="48"/>
  <c r="Q36" i="48"/>
  <c r="B36" i="48"/>
  <c r="Q35" i="48"/>
  <c r="B35" i="48"/>
  <c r="Q34" i="48"/>
  <c r="B34" i="48"/>
  <c r="Q33" i="48"/>
  <c r="B33" i="48"/>
  <c r="Q32" i="48"/>
  <c r="B32" i="48"/>
  <c r="Q31" i="48"/>
  <c r="B31" i="48"/>
  <c r="Q30" i="48"/>
  <c r="B30" i="48"/>
  <c r="O29" i="48"/>
  <c r="N29" i="48"/>
  <c r="M29" i="48"/>
  <c r="L29" i="48"/>
  <c r="K29" i="48"/>
  <c r="J29" i="48"/>
  <c r="I29" i="48"/>
  <c r="H29" i="48"/>
  <c r="G29" i="48"/>
  <c r="F29" i="48"/>
  <c r="E29" i="48"/>
  <c r="D29" i="48"/>
  <c r="B29" i="48"/>
  <c r="Q28" i="48"/>
  <c r="B28" i="48"/>
  <c r="Q27" i="48"/>
  <c r="B27" i="48"/>
  <c r="Q26" i="48"/>
  <c r="B26" i="48"/>
  <c r="Q25" i="48"/>
  <c r="B25" i="48"/>
  <c r="Q24" i="48"/>
  <c r="B24" i="48"/>
  <c r="Q23" i="48"/>
  <c r="B23" i="48"/>
  <c r="Q22" i="48"/>
  <c r="B22" i="48"/>
  <c r="Q21" i="48"/>
  <c r="B21" i="48"/>
  <c r="Q20" i="48"/>
  <c r="B20" i="48"/>
  <c r="O19" i="48"/>
  <c r="N19" i="48"/>
  <c r="N18" i="48" s="1"/>
  <c r="M19" i="48"/>
  <c r="M18" i="48" s="1"/>
  <c r="L19" i="48"/>
  <c r="L18" i="48" s="1"/>
  <c r="K19" i="48"/>
  <c r="J19" i="48"/>
  <c r="I19" i="48"/>
  <c r="H19" i="48"/>
  <c r="G19" i="48"/>
  <c r="F19" i="48"/>
  <c r="F18" i="48" s="1"/>
  <c r="E19" i="48"/>
  <c r="E18" i="48" s="1"/>
  <c r="D19" i="48"/>
  <c r="Q19" i="48" s="1"/>
  <c r="B19" i="48"/>
  <c r="J18" i="48"/>
  <c r="H18" i="48"/>
  <c r="L16" i="48"/>
  <c r="D16" i="48"/>
  <c r="M15" i="48"/>
  <c r="L15" i="48"/>
  <c r="K15" i="48"/>
  <c r="K16" i="48" s="1"/>
  <c r="I15" i="48"/>
  <c r="E15" i="48"/>
  <c r="E70" i="48" s="1"/>
  <c r="Q13" i="48"/>
  <c r="O13" i="48"/>
  <c r="N13" i="48"/>
  <c r="M13" i="48"/>
  <c r="L13" i="48"/>
  <c r="K13" i="48"/>
  <c r="J13" i="48"/>
  <c r="I13" i="48"/>
  <c r="H13" i="48"/>
  <c r="G13" i="48"/>
  <c r="F13" i="48"/>
  <c r="E13" i="48"/>
  <c r="D13" i="48"/>
  <c r="Q11" i="48"/>
  <c r="D11" i="48"/>
  <c r="D10" i="48" s="1"/>
  <c r="D15" i="48" s="1"/>
  <c r="B11" i="48"/>
  <c r="Q10" i="48"/>
  <c r="Q15" i="48" s="1"/>
  <c r="Q16" i="48" s="1"/>
  <c r="O10" i="48"/>
  <c r="O15" i="48" s="1"/>
  <c r="N10" i="48"/>
  <c r="N15" i="48" s="1"/>
  <c r="M10" i="48"/>
  <c r="L10" i="48"/>
  <c r="K10" i="48"/>
  <c r="J10" i="48"/>
  <c r="J15" i="48" s="1"/>
  <c r="I10" i="48"/>
  <c r="H10" i="48"/>
  <c r="H15" i="48" s="1"/>
  <c r="H16" i="48" s="1"/>
  <c r="G10" i="48"/>
  <c r="G15" i="48" s="1"/>
  <c r="F10" i="48"/>
  <c r="F15" i="48" s="1"/>
  <c r="E10" i="48"/>
  <c r="O8" i="48"/>
  <c r="N8" i="48"/>
  <c r="M8" i="48"/>
  <c r="L8" i="48"/>
  <c r="K8" i="48"/>
  <c r="J8" i="48"/>
  <c r="I8" i="48"/>
  <c r="H8" i="48"/>
  <c r="G8" i="48"/>
  <c r="F8" i="48"/>
  <c r="E8" i="48"/>
  <c r="D8" i="48"/>
  <c r="B39" i="47"/>
  <c r="B38" i="47"/>
  <c r="G34" i="47"/>
  <c r="E34" i="47"/>
  <c r="D34" i="47"/>
  <c r="G33" i="47"/>
  <c r="E33" i="47"/>
  <c r="D33" i="47"/>
  <c r="G28" i="47"/>
  <c r="E28" i="47"/>
  <c r="D28" i="47"/>
  <c r="G23" i="47"/>
  <c r="E23" i="47"/>
  <c r="D23" i="47"/>
  <c r="G21" i="47"/>
  <c r="E21" i="47"/>
  <c r="D21" i="47"/>
  <c r="B21" i="47"/>
  <c r="G20" i="47"/>
  <c r="E20" i="47"/>
  <c r="D20" i="47"/>
  <c r="B20" i="47"/>
  <c r="G19" i="47"/>
  <c r="E19" i="47"/>
  <c r="D19" i="47"/>
  <c r="G14" i="47"/>
  <c r="E14" i="47"/>
  <c r="D14" i="47"/>
  <c r="B14" i="47"/>
  <c r="G13" i="47"/>
  <c r="E13" i="47"/>
  <c r="D13" i="47"/>
  <c r="G11" i="47"/>
  <c r="E11" i="47"/>
  <c r="D11" i="47"/>
  <c r="B11" i="47"/>
  <c r="G10" i="47"/>
  <c r="E10" i="47"/>
  <c r="D10" i="47"/>
  <c r="E8" i="47"/>
  <c r="D8" i="47"/>
  <c r="B39" i="46"/>
  <c r="B38" i="46"/>
  <c r="G34" i="46"/>
  <c r="E34" i="46"/>
  <c r="D34" i="46"/>
  <c r="G33" i="46"/>
  <c r="E33" i="46"/>
  <c r="D33" i="46"/>
  <c r="G28" i="46"/>
  <c r="E28" i="46"/>
  <c r="D28" i="46"/>
  <c r="G23" i="46"/>
  <c r="E23" i="46"/>
  <c r="D23" i="46"/>
  <c r="G21" i="46"/>
  <c r="E21" i="46"/>
  <c r="D21" i="46"/>
  <c r="B21" i="46"/>
  <c r="G20" i="46"/>
  <c r="E20" i="46"/>
  <c r="D20" i="46"/>
  <c r="B20" i="46"/>
  <c r="G19" i="46"/>
  <c r="E19" i="46"/>
  <c r="D19" i="46"/>
  <c r="G14" i="46"/>
  <c r="E14" i="46"/>
  <c r="D14" i="46"/>
  <c r="B14" i="46"/>
  <c r="G13" i="46"/>
  <c r="E13" i="46"/>
  <c r="D13" i="46"/>
  <c r="G11" i="46"/>
  <c r="E11" i="46"/>
  <c r="D11" i="46"/>
  <c r="B11" i="46"/>
  <c r="G10" i="46"/>
  <c r="E10" i="46"/>
  <c r="D10" i="46"/>
  <c r="E8" i="46"/>
  <c r="D8" i="46"/>
  <c r="Q97" i="45"/>
  <c r="Q92" i="45"/>
  <c r="D92" i="45"/>
  <c r="Q90" i="45"/>
  <c r="B90" i="45"/>
  <c r="O89" i="45"/>
  <c r="N89" i="45"/>
  <c r="M89" i="45"/>
  <c r="L89" i="45"/>
  <c r="K89" i="45"/>
  <c r="J89" i="45"/>
  <c r="I89" i="45"/>
  <c r="H89" i="45"/>
  <c r="G89" i="45"/>
  <c r="F89" i="45"/>
  <c r="E89" i="45"/>
  <c r="D89" i="45"/>
  <c r="Q89" i="45" s="1"/>
  <c r="B89" i="45"/>
  <c r="Q88" i="45"/>
  <c r="B88" i="45"/>
  <c r="Q87" i="45"/>
  <c r="B87" i="45"/>
  <c r="O86" i="45"/>
  <c r="N86" i="45"/>
  <c r="M86" i="45"/>
  <c r="L86" i="45"/>
  <c r="K86" i="45"/>
  <c r="J86" i="45"/>
  <c r="I86" i="45"/>
  <c r="H86" i="45"/>
  <c r="G86" i="45"/>
  <c r="F86" i="45"/>
  <c r="Q86" i="45" s="1"/>
  <c r="E86" i="45"/>
  <c r="D86" i="45"/>
  <c r="B86" i="45"/>
  <c r="Q85" i="45"/>
  <c r="B85" i="45"/>
  <c r="Q84" i="45"/>
  <c r="B84" i="45"/>
  <c r="Q83" i="45"/>
  <c r="B83" i="45"/>
  <c r="Q82" i="45"/>
  <c r="B82" i="45"/>
  <c r="Q81" i="45"/>
  <c r="B81" i="45"/>
  <c r="Q80" i="45"/>
  <c r="B80" i="45"/>
  <c r="Q79" i="45"/>
  <c r="B79" i="45"/>
  <c r="O78" i="45"/>
  <c r="N78" i="45"/>
  <c r="M78" i="45"/>
  <c r="L78" i="45"/>
  <c r="K78" i="45"/>
  <c r="J78" i="45"/>
  <c r="I78" i="45"/>
  <c r="H78" i="45"/>
  <c r="G78" i="45"/>
  <c r="F78" i="45"/>
  <c r="E78" i="45"/>
  <c r="D78" i="45"/>
  <c r="Q78" i="45" s="1"/>
  <c r="B78" i="45"/>
  <c r="Q77" i="45"/>
  <c r="B77" i="45"/>
  <c r="O76" i="45"/>
  <c r="N76" i="45"/>
  <c r="M76" i="45"/>
  <c r="L76" i="45"/>
  <c r="K76" i="45"/>
  <c r="J76" i="45"/>
  <c r="I76" i="45"/>
  <c r="H76" i="45"/>
  <c r="G76" i="45"/>
  <c r="F76" i="45"/>
  <c r="E76" i="45"/>
  <c r="D76" i="45"/>
  <c r="B76" i="45"/>
  <c r="Q75" i="45"/>
  <c r="B75" i="45"/>
  <c r="Q74" i="45"/>
  <c r="B74" i="45"/>
  <c r="Q73" i="45"/>
  <c r="B73" i="45"/>
  <c r="Q72" i="45"/>
  <c r="B72" i="45"/>
  <c r="O71" i="45"/>
  <c r="N71" i="45"/>
  <c r="M71" i="45"/>
  <c r="L71" i="45"/>
  <c r="K71" i="45"/>
  <c r="J71" i="45"/>
  <c r="I71" i="45"/>
  <c r="H71" i="45"/>
  <c r="Q71" i="45" s="1"/>
  <c r="G71" i="45"/>
  <c r="F71" i="45"/>
  <c r="E71" i="45"/>
  <c r="D71" i="45"/>
  <c r="B71" i="45"/>
  <c r="Q70" i="45"/>
  <c r="B70" i="45"/>
  <c r="Q69" i="45"/>
  <c r="B69" i="45"/>
  <c r="Q68" i="45"/>
  <c r="B68" i="45"/>
  <c r="O67" i="45"/>
  <c r="N67" i="45"/>
  <c r="M67" i="45"/>
  <c r="L67" i="45"/>
  <c r="K67" i="45"/>
  <c r="J67" i="45"/>
  <c r="I67" i="45"/>
  <c r="H67" i="45"/>
  <c r="G67" i="45"/>
  <c r="F67" i="45"/>
  <c r="E67" i="45"/>
  <c r="D67" i="45"/>
  <c r="Q67" i="45" s="1"/>
  <c r="B67" i="45"/>
  <c r="Q66" i="45"/>
  <c r="B66" i="45"/>
  <c r="O65" i="45"/>
  <c r="N65" i="45"/>
  <c r="M65" i="45"/>
  <c r="L65" i="45"/>
  <c r="K65" i="45"/>
  <c r="J65" i="45"/>
  <c r="I65" i="45"/>
  <c r="H65" i="45"/>
  <c r="G65" i="45"/>
  <c r="F65" i="45"/>
  <c r="E65" i="45"/>
  <c r="D65" i="45"/>
  <c r="Q65" i="45" s="1"/>
  <c r="B65" i="45"/>
  <c r="Q64" i="45"/>
  <c r="B64" i="45"/>
  <c r="O63" i="45"/>
  <c r="N63" i="45"/>
  <c r="M63" i="45"/>
  <c r="L63" i="45"/>
  <c r="K63" i="45"/>
  <c r="J63" i="45"/>
  <c r="I63" i="45"/>
  <c r="H63" i="45"/>
  <c r="G63" i="45"/>
  <c r="F63" i="45"/>
  <c r="E63" i="45"/>
  <c r="D63" i="45"/>
  <c r="Q63" i="45" s="1"/>
  <c r="B63" i="45"/>
  <c r="Q62" i="45"/>
  <c r="B62" i="45"/>
  <c r="O61" i="45"/>
  <c r="N61" i="45"/>
  <c r="M61" i="45"/>
  <c r="L61" i="45"/>
  <c r="K61" i="45"/>
  <c r="J61" i="45"/>
  <c r="I61" i="45"/>
  <c r="H61" i="45"/>
  <c r="G61" i="45"/>
  <c r="F61" i="45"/>
  <c r="E61" i="45"/>
  <c r="D61" i="45"/>
  <c r="Q61" i="45" s="1"/>
  <c r="B61" i="45"/>
  <c r="Q60" i="45"/>
  <c r="B60" i="45"/>
  <c r="O59" i="45"/>
  <c r="N59" i="45"/>
  <c r="M59" i="45"/>
  <c r="L59" i="45"/>
  <c r="K59" i="45"/>
  <c r="J59" i="45"/>
  <c r="I59" i="45"/>
  <c r="H59" i="45"/>
  <c r="G59" i="45"/>
  <c r="F59" i="45"/>
  <c r="E59" i="45"/>
  <c r="D59" i="45"/>
  <c r="Q59" i="45" s="1"/>
  <c r="B59" i="45"/>
  <c r="Q58" i="45"/>
  <c r="B58" i="45"/>
  <c r="O57" i="45"/>
  <c r="N57" i="45"/>
  <c r="M57" i="45"/>
  <c r="L57" i="45"/>
  <c r="K57" i="45"/>
  <c r="J57" i="45"/>
  <c r="I57" i="45"/>
  <c r="H57" i="45"/>
  <c r="G57" i="45"/>
  <c r="F57" i="45"/>
  <c r="E57" i="45"/>
  <c r="D57" i="45"/>
  <c r="Q57" i="45" s="1"/>
  <c r="B57" i="45"/>
  <c r="Q56" i="45"/>
  <c r="B56" i="45"/>
  <c r="O55" i="45"/>
  <c r="N55" i="45"/>
  <c r="M55" i="45"/>
  <c r="L55" i="45"/>
  <c r="K55" i="45"/>
  <c r="J55" i="45"/>
  <c r="I55" i="45"/>
  <c r="H55" i="45"/>
  <c r="G55" i="45"/>
  <c r="F55" i="45"/>
  <c r="E55" i="45"/>
  <c r="D55" i="45"/>
  <c r="Q55" i="45" s="1"/>
  <c r="B55" i="45"/>
  <c r="Q54" i="45"/>
  <c r="B54" i="45"/>
  <c r="O53" i="45"/>
  <c r="N53" i="45"/>
  <c r="M53" i="45"/>
  <c r="L53" i="45"/>
  <c r="K53" i="45"/>
  <c r="J53" i="45"/>
  <c r="I53" i="45"/>
  <c r="H53" i="45"/>
  <c r="G53" i="45"/>
  <c r="F53" i="45"/>
  <c r="E53" i="45"/>
  <c r="D53" i="45"/>
  <c r="Q53" i="45" s="1"/>
  <c r="B53" i="45"/>
  <c r="Q52" i="45"/>
  <c r="B52" i="45"/>
  <c r="O51" i="45"/>
  <c r="N51" i="45"/>
  <c r="M51" i="45"/>
  <c r="L51" i="45"/>
  <c r="K51" i="45"/>
  <c r="J51" i="45"/>
  <c r="I51" i="45"/>
  <c r="H51" i="45"/>
  <c r="G51" i="45"/>
  <c r="F51" i="45"/>
  <c r="E51" i="45"/>
  <c r="D51" i="45"/>
  <c r="Q51" i="45" s="1"/>
  <c r="B51" i="45"/>
  <c r="Q50" i="45"/>
  <c r="B50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Q49" i="45" s="1"/>
  <c r="B49" i="45"/>
  <c r="Q48" i="45"/>
  <c r="B48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B47" i="45"/>
  <c r="Q46" i="45"/>
  <c r="B46" i="45"/>
  <c r="Q45" i="45"/>
  <c r="B45" i="45"/>
  <c r="Q44" i="45"/>
  <c r="B44" i="45"/>
  <c r="Q43" i="45"/>
  <c r="B43" i="45"/>
  <c r="Q42" i="45"/>
  <c r="B42" i="45"/>
  <c r="Q41" i="45"/>
  <c r="B41" i="45"/>
  <c r="Q40" i="45"/>
  <c r="B40" i="45"/>
  <c r="Q39" i="45"/>
  <c r="B39" i="45"/>
  <c r="Q38" i="45"/>
  <c r="B38" i="45"/>
  <c r="Q37" i="45"/>
  <c r="B37" i="45"/>
  <c r="O36" i="45"/>
  <c r="N36" i="45"/>
  <c r="M36" i="45"/>
  <c r="L36" i="45"/>
  <c r="K36" i="45"/>
  <c r="J36" i="45"/>
  <c r="I36" i="45"/>
  <c r="H36" i="45"/>
  <c r="G36" i="45"/>
  <c r="F36" i="45"/>
  <c r="Q36" i="45" s="1"/>
  <c r="E36" i="45"/>
  <c r="D36" i="45"/>
  <c r="B36" i="45"/>
  <c r="Q35" i="45"/>
  <c r="B35" i="45"/>
  <c r="Q34" i="45"/>
  <c r="B34" i="45"/>
  <c r="Q33" i="45"/>
  <c r="B33" i="45"/>
  <c r="Q32" i="45"/>
  <c r="B32" i="45"/>
  <c r="Q31" i="45"/>
  <c r="B31" i="45"/>
  <c r="Q30" i="45"/>
  <c r="B30" i="45"/>
  <c r="Q29" i="45"/>
  <c r="B29" i="45"/>
  <c r="Q28" i="45"/>
  <c r="B28" i="45"/>
  <c r="Q27" i="45"/>
  <c r="B27" i="45"/>
  <c r="Q26" i="45"/>
  <c r="B26" i="45"/>
  <c r="O25" i="45"/>
  <c r="O24" i="45" s="1"/>
  <c r="N25" i="45"/>
  <c r="M25" i="45"/>
  <c r="M24" i="45" s="1"/>
  <c r="L25" i="45"/>
  <c r="K25" i="45"/>
  <c r="J25" i="45"/>
  <c r="I25" i="45"/>
  <c r="H25" i="45"/>
  <c r="G25" i="45"/>
  <c r="F25" i="45"/>
  <c r="E25" i="45"/>
  <c r="E24" i="45" s="1"/>
  <c r="D25" i="45"/>
  <c r="B25" i="45"/>
  <c r="N24" i="45"/>
  <c r="K24" i="45"/>
  <c r="K94" i="45" s="1"/>
  <c r="I24" i="45"/>
  <c r="G24" i="45"/>
  <c r="K22" i="45"/>
  <c r="J21" i="45"/>
  <c r="H21" i="45"/>
  <c r="Q19" i="45"/>
  <c r="B19" i="45"/>
  <c r="Q18" i="45"/>
  <c r="B18" i="45"/>
  <c r="Q17" i="45"/>
  <c r="B17" i="45"/>
  <c r="Q16" i="45"/>
  <c r="O16" i="45"/>
  <c r="N16" i="45"/>
  <c r="M16" i="45"/>
  <c r="M21" i="45" s="1"/>
  <c r="L16" i="45"/>
  <c r="K16" i="45"/>
  <c r="J16" i="45"/>
  <c r="I16" i="45"/>
  <c r="H16" i="45"/>
  <c r="G16" i="45"/>
  <c r="F16" i="45"/>
  <c r="E16" i="45"/>
  <c r="E21" i="45" s="1"/>
  <c r="D16" i="45"/>
  <c r="Q14" i="45"/>
  <c r="D14" i="45"/>
  <c r="B14" i="45"/>
  <c r="Q13" i="45"/>
  <c r="D13" i="45"/>
  <c r="B13" i="45"/>
  <c r="Q12" i="45"/>
  <c r="D12" i="45"/>
  <c r="B12" i="45"/>
  <c r="Q11" i="45"/>
  <c r="Q10" i="45" s="1"/>
  <c r="Q21" i="45" s="1"/>
  <c r="D11" i="45"/>
  <c r="B11" i="45"/>
  <c r="O10" i="45"/>
  <c r="O21" i="45" s="1"/>
  <c r="N10" i="45"/>
  <c r="N21" i="45" s="1"/>
  <c r="M10" i="45"/>
  <c r="L10" i="45"/>
  <c r="L21" i="45" s="1"/>
  <c r="K10" i="45"/>
  <c r="K21" i="45" s="1"/>
  <c r="J10" i="45"/>
  <c r="I10" i="45"/>
  <c r="I21" i="45" s="1"/>
  <c r="H10" i="45"/>
  <c r="G10" i="45"/>
  <c r="G21" i="45" s="1"/>
  <c r="F10" i="45"/>
  <c r="F21" i="45" s="1"/>
  <c r="E10" i="45"/>
  <c r="D10" i="45"/>
  <c r="D21" i="45" s="1"/>
  <c r="O8" i="45"/>
  <c r="N8" i="45"/>
  <c r="M8" i="45"/>
  <c r="L8" i="45"/>
  <c r="K8" i="45"/>
  <c r="J8" i="45"/>
  <c r="I8" i="45"/>
  <c r="H8" i="45"/>
  <c r="G8" i="45"/>
  <c r="F8" i="45"/>
  <c r="E8" i="45"/>
  <c r="D8" i="45"/>
  <c r="B39" i="44"/>
  <c r="B38" i="44"/>
  <c r="G34" i="44"/>
  <c r="E34" i="44"/>
  <c r="D34" i="44"/>
  <c r="G33" i="44"/>
  <c r="E33" i="44"/>
  <c r="D33" i="44"/>
  <c r="G28" i="44"/>
  <c r="E28" i="44"/>
  <c r="D28" i="44"/>
  <c r="G23" i="44"/>
  <c r="E23" i="44"/>
  <c r="D23" i="44"/>
  <c r="G21" i="44"/>
  <c r="E21" i="44"/>
  <c r="D21" i="44"/>
  <c r="B21" i="44"/>
  <c r="G20" i="44"/>
  <c r="E20" i="44"/>
  <c r="D20" i="44"/>
  <c r="B20" i="44"/>
  <c r="G19" i="44"/>
  <c r="E19" i="44"/>
  <c r="D19" i="44"/>
  <c r="G14" i="44"/>
  <c r="E14" i="44"/>
  <c r="D14" i="44"/>
  <c r="B14" i="44"/>
  <c r="G13" i="44"/>
  <c r="E13" i="44"/>
  <c r="D13" i="44"/>
  <c r="G11" i="44"/>
  <c r="E11" i="44"/>
  <c r="D11" i="44"/>
  <c r="B11" i="44"/>
  <c r="G10" i="44"/>
  <c r="E10" i="44"/>
  <c r="D10" i="44"/>
  <c r="E8" i="44"/>
  <c r="D8" i="44"/>
  <c r="B39" i="43"/>
  <c r="B38" i="43"/>
  <c r="G34" i="43"/>
  <c r="E34" i="43"/>
  <c r="D34" i="43"/>
  <c r="G33" i="43"/>
  <c r="E33" i="43"/>
  <c r="D33" i="43"/>
  <c r="G28" i="43"/>
  <c r="E28" i="43"/>
  <c r="D28" i="43"/>
  <c r="G23" i="43"/>
  <c r="E23" i="43"/>
  <c r="D23" i="43"/>
  <c r="G21" i="43"/>
  <c r="E21" i="43"/>
  <c r="D21" i="43"/>
  <c r="B21" i="43"/>
  <c r="G20" i="43"/>
  <c r="E20" i="43"/>
  <c r="D20" i="43"/>
  <c r="B20" i="43"/>
  <c r="G19" i="43"/>
  <c r="E19" i="43"/>
  <c r="D19" i="43"/>
  <c r="G14" i="43"/>
  <c r="E14" i="43"/>
  <c r="D14" i="43"/>
  <c r="B14" i="43"/>
  <c r="G13" i="43"/>
  <c r="E13" i="43"/>
  <c r="D13" i="43"/>
  <c r="G11" i="43"/>
  <c r="E11" i="43"/>
  <c r="D11" i="43"/>
  <c r="B11" i="43"/>
  <c r="G10" i="43"/>
  <c r="E10" i="43"/>
  <c r="D10" i="43"/>
  <c r="E8" i="43"/>
  <c r="D8" i="43"/>
  <c r="Q105" i="42"/>
  <c r="I102" i="42"/>
  <c r="Q100" i="42"/>
  <c r="D100" i="42"/>
  <c r="Q98" i="42"/>
  <c r="B98" i="42"/>
  <c r="O97" i="42"/>
  <c r="N97" i="42"/>
  <c r="M97" i="42"/>
  <c r="L97" i="42"/>
  <c r="K97" i="42"/>
  <c r="J97" i="42"/>
  <c r="I97" i="42"/>
  <c r="H97" i="42"/>
  <c r="G97" i="42"/>
  <c r="F97" i="42"/>
  <c r="E97" i="42"/>
  <c r="D97" i="42"/>
  <c r="Q97" i="42" s="1"/>
  <c r="B97" i="42"/>
  <c r="Q96" i="42"/>
  <c r="B96" i="42"/>
  <c r="O95" i="42"/>
  <c r="N95" i="42"/>
  <c r="M95" i="42"/>
  <c r="L95" i="42"/>
  <c r="K95" i="42"/>
  <c r="J95" i="42"/>
  <c r="I95" i="42"/>
  <c r="H95" i="42"/>
  <c r="G95" i="42"/>
  <c r="F95" i="42"/>
  <c r="E95" i="42"/>
  <c r="D95" i="42"/>
  <c r="B95" i="42"/>
  <c r="Q94" i="42"/>
  <c r="B94" i="42"/>
  <c r="O93" i="42"/>
  <c r="N93" i="42"/>
  <c r="M93" i="42"/>
  <c r="L93" i="42"/>
  <c r="K93" i="42"/>
  <c r="J93" i="42"/>
  <c r="I93" i="42"/>
  <c r="H93" i="42"/>
  <c r="G93" i="42"/>
  <c r="F93" i="42"/>
  <c r="E93" i="42"/>
  <c r="D93" i="42"/>
  <c r="B93" i="42"/>
  <c r="Q92" i="42"/>
  <c r="B92" i="42"/>
  <c r="Q91" i="42"/>
  <c r="B91" i="42"/>
  <c r="O90" i="42"/>
  <c r="N90" i="42"/>
  <c r="M90" i="42"/>
  <c r="L90" i="42"/>
  <c r="K90" i="42"/>
  <c r="J90" i="42"/>
  <c r="I90" i="42"/>
  <c r="H90" i="42"/>
  <c r="G90" i="42"/>
  <c r="F90" i="42"/>
  <c r="E90" i="42"/>
  <c r="D90" i="42"/>
  <c r="Q90" i="42" s="1"/>
  <c r="B90" i="42"/>
  <c r="Q89" i="42"/>
  <c r="B89" i="42"/>
  <c r="Q88" i="42"/>
  <c r="B88" i="42"/>
  <c r="Q87" i="42"/>
  <c r="B87" i="42"/>
  <c r="Q86" i="42"/>
  <c r="B86" i="42"/>
  <c r="Q85" i="42"/>
  <c r="B85" i="42"/>
  <c r="Q84" i="42"/>
  <c r="B84" i="42"/>
  <c r="Q83" i="42"/>
  <c r="B83" i="42"/>
  <c r="Q82" i="42"/>
  <c r="B82" i="42"/>
  <c r="Q81" i="42"/>
  <c r="B81" i="42"/>
  <c r="O80" i="42"/>
  <c r="N80" i="42"/>
  <c r="M80" i="42"/>
  <c r="L80" i="42"/>
  <c r="K80" i="42"/>
  <c r="J80" i="42"/>
  <c r="I80" i="42"/>
  <c r="H80" i="42"/>
  <c r="G80" i="42"/>
  <c r="F80" i="42"/>
  <c r="E80" i="42"/>
  <c r="D80" i="42"/>
  <c r="Q80" i="42" s="1"/>
  <c r="B80" i="42"/>
  <c r="Q79" i="42"/>
  <c r="B79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Q78" i="42" s="1"/>
  <c r="B78" i="42"/>
  <c r="Q77" i="42"/>
  <c r="B77" i="42"/>
  <c r="Q76" i="42"/>
  <c r="B76" i="42"/>
  <c r="Q75" i="42"/>
  <c r="B75" i="42"/>
  <c r="Q74" i="42"/>
  <c r="B74" i="42"/>
  <c r="Q73" i="42"/>
  <c r="B73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Q72" i="42" s="1"/>
  <c r="B72" i="42"/>
  <c r="Q71" i="42"/>
  <c r="B71" i="42"/>
  <c r="Q70" i="42"/>
  <c r="B70" i="42"/>
  <c r="Q69" i="42"/>
  <c r="B69" i="42"/>
  <c r="O68" i="42"/>
  <c r="N68" i="42"/>
  <c r="M68" i="42"/>
  <c r="L68" i="42"/>
  <c r="K68" i="42"/>
  <c r="J68" i="42"/>
  <c r="I68" i="42"/>
  <c r="H68" i="42"/>
  <c r="Q68" i="42" s="1"/>
  <c r="G68" i="42"/>
  <c r="F68" i="42"/>
  <c r="E68" i="42"/>
  <c r="D68" i="42"/>
  <c r="B68" i="42"/>
  <c r="Q67" i="42"/>
  <c r="B67" i="42"/>
  <c r="O66" i="42"/>
  <c r="N66" i="42"/>
  <c r="M66" i="42"/>
  <c r="L66" i="42"/>
  <c r="K66" i="42"/>
  <c r="J66" i="42"/>
  <c r="I66" i="42"/>
  <c r="H66" i="42"/>
  <c r="Q66" i="42" s="1"/>
  <c r="G66" i="42"/>
  <c r="F66" i="42"/>
  <c r="E66" i="42"/>
  <c r="D66" i="42"/>
  <c r="B66" i="42"/>
  <c r="Q65" i="42"/>
  <c r="B65" i="42"/>
  <c r="O64" i="42"/>
  <c r="N64" i="42"/>
  <c r="M64" i="42"/>
  <c r="L64" i="42"/>
  <c r="K64" i="42"/>
  <c r="J64" i="42"/>
  <c r="I64" i="42"/>
  <c r="H64" i="42"/>
  <c r="Q64" i="42" s="1"/>
  <c r="G64" i="42"/>
  <c r="F64" i="42"/>
  <c r="E64" i="42"/>
  <c r="D64" i="42"/>
  <c r="B64" i="42"/>
  <c r="Q63" i="42"/>
  <c r="B63" i="42"/>
  <c r="O62" i="42"/>
  <c r="N62" i="42"/>
  <c r="M62" i="42"/>
  <c r="L62" i="42"/>
  <c r="K62" i="42"/>
  <c r="J62" i="42"/>
  <c r="I62" i="42"/>
  <c r="H62" i="42"/>
  <c r="Q62" i="42" s="1"/>
  <c r="G62" i="42"/>
  <c r="F62" i="42"/>
  <c r="E62" i="42"/>
  <c r="D62" i="42"/>
  <c r="B62" i="42"/>
  <c r="Q61" i="42"/>
  <c r="B61" i="42"/>
  <c r="Q60" i="42"/>
  <c r="B60" i="42"/>
  <c r="O59" i="42"/>
  <c r="N59" i="42"/>
  <c r="M59" i="42"/>
  <c r="L59" i="42"/>
  <c r="K59" i="42"/>
  <c r="J59" i="42"/>
  <c r="I59" i="42"/>
  <c r="H59" i="42"/>
  <c r="G59" i="42"/>
  <c r="F59" i="42"/>
  <c r="E59" i="42"/>
  <c r="D59" i="42"/>
  <c r="Q59" i="42" s="1"/>
  <c r="B59" i="42"/>
  <c r="Q58" i="42"/>
  <c r="B58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Q57" i="42" s="1"/>
  <c r="B57" i="42"/>
  <c r="Q56" i="42"/>
  <c r="B56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B55" i="42"/>
  <c r="Q54" i="42"/>
  <c r="B54" i="42"/>
  <c r="Q53" i="42"/>
  <c r="B53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B52" i="42"/>
  <c r="Q51" i="42"/>
  <c r="B51" i="42"/>
  <c r="O50" i="42"/>
  <c r="N50" i="42"/>
  <c r="M50" i="42"/>
  <c r="L50" i="42"/>
  <c r="K50" i="42"/>
  <c r="J50" i="42"/>
  <c r="I50" i="42"/>
  <c r="H50" i="42"/>
  <c r="G50" i="42"/>
  <c r="F50" i="42"/>
  <c r="E50" i="42"/>
  <c r="D50" i="42"/>
  <c r="Q50" i="42" s="1"/>
  <c r="B50" i="42"/>
  <c r="Q49" i="42"/>
  <c r="B49" i="42"/>
  <c r="O48" i="42"/>
  <c r="N48" i="42"/>
  <c r="M48" i="42"/>
  <c r="L48" i="42"/>
  <c r="K48" i="42"/>
  <c r="J48" i="42"/>
  <c r="I48" i="42"/>
  <c r="H48" i="42"/>
  <c r="G48" i="42"/>
  <c r="F48" i="42"/>
  <c r="E48" i="42"/>
  <c r="D48" i="42"/>
  <c r="Q48" i="42" s="1"/>
  <c r="B48" i="42"/>
  <c r="Q47" i="42"/>
  <c r="B47" i="42"/>
  <c r="O46" i="42"/>
  <c r="N46" i="42"/>
  <c r="M46" i="42"/>
  <c r="L46" i="42"/>
  <c r="K46" i="42"/>
  <c r="J46" i="42"/>
  <c r="I46" i="42"/>
  <c r="H46" i="42"/>
  <c r="G46" i="42"/>
  <c r="F46" i="42"/>
  <c r="E46" i="42"/>
  <c r="D46" i="42"/>
  <c r="Q46" i="42" s="1"/>
  <c r="B46" i="42"/>
  <c r="Q45" i="42"/>
  <c r="B45" i="42"/>
  <c r="Q44" i="42"/>
  <c r="B44" i="42"/>
  <c r="Q43" i="42"/>
  <c r="B43" i="42"/>
  <c r="Q42" i="42"/>
  <c r="B42" i="42"/>
  <c r="Q41" i="42"/>
  <c r="B41" i="42"/>
  <c r="Q40" i="42"/>
  <c r="B40" i="42"/>
  <c r="Q39" i="42"/>
  <c r="B39" i="42"/>
  <c r="Q38" i="42"/>
  <c r="B38" i="42"/>
  <c r="Q37" i="42"/>
  <c r="B37" i="42"/>
  <c r="Q36" i="42"/>
  <c r="B36" i="42"/>
  <c r="O35" i="42"/>
  <c r="N35" i="42"/>
  <c r="M35" i="42"/>
  <c r="L35" i="42"/>
  <c r="K35" i="42"/>
  <c r="J35" i="42"/>
  <c r="I35" i="42"/>
  <c r="H35" i="42"/>
  <c r="G35" i="42"/>
  <c r="F35" i="42"/>
  <c r="Q35" i="42" s="1"/>
  <c r="E35" i="42"/>
  <c r="D35" i="42"/>
  <c r="B35" i="42"/>
  <c r="Q34" i="42"/>
  <c r="B34" i="42"/>
  <c r="Q33" i="42"/>
  <c r="B33" i="42"/>
  <c r="Q32" i="42"/>
  <c r="B32" i="42"/>
  <c r="Q31" i="42"/>
  <c r="B31" i="42"/>
  <c r="Q30" i="42"/>
  <c r="B30" i="42"/>
  <c r="Q29" i="42"/>
  <c r="B29" i="42"/>
  <c r="Q28" i="42"/>
  <c r="B28" i="42"/>
  <c r="Q27" i="42"/>
  <c r="B27" i="42"/>
  <c r="Q26" i="42"/>
  <c r="B26" i="42"/>
  <c r="O25" i="42"/>
  <c r="N25" i="42"/>
  <c r="N24" i="42" s="1"/>
  <c r="M25" i="42"/>
  <c r="M24" i="42" s="1"/>
  <c r="L25" i="42"/>
  <c r="K25" i="42"/>
  <c r="K24" i="42" s="1"/>
  <c r="J25" i="42"/>
  <c r="I25" i="42"/>
  <c r="H25" i="42"/>
  <c r="H24" i="42" s="1"/>
  <c r="G25" i="42"/>
  <c r="F25" i="42"/>
  <c r="E25" i="42"/>
  <c r="E24" i="42" s="1"/>
  <c r="D25" i="42"/>
  <c r="B25" i="42"/>
  <c r="O24" i="42"/>
  <c r="L24" i="42"/>
  <c r="I24" i="42"/>
  <c r="G24" i="42"/>
  <c r="N21" i="42"/>
  <c r="H21" i="42"/>
  <c r="F21" i="42"/>
  <c r="Q19" i="42"/>
  <c r="Q16" i="42" s="1"/>
  <c r="B19" i="42"/>
  <c r="Q18" i="42"/>
  <c r="B18" i="42"/>
  <c r="Q17" i="42"/>
  <c r="B17" i="42"/>
  <c r="O16" i="42"/>
  <c r="N16" i="42"/>
  <c r="M16" i="42"/>
  <c r="L16" i="42"/>
  <c r="K16" i="42"/>
  <c r="K21" i="42" s="1"/>
  <c r="J16" i="42"/>
  <c r="I16" i="42"/>
  <c r="H16" i="42"/>
  <c r="G16" i="42"/>
  <c r="F16" i="42"/>
  <c r="E16" i="42"/>
  <c r="D16" i="42"/>
  <c r="Q14" i="42"/>
  <c r="D14" i="42"/>
  <c r="B14" i="42"/>
  <c r="Q13" i="42"/>
  <c r="D13" i="42"/>
  <c r="B13" i="42"/>
  <c r="D12" i="42"/>
  <c r="Q12" i="42" s="1"/>
  <c r="B12" i="42"/>
  <c r="D11" i="42"/>
  <c r="B11" i="42"/>
  <c r="O10" i="42"/>
  <c r="O21" i="42" s="1"/>
  <c r="N10" i="42"/>
  <c r="M10" i="42"/>
  <c r="M21" i="42" s="1"/>
  <c r="L10" i="42"/>
  <c r="L21" i="42" s="1"/>
  <c r="K10" i="42"/>
  <c r="J10" i="42"/>
  <c r="J21" i="42" s="1"/>
  <c r="I10" i="42"/>
  <c r="I21" i="42" s="1"/>
  <c r="I22" i="42" s="1"/>
  <c r="H10" i="42"/>
  <c r="G10" i="42"/>
  <c r="G21" i="42" s="1"/>
  <c r="F10" i="42"/>
  <c r="E10" i="42"/>
  <c r="E21" i="42" s="1"/>
  <c r="O8" i="42"/>
  <c r="N8" i="42"/>
  <c r="M8" i="42"/>
  <c r="L8" i="42"/>
  <c r="K8" i="42"/>
  <c r="J8" i="42"/>
  <c r="I8" i="42"/>
  <c r="H8" i="42"/>
  <c r="G8" i="42"/>
  <c r="F8" i="42"/>
  <c r="E8" i="42"/>
  <c r="D8" i="42"/>
  <c r="B39" i="41"/>
  <c r="B38" i="41"/>
  <c r="G34" i="41"/>
  <c r="E34" i="41"/>
  <c r="D34" i="41"/>
  <c r="G33" i="41"/>
  <c r="E33" i="41"/>
  <c r="D33" i="41"/>
  <c r="G28" i="41"/>
  <c r="E28" i="41"/>
  <c r="D28" i="41"/>
  <c r="G23" i="41"/>
  <c r="E23" i="41"/>
  <c r="D23" i="41"/>
  <c r="G21" i="41"/>
  <c r="E21" i="41"/>
  <c r="D21" i="41"/>
  <c r="B21" i="41"/>
  <c r="G20" i="41"/>
  <c r="E20" i="41"/>
  <c r="D20" i="41"/>
  <c r="B20" i="41"/>
  <c r="G19" i="41"/>
  <c r="E19" i="41"/>
  <c r="D19" i="41"/>
  <c r="G14" i="41"/>
  <c r="E14" i="41"/>
  <c r="D14" i="41"/>
  <c r="B14" i="41"/>
  <c r="G13" i="41"/>
  <c r="E13" i="41"/>
  <c r="D13" i="41"/>
  <c r="G11" i="41"/>
  <c r="E11" i="41"/>
  <c r="D11" i="41"/>
  <c r="B11" i="41"/>
  <c r="G10" i="41"/>
  <c r="E10" i="41"/>
  <c r="D10" i="41"/>
  <c r="E8" i="41"/>
  <c r="D8" i="41"/>
  <c r="B39" i="40"/>
  <c r="B38" i="40"/>
  <c r="G34" i="40"/>
  <c r="E34" i="40"/>
  <c r="D34" i="40"/>
  <c r="G33" i="40"/>
  <c r="E33" i="40"/>
  <c r="D33" i="40"/>
  <c r="G28" i="40"/>
  <c r="E28" i="40"/>
  <c r="D28" i="40"/>
  <c r="G23" i="40"/>
  <c r="E23" i="40"/>
  <c r="D23" i="40"/>
  <c r="G21" i="40"/>
  <c r="E21" i="40"/>
  <c r="D21" i="40"/>
  <c r="B21" i="40"/>
  <c r="G20" i="40"/>
  <c r="E20" i="40"/>
  <c r="D20" i="40"/>
  <c r="B20" i="40"/>
  <c r="G19" i="40"/>
  <c r="E19" i="40"/>
  <c r="D19" i="40"/>
  <c r="G14" i="40"/>
  <c r="E14" i="40"/>
  <c r="D14" i="40"/>
  <c r="B14" i="40"/>
  <c r="G13" i="40"/>
  <c r="E13" i="40"/>
  <c r="D13" i="40"/>
  <c r="G11" i="40"/>
  <c r="E11" i="40"/>
  <c r="D11" i="40"/>
  <c r="B11" i="40"/>
  <c r="G10" i="40"/>
  <c r="E10" i="40"/>
  <c r="D10" i="40"/>
  <c r="E8" i="40"/>
  <c r="D8" i="40"/>
  <c r="Q109" i="39"/>
  <c r="O106" i="39"/>
  <c r="Q104" i="39"/>
  <c r="D104" i="39"/>
  <c r="Q102" i="39"/>
  <c r="B102" i="39"/>
  <c r="O101" i="39"/>
  <c r="N101" i="39"/>
  <c r="M101" i="39"/>
  <c r="L101" i="39"/>
  <c r="K101" i="39"/>
  <c r="J101" i="39"/>
  <c r="I101" i="39"/>
  <c r="H101" i="39"/>
  <c r="Q101" i="39" s="1"/>
  <c r="G101" i="39"/>
  <c r="F101" i="39"/>
  <c r="E101" i="39"/>
  <c r="D101" i="39"/>
  <c r="B101" i="39"/>
  <c r="Q100" i="39"/>
  <c r="B100" i="39"/>
  <c r="O99" i="39"/>
  <c r="N99" i="39"/>
  <c r="M99" i="39"/>
  <c r="L99" i="39"/>
  <c r="K99" i="39"/>
  <c r="J99" i="39"/>
  <c r="I99" i="39"/>
  <c r="H99" i="39"/>
  <c r="Q99" i="39" s="1"/>
  <c r="G99" i="39"/>
  <c r="F99" i="39"/>
  <c r="E99" i="39"/>
  <c r="D99" i="39"/>
  <c r="B99" i="39"/>
  <c r="Q98" i="39"/>
  <c r="B98" i="39"/>
  <c r="O97" i="39"/>
  <c r="N97" i="39"/>
  <c r="M97" i="39"/>
  <c r="L97" i="39"/>
  <c r="K97" i="39"/>
  <c r="J97" i="39"/>
  <c r="I97" i="39"/>
  <c r="H97" i="39"/>
  <c r="Q97" i="39" s="1"/>
  <c r="G97" i="39"/>
  <c r="F97" i="39"/>
  <c r="E97" i="39"/>
  <c r="D97" i="39"/>
  <c r="B97" i="39"/>
  <c r="Q96" i="39"/>
  <c r="B96" i="39"/>
  <c r="Q95" i="39"/>
  <c r="B95" i="39"/>
  <c r="O94" i="39"/>
  <c r="N94" i="39"/>
  <c r="M94" i="39"/>
  <c r="L94" i="39"/>
  <c r="K94" i="39"/>
  <c r="J94" i="39"/>
  <c r="I94" i="39"/>
  <c r="H94" i="39"/>
  <c r="G94" i="39"/>
  <c r="F94" i="39"/>
  <c r="E94" i="39"/>
  <c r="D94" i="39"/>
  <c r="Q94" i="39" s="1"/>
  <c r="B94" i="39"/>
  <c r="Q93" i="39"/>
  <c r="B93" i="39"/>
  <c r="Q92" i="39"/>
  <c r="B92" i="39"/>
  <c r="Q91" i="39"/>
  <c r="B91" i="39"/>
  <c r="Q90" i="39"/>
  <c r="B90" i="39"/>
  <c r="Q89" i="39"/>
  <c r="B89" i="39"/>
  <c r="Q88" i="39"/>
  <c r="B88" i="39"/>
  <c r="Q87" i="39"/>
  <c r="B87" i="39"/>
  <c r="Q86" i="39"/>
  <c r="B86" i="39"/>
  <c r="Q85" i="39"/>
  <c r="B85" i="39"/>
  <c r="Q84" i="39"/>
  <c r="B84" i="39"/>
  <c r="O83" i="39"/>
  <c r="N83" i="39"/>
  <c r="M83" i="39"/>
  <c r="L83" i="39"/>
  <c r="K83" i="39"/>
  <c r="J83" i="39"/>
  <c r="I83" i="39"/>
  <c r="H83" i="39"/>
  <c r="G83" i="39"/>
  <c r="F83" i="39"/>
  <c r="E83" i="39"/>
  <c r="D83" i="39"/>
  <c r="Q83" i="39" s="1"/>
  <c r="B83" i="39"/>
  <c r="Q82" i="39"/>
  <c r="B82" i="39"/>
  <c r="O81" i="39"/>
  <c r="N81" i="39"/>
  <c r="M81" i="39"/>
  <c r="L81" i="39"/>
  <c r="K81" i="39"/>
  <c r="J81" i="39"/>
  <c r="I81" i="39"/>
  <c r="H81" i="39"/>
  <c r="G81" i="39"/>
  <c r="F81" i="39"/>
  <c r="E81" i="39"/>
  <c r="D81" i="39"/>
  <c r="Q81" i="39" s="1"/>
  <c r="B81" i="39"/>
  <c r="Q80" i="39"/>
  <c r="B80" i="39"/>
  <c r="Q79" i="39"/>
  <c r="B79" i="39"/>
  <c r="Q78" i="39"/>
  <c r="B78" i="39"/>
  <c r="Q77" i="39"/>
  <c r="B77" i="39"/>
  <c r="Q76" i="39"/>
  <c r="B76" i="39"/>
  <c r="O75" i="39"/>
  <c r="N75" i="39"/>
  <c r="M75" i="39"/>
  <c r="L75" i="39"/>
  <c r="K75" i="39"/>
  <c r="J75" i="39"/>
  <c r="I75" i="39"/>
  <c r="H75" i="39"/>
  <c r="G75" i="39"/>
  <c r="F75" i="39"/>
  <c r="E75" i="39"/>
  <c r="D75" i="39"/>
  <c r="Q75" i="39" s="1"/>
  <c r="B75" i="39"/>
  <c r="Q74" i="39"/>
  <c r="B74" i="39"/>
  <c r="O73" i="39"/>
  <c r="N73" i="39"/>
  <c r="M73" i="39"/>
  <c r="L73" i="39"/>
  <c r="K73" i="39"/>
  <c r="J73" i="39"/>
  <c r="I73" i="39"/>
  <c r="H73" i="39"/>
  <c r="G73" i="39"/>
  <c r="F73" i="39"/>
  <c r="E73" i="39"/>
  <c r="D73" i="39"/>
  <c r="Q73" i="39" s="1"/>
  <c r="B73" i="39"/>
  <c r="Q72" i="39"/>
  <c r="B72" i="39"/>
  <c r="Q71" i="39"/>
  <c r="B71" i="39"/>
  <c r="Q70" i="39"/>
  <c r="B70" i="39"/>
  <c r="Q69" i="39"/>
  <c r="B69" i="39"/>
  <c r="O68" i="39"/>
  <c r="N68" i="39"/>
  <c r="M68" i="39"/>
  <c r="L68" i="39"/>
  <c r="K68" i="39"/>
  <c r="J68" i="39"/>
  <c r="I68" i="39"/>
  <c r="H68" i="39"/>
  <c r="G68" i="39"/>
  <c r="F68" i="39"/>
  <c r="E68" i="39"/>
  <c r="D68" i="39"/>
  <c r="Q68" i="39" s="1"/>
  <c r="B68" i="39"/>
  <c r="Q67" i="39"/>
  <c r="B67" i="39"/>
  <c r="O66" i="39"/>
  <c r="N66" i="39"/>
  <c r="M66" i="39"/>
  <c r="L66" i="39"/>
  <c r="K66" i="39"/>
  <c r="J66" i="39"/>
  <c r="I66" i="39"/>
  <c r="H66" i="39"/>
  <c r="G66" i="39"/>
  <c r="F66" i="39"/>
  <c r="E66" i="39"/>
  <c r="D66" i="39"/>
  <c r="Q66" i="39" s="1"/>
  <c r="B66" i="39"/>
  <c r="Q65" i="39"/>
  <c r="B65" i="39"/>
  <c r="O64" i="39"/>
  <c r="N64" i="39"/>
  <c r="M64" i="39"/>
  <c r="L64" i="39"/>
  <c r="K64" i="39"/>
  <c r="J64" i="39"/>
  <c r="I64" i="39"/>
  <c r="H64" i="39"/>
  <c r="G64" i="39"/>
  <c r="F64" i="39"/>
  <c r="E64" i="39"/>
  <c r="D64" i="39"/>
  <c r="Q64" i="39" s="1"/>
  <c r="B64" i="39"/>
  <c r="Q63" i="39"/>
  <c r="B63" i="39"/>
  <c r="O62" i="39"/>
  <c r="N62" i="39"/>
  <c r="M62" i="39"/>
  <c r="L62" i="39"/>
  <c r="K62" i="39"/>
  <c r="J62" i="39"/>
  <c r="I62" i="39"/>
  <c r="H62" i="39"/>
  <c r="G62" i="39"/>
  <c r="F62" i="39"/>
  <c r="E62" i="39"/>
  <c r="D62" i="39"/>
  <c r="Q62" i="39" s="1"/>
  <c r="B62" i="39"/>
  <c r="Q61" i="39"/>
  <c r="B61" i="39"/>
  <c r="Q60" i="39"/>
  <c r="B60" i="39"/>
  <c r="O59" i="39"/>
  <c r="N59" i="39"/>
  <c r="M59" i="39"/>
  <c r="L59" i="39"/>
  <c r="K59" i="39"/>
  <c r="J59" i="39"/>
  <c r="I59" i="39"/>
  <c r="H59" i="39"/>
  <c r="G59" i="39"/>
  <c r="F59" i="39"/>
  <c r="E59" i="39"/>
  <c r="D59" i="39"/>
  <c r="Q59" i="39" s="1"/>
  <c r="B59" i="39"/>
  <c r="Q58" i="39"/>
  <c r="B58" i="39"/>
  <c r="O57" i="39"/>
  <c r="N57" i="39"/>
  <c r="M57" i="39"/>
  <c r="L57" i="39"/>
  <c r="K57" i="39"/>
  <c r="J57" i="39"/>
  <c r="I57" i="39"/>
  <c r="H57" i="39"/>
  <c r="G57" i="39"/>
  <c r="F57" i="39"/>
  <c r="E57" i="39"/>
  <c r="D57" i="39"/>
  <c r="Q57" i="39" s="1"/>
  <c r="B57" i="39"/>
  <c r="Q56" i="39"/>
  <c r="B56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B55" i="39"/>
  <c r="Q54" i="39"/>
  <c r="B54" i="39"/>
  <c r="Q53" i="39"/>
  <c r="B53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B52" i="39"/>
  <c r="Q51" i="39"/>
  <c r="B51" i="39"/>
  <c r="O50" i="39"/>
  <c r="N50" i="39"/>
  <c r="M50" i="39"/>
  <c r="L50" i="39"/>
  <c r="K50" i="39"/>
  <c r="J50" i="39"/>
  <c r="I50" i="39"/>
  <c r="H50" i="39"/>
  <c r="Q50" i="39" s="1"/>
  <c r="G50" i="39"/>
  <c r="F50" i="39"/>
  <c r="E50" i="39"/>
  <c r="D50" i="39"/>
  <c r="B50" i="39"/>
  <c r="Q49" i="39"/>
  <c r="B49" i="39"/>
  <c r="O48" i="39"/>
  <c r="N48" i="39"/>
  <c r="M48" i="39"/>
  <c r="L48" i="39"/>
  <c r="K48" i="39"/>
  <c r="J48" i="39"/>
  <c r="I48" i="39"/>
  <c r="H48" i="39"/>
  <c r="Q48" i="39" s="1"/>
  <c r="G48" i="39"/>
  <c r="F48" i="39"/>
  <c r="E48" i="39"/>
  <c r="D48" i="39"/>
  <c r="B48" i="39"/>
  <c r="Q47" i="39"/>
  <c r="B47" i="39"/>
  <c r="O46" i="39"/>
  <c r="N46" i="39"/>
  <c r="M46" i="39"/>
  <c r="L46" i="39"/>
  <c r="K46" i="39"/>
  <c r="J46" i="39"/>
  <c r="I46" i="39"/>
  <c r="H46" i="39"/>
  <c r="Q46" i="39" s="1"/>
  <c r="G46" i="39"/>
  <c r="F46" i="39"/>
  <c r="E46" i="39"/>
  <c r="D46" i="39"/>
  <c r="B46" i="39"/>
  <c r="Q45" i="39"/>
  <c r="B45" i="39"/>
  <c r="Q44" i="39"/>
  <c r="B44" i="39"/>
  <c r="Q43" i="39"/>
  <c r="B43" i="39"/>
  <c r="Q42" i="39"/>
  <c r="B42" i="39"/>
  <c r="Q41" i="39"/>
  <c r="B41" i="39"/>
  <c r="Q40" i="39"/>
  <c r="B40" i="39"/>
  <c r="Q39" i="39"/>
  <c r="B39" i="39"/>
  <c r="Q38" i="39"/>
  <c r="B38" i="39"/>
  <c r="Q37" i="39"/>
  <c r="B37" i="39"/>
  <c r="Q36" i="39"/>
  <c r="B36" i="39"/>
  <c r="O35" i="39"/>
  <c r="N35" i="39"/>
  <c r="M35" i="39"/>
  <c r="L35" i="39"/>
  <c r="K35" i="39"/>
  <c r="J35" i="39"/>
  <c r="I35" i="39"/>
  <c r="H35" i="39"/>
  <c r="Q35" i="39" s="1"/>
  <c r="G35" i="39"/>
  <c r="F35" i="39"/>
  <c r="E35" i="39"/>
  <c r="D35" i="39"/>
  <c r="B35" i="39"/>
  <c r="Q34" i="39"/>
  <c r="B34" i="39"/>
  <c r="Q33" i="39"/>
  <c r="B33" i="39"/>
  <c r="Q32" i="39"/>
  <c r="B32" i="39"/>
  <c r="Q31" i="39"/>
  <c r="B31" i="39"/>
  <c r="Q30" i="39"/>
  <c r="B30" i="39"/>
  <c r="Q29" i="39"/>
  <c r="B29" i="39"/>
  <c r="Q28" i="39"/>
  <c r="B28" i="39"/>
  <c r="Q27" i="39"/>
  <c r="B27" i="39"/>
  <c r="Q26" i="39"/>
  <c r="B26" i="39"/>
  <c r="O25" i="39"/>
  <c r="N25" i="39"/>
  <c r="M25" i="39"/>
  <c r="M24" i="39" s="1"/>
  <c r="L25" i="39"/>
  <c r="K25" i="39"/>
  <c r="J25" i="39"/>
  <c r="I25" i="39"/>
  <c r="H25" i="39"/>
  <c r="Q25" i="39" s="1"/>
  <c r="G25" i="39"/>
  <c r="F25" i="39"/>
  <c r="E25" i="39"/>
  <c r="D25" i="39"/>
  <c r="B25" i="39"/>
  <c r="O24" i="39"/>
  <c r="N24" i="39"/>
  <c r="K24" i="39"/>
  <c r="I24" i="39"/>
  <c r="H24" i="39"/>
  <c r="G24" i="39"/>
  <c r="G106" i="39" s="1"/>
  <c r="F24" i="39"/>
  <c r="E24" i="39"/>
  <c r="O21" i="39"/>
  <c r="O22" i="39" s="1"/>
  <c r="J21" i="39"/>
  <c r="H21" i="39"/>
  <c r="G21" i="39"/>
  <c r="G22" i="39" s="1"/>
  <c r="Q19" i="39"/>
  <c r="B19" i="39"/>
  <c r="Q18" i="39"/>
  <c r="B18" i="39"/>
  <c r="Q17" i="39"/>
  <c r="B17" i="39"/>
  <c r="Q16" i="39"/>
  <c r="O16" i="39"/>
  <c r="N16" i="39"/>
  <c r="M16" i="39"/>
  <c r="M21" i="39" s="1"/>
  <c r="L16" i="39"/>
  <c r="K16" i="39"/>
  <c r="J16" i="39"/>
  <c r="I16" i="39"/>
  <c r="H16" i="39"/>
  <c r="G16" i="39"/>
  <c r="F16" i="39"/>
  <c r="E16" i="39"/>
  <c r="E21" i="39" s="1"/>
  <c r="D16" i="39"/>
  <c r="Q14" i="39"/>
  <c r="D14" i="39"/>
  <c r="B14" i="39"/>
  <c r="Q13" i="39"/>
  <c r="D13" i="39"/>
  <c r="B13" i="39"/>
  <c r="Q12" i="39"/>
  <c r="D12" i="39"/>
  <c r="B12" i="39"/>
  <c r="Q11" i="39"/>
  <c r="D11" i="39"/>
  <c r="B11" i="39"/>
  <c r="O10" i="39"/>
  <c r="N10" i="39"/>
  <c r="N21" i="39" s="1"/>
  <c r="M10" i="39"/>
  <c r="L10" i="39"/>
  <c r="L21" i="39" s="1"/>
  <c r="K10" i="39"/>
  <c r="K21" i="39" s="1"/>
  <c r="J10" i="39"/>
  <c r="I10" i="39"/>
  <c r="I21" i="39" s="1"/>
  <c r="H10" i="39"/>
  <c r="G10" i="39"/>
  <c r="F10" i="39"/>
  <c r="F21" i="39" s="1"/>
  <c r="E10" i="39"/>
  <c r="D10" i="39"/>
  <c r="D21" i="39" s="1"/>
  <c r="O8" i="39"/>
  <c r="N8" i="39"/>
  <c r="M8" i="39"/>
  <c r="L8" i="39"/>
  <c r="K8" i="39"/>
  <c r="J8" i="39"/>
  <c r="I8" i="39"/>
  <c r="H8" i="39"/>
  <c r="G8" i="39"/>
  <c r="F8" i="39"/>
  <c r="E8" i="39"/>
  <c r="D8" i="39"/>
  <c r="B39" i="38"/>
  <c r="B38" i="38"/>
  <c r="G34" i="38"/>
  <c r="E34" i="38"/>
  <c r="D34" i="38"/>
  <c r="G33" i="38"/>
  <c r="E33" i="38"/>
  <c r="D33" i="38"/>
  <c r="G28" i="38"/>
  <c r="E28" i="38"/>
  <c r="D28" i="38"/>
  <c r="G23" i="38"/>
  <c r="E23" i="38"/>
  <c r="D23" i="38"/>
  <c r="G21" i="38"/>
  <c r="E21" i="38"/>
  <c r="D21" i="38"/>
  <c r="B21" i="38"/>
  <c r="G20" i="38"/>
  <c r="E20" i="38"/>
  <c r="D20" i="38"/>
  <c r="B20" i="38"/>
  <c r="G19" i="38"/>
  <c r="E19" i="38"/>
  <c r="D19" i="38"/>
  <c r="G14" i="38"/>
  <c r="E14" i="38"/>
  <c r="D14" i="38"/>
  <c r="B14" i="38"/>
  <c r="G13" i="38"/>
  <c r="E13" i="38"/>
  <c r="D13" i="38"/>
  <c r="G11" i="38"/>
  <c r="E11" i="38"/>
  <c r="D11" i="38"/>
  <c r="B11" i="38"/>
  <c r="G10" i="38"/>
  <c r="E10" i="38"/>
  <c r="D10" i="38"/>
  <c r="E8" i="38"/>
  <c r="D8" i="38"/>
  <c r="B39" i="37"/>
  <c r="B38" i="37"/>
  <c r="G34" i="37"/>
  <c r="E34" i="37"/>
  <c r="D34" i="37"/>
  <c r="G33" i="37"/>
  <c r="E33" i="37"/>
  <c r="D33" i="37"/>
  <c r="G28" i="37"/>
  <c r="E28" i="37"/>
  <c r="D28" i="37"/>
  <c r="G23" i="37"/>
  <c r="E23" i="37"/>
  <c r="D23" i="37"/>
  <c r="G21" i="37"/>
  <c r="E21" i="37"/>
  <c r="D21" i="37"/>
  <c r="B21" i="37"/>
  <c r="G20" i="37"/>
  <c r="E20" i="37"/>
  <c r="D20" i="37"/>
  <c r="B20" i="37"/>
  <c r="G19" i="37"/>
  <c r="E19" i="37"/>
  <c r="D19" i="37"/>
  <c r="G14" i="37"/>
  <c r="E14" i="37"/>
  <c r="D14" i="37"/>
  <c r="B14" i="37"/>
  <c r="G13" i="37"/>
  <c r="E13" i="37"/>
  <c r="D13" i="37"/>
  <c r="G11" i="37"/>
  <c r="E11" i="37"/>
  <c r="D11" i="37"/>
  <c r="B11" i="37"/>
  <c r="G10" i="37"/>
  <c r="E10" i="37"/>
  <c r="D10" i="37"/>
  <c r="E8" i="37"/>
  <c r="D8" i="37"/>
  <c r="Q115" i="36"/>
  <c r="Q110" i="36"/>
  <c r="D110" i="36"/>
  <c r="Q108" i="36"/>
  <c r="B108" i="36"/>
  <c r="O107" i="36"/>
  <c r="N107" i="36"/>
  <c r="M107" i="36"/>
  <c r="L107" i="36"/>
  <c r="K107" i="36"/>
  <c r="J107" i="36"/>
  <c r="I107" i="36"/>
  <c r="H107" i="36"/>
  <c r="G107" i="36"/>
  <c r="F107" i="36"/>
  <c r="E107" i="36"/>
  <c r="D107" i="36"/>
  <c r="Q107" i="36" s="1"/>
  <c r="B107" i="36"/>
  <c r="Q106" i="36"/>
  <c r="B106" i="36"/>
  <c r="O105" i="36"/>
  <c r="N105" i="36"/>
  <c r="M105" i="36"/>
  <c r="L105" i="36"/>
  <c r="K105" i="36"/>
  <c r="J105" i="36"/>
  <c r="I105" i="36"/>
  <c r="H105" i="36"/>
  <c r="G105" i="36"/>
  <c r="F105" i="36"/>
  <c r="E105" i="36"/>
  <c r="D105" i="36"/>
  <c r="B105" i="36"/>
  <c r="Q104" i="36"/>
  <c r="B104" i="36"/>
  <c r="O103" i="36"/>
  <c r="N103" i="36"/>
  <c r="M103" i="36"/>
  <c r="L103" i="36"/>
  <c r="K103" i="36"/>
  <c r="J103" i="36"/>
  <c r="I103" i="36"/>
  <c r="H103" i="36"/>
  <c r="G103" i="36"/>
  <c r="F103" i="36"/>
  <c r="E103" i="36"/>
  <c r="D103" i="36"/>
  <c r="Q103" i="36" s="1"/>
  <c r="B103" i="36"/>
  <c r="Q102" i="36"/>
  <c r="B102" i="36"/>
  <c r="Q101" i="36"/>
  <c r="B101" i="36"/>
  <c r="O100" i="36"/>
  <c r="N100" i="36"/>
  <c r="M100" i="36"/>
  <c r="L100" i="36"/>
  <c r="K100" i="36"/>
  <c r="J100" i="36"/>
  <c r="I100" i="36"/>
  <c r="H100" i="36"/>
  <c r="G100" i="36"/>
  <c r="F100" i="36"/>
  <c r="E100" i="36"/>
  <c r="D100" i="36"/>
  <c r="B100" i="36"/>
  <c r="Q99" i="36"/>
  <c r="B99" i="36"/>
  <c r="Q98" i="36"/>
  <c r="B98" i="36"/>
  <c r="Q97" i="36"/>
  <c r="B97" i="36"/>
  <c r="Q96" i="36"/>
  <c r="B96" i="36"/>
  <c r="Q95" i="36"/>
  <c r="B95" i="36"/>
  <c r="Q94" i="36"/>
  <c r="B94" i="36"/>
  <c r="Q93" i="36"/>
  <c r="B93" i="36"/>
  <c r="Q92" i="36"/>
  <c r="B92" i="36"/>
  <c r="Q91" i="36"/>
  <c r="B91" i="36"/>
  <c r="Q90" i="36"/>
  <c r="B90" i="36"/>
  <c r="O89" i="36"/>
  <c r="N89" i="36"/>
  <c r="M89" i="36"/>
  <c r="L89" i="36"/>
  <c r="K89" i="36"/>
  <c r="J89" i="36"/>
  <c r="I89" i="36"/>
  <c r="H89" i="36"/>
  <c r="G89" i="36"/>
  <c r="Q89" i="36" s="1"/>
  <c r="F89" i="36"/>
  <c r="E89" i="36"/>
  <c r="D89" i="36"/>
  <c r="B89" i="36"/>
  <c r="Q88" i="36"/>
  <c r="B88" i="36"/>
  <c r="Q87" i="36"/>
  <c r="B87" i="36"/>
  <c r="O86" i="36"/>
  <c r="N86" i="36"/>
  <c r="M86" i="36"/>
  <c r="L86" i="36"/>
  <c r="K86" i="36"/>
  <c r="J86" i="36"/>
  <c r="I86" i="36"/>
  <c r="H86" i="36"/>
  <c r="G86" i="36"/>
  <c r="F86" i="36"/>
  <c r="E86" i="36"/>
  <c r="D86" i="36"/>
  <c r="Q86" i="36" s="1"/>
  <c r="B86" i="36"/>
  <c r="Q85" i="36"/>
  <c r="B85" i="36"/>
  <c r="Q84" i="36"/>
  <c r="B84" i="36"/>
  <c r="Q83" i="36"/>
  <c r="B83" i="36"/>
  <c r="Q82" i="36"/>
  <c r="B82" i="36"/>
  <c r="Q81" i="36"/>
  <c r="B81" i="36"/>
  <c r="O80" i="36"/>
  <c r="N80" i="36"/>
  <c r="M80" i="36"/>
  <c r="L80" i="36"/>
  <c r="K80" i="36"/>
  <c r="J80" i="36"/>
  <c r="I80" i="36"/>
  <c r="H80" i="36"/>
  <c r="G80" i="36"/>
  <c r="F80" i="36"/>
  <c r="E80" i="36"/>
  <c r="D80" i="36"/>
  <c r="Q80" i="36" s="1"/>
  <c r="B80" i="36"/>
  <c r="Q79" i="36"/>
  <c r="B79" i="36"/>
  <c r="Q78" i="36"/>
  <c r="B78" i="36"/>
  <c r="Q77" i="36"/>
  <c r="B77" i="36"/>
  <c r="Q76" i="36"/>
  <c r="B76" i="36"/>
  <c r="O75" i="36"/>
  <c r="N75" i="36"/>
  <c r="M75" i="36"/>
  <c r="L75" i="36"/>
  <c r="K75" i="36"/>
  <c r="J75" i="36"/>
  <c r="I75" i="36"/>
  <c r="H75" i="36"/>
  <c r="G75" i="36"/>
  <c r="Q75" i="36" s="1"/>
  <c r="F75" i="36"/>
  <c r="E75" i="36"/>
  <c r="D75" i="36"/>
  <c r="B75" i="36"/>
  <c r="Q74" i="36"/>
  <c r="B74" i="36"/>
  <c r="O73" i="36"/>
  <c r="N73" i="36"/>
  <c r="M73" i="36"/>
  <c r="L73" i="36"/>
  <c r="K73" i="36"/>
  <c r="J73" i="36"/>
  <c r="I73" i="36"/>
  <c r="H73" i="36"/>
  <c r="G73" i="36"/>
  <c r="F73" i="36"/>
  <c r="E73" i="36"/>
  <c r="D73" i="36"/>
  <c r="B73" i="36"/>
  <c r="Q72" i="36"/>
  <c r="B72" i="36"/>
  <c r="O71" i="36"/>
  <c r="N71" i="36"/>
  <c r="M71" i="36"/>
  <c r="L71" i="36"/>
  <c r="K71" i="36"/>
  <c r="J71" i="36"/>
  <c r="I71" i="36"/>
  <c r="H71" i="36"/>
  <c r="G71" i="36"/>
  <c r="Q71" i="36" s="1"/>
  <c r="F71" i="36"/>
  <c r="E71" i="36"/>
  <c r="D71" i="36"/>
  <c r="B71" i="36"/>
  <c r="Q70" i="36"/>
  <c r="B70" i="36"/>
  <c r="O69" i="36"/>
  <c r="N69" i="36"/>
  <c r="M69" i="36"/>
  <c r="L69" i="36"/>
  <c r="K69" i="36"/>
  <c r="J69" i="36"/>
  <c r="I69" i="36"/>
  <c r="H69" i="36"/>
  <c r="G69" i="36"/>
  <c r="Q69" i="36" s="1"/>
  <c r="F69" i="36"/>
  <c r="E69" i="36"/>
  <c r="D69" i="36"/>
  <c r="B69" i="36"/>
  <c r="Q68" i="36"/>
  <c r="B68" i="36"/>
  <c r="O67" i="36"/>
  <c r="N67" i="36"/>
  <c r="M67" i="36"/>
  <c r="L67" i="36"/>
  <c r="K67" i="36"/>
  <c r="J67" i="36"/>
  <c r="I67" i="36"/>
  <c r="H67" i="36"/>
  <c r="G67" i="36"/>
  <c r="Q67" i="36" s="1"/>
  <c r="F67" i="36"/>
  <c r="E67" i="36"/>
  <c r="D67" i="36"/>
  <c r="B67" i="36"/>
  <c r="Q66" i="36"/>
  <c r="B66" i="36"/>
  <c r="Q65" i="36"/>
  <c r="B65" i="36"/>
  <c r="O64" i="36"/>
  <c r="N64" i="36"/>
  <c r="M64" i="36"/>
  <c r="L64" i="36"/>
  <c r="K64" i="36"/>
  <c r="J64" i="36"/>
  <c r="I64" i="36"/>
  <c r="H64" i="36"/>
  <c r="G64" i="36"/>
  <c r="F64" i="36"/>
  <c r="E64" i="36"/>
  <c r="D64" i="36"/>
  <c r="Q64" i="36" s="1"/>
  <c r="B64" i="36"/>
  <c r="Q63" i="36"/>
  <c r="B63" i="36"/>
  <c r="O62" i="36"/>
  <c r="N62" i="36"/>
  <c r="M62" i="36"/>
  <c r="L62" i="36"/>
  <c r="K62" i="36"/>
  <c r="J62" i="36"/>
  <c r="I62" i="36"/>
  <c r="H62" i="36"/>
  <c r="G62" i="36"/>
  <c r="F62" i="36"/>
  <c r="E62" i="36"/>
  <c r="D62" i="36"/>
  <c r="Q62" i="36" s="1"/>
  <c r="B62" i="36"/>
  <c r="Q61" i="36"/>
  <c r="B61" i="36"/>
  <c r="O60" i="36"/>
  <c r="N60" i="36"/>
  <c r="M60" i="36"/>
  <c r="L60" i="36"/>
  <c r="K60" i="36"/>
  <c r="J60" i="36"/>
  <c r="I60" i="36"/>
  <c r="H60" i="36"/>
  <c r="G60" i="36"/>
  <c r="F60" i="36"/>
  <c r="E60" i="36"/>
  <c r="D60" i="36"/>
  <c r="Q60" i="36" s="1"/>
  <c r="B60" i="36"/>
  <c r="Q59" i="36"/>
  <c r="B59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Q58" i="36" s="1"/>
  <c r="B58" i="36"/>
  <c r="Q57" i="36"/>
  <c r="B57" i="36"/>
  <c r="Q56" i="36"/>
  <c r="B56" i="36"/>
  <c r="O55" i="36"/>
  <c r="N55" i="36"/>
  <c r="M55" i="36"/>
  <c r="L55" i="36"/>
  <c r="K55" i="36"/>
  <c r="J55" i="36"/>
  <c r="I55" i="36"/>
  <c r="H55" i="36"/>
  <c r="G55" i="36"/>
  <c r="F55" i="36"/>
  <c r="E55" i="36"/>
  <c r="D55" i="36"/>
  <c r="Q55" i="36" s="1"/>
  <c r="B55" i="36"/>
  <c r="Q54" i="36"/>
  <c r="B54" i="36"/>
  <c r="O53" i="36"/>
  <c r="N53" i="36"/>
  <c r="M53" i="36"/>
  <c r="L53" i="36"/>
  <c r="K53" i="36"/>
  <c r="J53" i="36"/>
  <c r="I53" i="36"/>
  <c r="H53" i="36"/>
  <c r="G53" i="36"/>
  <c r="F53" i="36"/>
  <c r="E53" i="36"/>
  <c r="D53" i="36"/>
  <c r="B53" i="36"/>
  <c r="Q52" i="36"/>
  <c r="B52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Q51" i="36" s="1"/>
  <c r="B51" i="36"/>
  <c r="Q50" i="36"/>
  <c r="B50" i="36"/>
  <c r="O49" i="36"/>
  <c r="N49" i="36"/>
  <c r="M49" i="36"/>
  <c r="L49" i="36"/>
  <c r="K49" i="36"/>
  <c r="K26" i="36" s="1"/>
  <c r="J49" i="36"/>
  <c r="I49" i="36"/>
  <c r="H49" i="36"/>
  <c r="G49" i="36"/>
  <c r="F49" i="36"/>
  <c r="E49" i="36"/>
  <c r="D49" i="36"/>
  <c r="B49" i="36"/>
  <c r="Q48" i="36"/>
  <c r="B48" i="36"/>
  <c r="Q47" i="36"/>
  <c r="B47" i="36"/>
  <c r="Q46" i="36"/>
  <c r="B46" i="36"/>
  <c r="Q45" i="36"/>
  <c r="B45" i="36"/>
  <c r="Q44" i="36"/>
  <c r="B44" i="36"/>
  <c r="Q43" i="36"/>
  <c r="B43" i="36"/>
  <c r="Q42" i="36"/>
  <c r="B42" i="36"/>
  <c r="Q41" i="36"/>
  <c r="B41" i="36"/>
  <c r="Q40" i="36"/>
  <c r="B40" i="36"/>
  <c r="Q39" i="36"/>
  <c r="B39" i="36"/>
  <c r="O38" i="36"/>
  <c r="N38" i="36"/>
  <c r="M38" i="36"/>
  <c r="L38" i="36"/>
  <c r="K38" i="36"/>
  <c r="J38" i="36"/>
  <c r="I38" i="36"/>
  <c r="H38" i="36"/>
  <c r="Q38" i="36" s="1"/>
  <c r="G38" i="36"/>
  <c r="F38" i="36"/>
  <c r="E38" i="36"/>
  <c r="D38" i="36"/>
  <c r="B38" i="36"/>
  <c r="Q37" i="36"/>
  <c r="B37" i="36"/>
  <c r="Q36" i="36"/>
  <c r="B36" i="36"/>
  <c r="Q35" i="36"/>
  <c r="B35" i="36"/>
  <c r="Q34" i="36"/>
  <c r="B34" i="36"/>
  <c r="Q33" i="36"/>
  <c r="B33" i="36"/>
  <c r="Q32" i="36"/>
  <c r="B32" i="36"/>
  <c r="Q31" i="36"/>
  <c r="B31" i="36"/>
  <c r="Q30" i="36"/>
  <c r="B30" i="36"/>
  <c r="Q29" i="36"/>
  <c r="B29" i="36"/>
  <c r="Q28" i="36"/>
  <c r="B28" i="36"/>
  <c r="O27" i="36"/>
  <c r="N27" i="36"/>
  <c r="M27" i="36"/>
  <c r="L27" i="36"/>
  <c r="K27" i="36"/>
  <c r="J27" i="36"/>
  <c r="I27" i="36"/>
  <c r="I26" i="36" s="1"/>
  <c r="H27" i="36"/>
  <c r="G27" i="36"/>
  <c r="Q27" i="36" s="1"/>
  <c r="F27" i="36"/>
  <c r="E27" i="36"/>
  <c r="D27" i="36"/>
  <c r="B27" i="36"/>
  <c r="O26" i="36"/>
  <c r="M26" i="36"/>
  <c r="H26" i="36"/>
  <c r="G26" i="36"/>
  <c r="E26" i="36"/>
  <c r="M24" i="36"/>
  <c r="O23" i="36"/>
  <c r="O24" i="36" s="1"/>
  <c r="J23" i="36"/>
  <c r="I23" i="36"/>
  <c r="I24" i="36" s="1"/>
  <c r="H23" i="36"/>
  <c r="H24" i="36" s="1"/>
  <c r="G23" i="36"/>
  <c r="G24" i="36" s="1"/>
  <c r="Q21" i="36"/>
  <c r="B21" i="36"/>
  <c r="Q20" i="36"/>
  <c r="B20" i="36"/>
  <c r="Q19" i="36"/>
  <c r="Q18" i="36" s="1"/>
  <c r="B19" i="36"/>
  <c r="O18" i="36"/>
  <c r="N18" i="36"/>
  <c r="M18" i="36"/>
  <c r="M23" i="36" s="1"/>
  <c r="M112" i="36" s="1"/>
  <c r="L18" i="36"/>
  <c r="K18" i="36"/>
  <c r="J18" i="36"/>
  <c r="I18" i="36"/>
  <c r="H18" i="36"/>
  <c r="G18" i="36"/>
  <c r="F18" i="36"/>
  <c r="E18" i="36"/>
  <c r="D18" i="36"/>
  <c r="D16" i="36"/>
  <c r="Q16" i="36" s="1"/>
  <c r="B16" i="36"/>
  <c r="D15" i="36"/>
  <c r="Q15" i="36" s="1"/>
  <c r="B15" i="36"/>
  <c r="Q14" i="36"/>
  <c r="D14" i="36"/>
  <c r="B14" i="36"/>
  <c r="Q13" i="36"/>
  <c r="D13" i="36"/>
  <c r="B13" i="36"/>
  <c r="Q12" i="36"/>
  <c r="D12" i="36"/>
  <c r="B12" i="36"/>
  <c r="Q11" i="36"/>
  <c r="Q10" i="36" s="1"/>
  <c r="Q23" i="36" s="1"/>
  <c r="D11" i="36"/>
  <c r="B11" i="36"/>
  <c r="O10" i="36"/>
  <c r="N10" i="36"/>
  <c r="N23" i="36" s="1"/>
  <c r="M10" i="36"/>
  <c r="L10" i="36"/>
  <c r="L23" i="36" s="1"/>
  <c r="K10" i="36"/>
  <c r="K23" i="36" s="1"/>
  <c r="J10" i="36"/>
  <c r="I10" i="36"/>
  <c r="H10" i="36"/>
  <c r="G10" i="36"/>
  <c r="F10" i="36"/>
  <c r="F23" i="36" s="1"/>
  <c r="E10" i="36"/>
  <c r="E23" i="36" s="1"/>
  <c r="D10" i="36"/>
  <c r="D23" i="36" s="1"/>
  <c r="O8" i="36"/>
  <c r="N8" i="36"/>
  <c r="M8" i="36"/>
  <c r="L8" i="36"/>
  <c r="K8" i="36"/>
  <c r="J8" i="36"/>
  <c r="I8" i="36"/>
  <c r="H8" i="36"/>
  <c r="G8" i="36"/>
  <c r="F8" i="36"/>
  <c r="E8" i="36"/>
  <c r="D8" i="36"/>
  <c r="B39" i="35"/>
  <c r="B38" i="35"/>
  <c r="G34" i="35"/>
  <c r="E34" i="35"/>
  <c r="D34" i="35"/>
  <c r="G33" i="35"/>
  <c r="E33" i="35"/>
  <c r="D33" i="35"/>
  <c r="G28" i="35"/>
  <c r="E28" i="35"/>
  <c r="D28" i="35"/>
  <c r="G23" i="35"/>
  <c r="E23" i="35"/>
  <c r="D23" i="35"/>
  <c r="G21" i="35"/>
  <c r="E21" i="35"/>
  <c r="D21" i="35"/>
  <c r="B21" i="35"/>
  <c r="G20" i="35"/>
  <c r="E20" i="35"/>
  <c r="D20" i="35"/>
  <c r="B20" i="35"/>
  <c r="G19" i="35"/>
  <c r="E19" i="35"/>
  <c r="D19" i="35"/>
  <c r="G14" i="35"/>
  <c r="E14" i="35"/>
  <c r="D14" i="35"/>
  <c r="B14" i="35"/>
  <c r="G13" i="35"/>
  <c r="E13" i="35"/>
  <c r="D13" i="35"/>
  <c r="G11" i="35"/>
  <c r="E11" i="35"/>
  <c r="D11" i="35"/>
  <c r="B11" i="35"/>
  <c r="G10" i="35"/>
  <c r="E10" i="35"/>
  <c r="D10" i="35"/>
  <c r="E8" i="35"/>
  <c r="D8" i="35"/>
  <c r="B39" i="34"/>
  <c r="B38" i="34"/>
  <c r="G34" i="34"/>
  <c r="E34" i="34"/>
  <c r="D34" i="34"/>
  <c r="G33" i="34"/>
  <c r="E33" i="34"/>
  <c r="D33" i="34"/>
  <c r="G28" i="34"/>
  <c r="E28" i="34"/>
  <c r="D28" i="34"/>
  <c r="G23" i="34"/>
  <c r="E23" i="34"/>
  <c r="D23" i="34"/>
  <c r="G21" i="34"/>
  <c r="E21" i="34"/>
  <c r="D21" i="34"/>
  <c r="B21" i="34"/>
  <c r="G20" i="34"/>
  <c r="E20" i="34"/>
  <c r="D20" i="34"/>
  <c r="B20" i="34"/>
  <c r="G19" i="34"/>
  <c r="E19" i="34"/>
  <c r="D19" i="34"/>
  <c r="G14" i="34"/>
  <c r="E14" i="34"/>
  <c r="D14" i="34"/>
  <c r="B14" i="34"/>
  <c r="G13" i="34"/>
  <c r="E13" i="34"/>
  <c r="D13" i="34"/>
  <c r="G11" i="34"/>
  <c r="E11" i="34"/>
  <c r="D11" i="34"/>
  <c r="B11" i="34"/>
  <c r="G10" i="34"/>
  <c r="E10" i="34"/>
  <c r="D10" i="34"/>
  <c r="E8" i="34"/>
  <c r="D8" i="34"/>
  <c r="Q71" i="33"/>
  <c r="Q66" i="33"/>
  <c r="D66" i="33"/>
  <c r="Q64" i="33"/>
  <c r="B64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B63" i="33"/>
  <c r="Q62" i="33"/>
  <c r="B62" i="33"/>
  <c r="Q61" i="33"/>
  <c r="B61" i="33"/>
  <c r="Q60" i="33"/>
  <c r="B60" i="33"/>
  <c r="Q59" i="33"/>
  <c r="B59" i="33"/>
  <c r="O58" i="33"/>
  <c r="N58" i="33"/>
  <c r="M58" i="33"/>
  <c r="L58" i="33"/>
  <c r="K58" i="33"/>
  <c r="J58" i="33"/>
  <c r="I58" i="33"/>
  <c r="H58" i="33"/>
  <c r="Q58" i="33" s="1"/>
  <c r="G58" i="33"/>
  <c r="F58" i="33"/>
  <c r="E58" i="33"/>
  <c r="D58" i="33"/>
  <c r="B58" i="33"/>
  <c r="Q57" i="33"/>
  <c r="B57" i="33"/>
  <c r="O56" i="33"/>
  <c r="N56" i="33"/>
  <c r="M56" i="33"/>
  <c r="L56" i="33"/>
  <c r="K56" i="33"/>
  <c r="J56" i="33"/>
  <c r="I56" i="33"/>
  <c r="H56" i="33"/>
  <c r="Q56" i="33" s="1"/>
  <c r="G56" i="33"/>
  <c r="F56" i="33"/>
  <c r="E56" i="33"/>
  <c r="D56" i="33"/>
  <c r="B56" i="33"/>
  <c r="Q55" i="33"/>
  <c r="B55" i="33"/>
  <c r="Q54" i="33"/>
  <c r="B54" i="33"/>
  <c r="Q53" i="33"/>
  <c r="B53" i="33"/>
  <c r="O52" i="33"/>
  <c r="N52" i="33"/>
  <c r="M52" i="33"/>
  <c r="L52" i="33"/>
  <c r="L21" i="33" s="1"/>
  <c r="K52" i="33"/>
  <c r="J52" i="33"/>
  <c r="I52" i="33"/>
  <c r="I21" i="33" s="1"/>
  <c r="H52" i="33"/>
  <c r="G52" i="33"/>
  <c r="F52" i="33"/>
  <c r="E52" i="33"/>
  <c r="D52" i="33"/>
  <c r="B52" i="33"/>
  <c r="Q51" i="33"/>
  <c r="B51" i="33"/>
  <c r="Q50" i="33"/>
  <c r="B50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Q49" i="33" s="1"/>
  <c r="B49" i="33"/>
  <c r="Q48" i="33"/>
  <c r="B48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B47" i="33"/>
  <c r="Q46" i="33"/>
  <c r="B46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Q45" i="33" s="1"/>
  <c r="B45" i="33"/>
  <c r="Q44" i="33"/>
  <c r="B44" i="33"/>
  <c r="O43" i="33"/>
  <c r="N43" i="33"/>
  <c r="N21" i="33" s="1"/>
  <c r="M43" i="33"/>
  <c r="L43" i="33"/>
  <c r="K43" i="33"/>
  <c r="J43" i="33"/>
  <c r="I43" i="33"/>
  <c r="H43" i="33"/>
  <c r="G43" i="33"/>
  <c r="F43" i="33"/>
  <c r="F21" i="33" s="1"/>
  <c r="E43" i="33"/>
  <c r="D43" i="33"/>
  <c r="Q43" i="33" s="1"/>
  <c r="B43" i="33"/>
  <c r="Q42" i="33"/>
  <c r="B42" i="33"/>
  <c r="Q41" i="33"/>
  <c r="B41" i="33"/>
  <c r="Q40" i="33"/>
  <c r="B40" i="33"/>
  <c r="Q39" i="33"/>
  <c r="B39" i="33"/>
  <c r="Q38" i="33"/>
  <c r="B38" i="33"/>
  <c r="Q37" i="33"/>
  <c r="B37" i="33"/>
  <c r="Q36" i="33"/>
  <c r="B36" i="33"/>
  <c r="Q35" i="33"/>
  <c r="B35" i="33"/>
  <c r="Q34" i="33"/>
  <c r="B34" i="33"/>
  <c r="Q33" i="33"/>
  <c r="B33" i="33"/>
  <c r="O32" i="33"/>
  <c r="N32" i="33"/>
  <c r="M32" i="33"/>
  <c r="L32" i="33"/>
  <c r="K32" i="33"/>
  <c r="J32" i="33"/>
  <c r="I32" i="33"/>
  <c r="H32" i="33"/>
  <c r="Q32" i="33" s="1"/>
  <c r="G32" i="33"/>
  <c r="F32" i="33"/>
  <c r="E32" i="33"/>
  <c r="D32" i="33"/>
  <c r="B32" i="33"/>
  <c r="Q31" i="33"/>
  <c r="B31" i="33"/>
  <c r="Q30" i="33"/>
  <c r="B30" i="33"/>
  <c r="Q29" i="33"/>
  <c r="B29" i="33"/>
  <c r="Q28" i="33"/>
  <c r="B28" i="33"/>
  <c r="Q27" i="33"/>
  <c r="B27" i="33"/>
  <c r="Q26" i="33"/>
  <c r="B26" i="33"/>
  <c r="Q25" i="33"/>
  <c r="B25" i="33"/>
  <c r="Q24" i="33"/>
  <c r="B24" i="33"/>
  <c r="Q23" i="33"/>
  <c r="B23" i="33"/>
  <c r="O22" i="33"/>
  <c r="O21" i="33" s="1"/>
  <c r="N22" i="33"/>
  <c r="M22" i="33"/>
  <c r="L22" i="33"/>
  <c r="K22" i="33"/>
  <c r="J22" i="33"/>
  <c r="I22" i="33"/>
  <c r="H22" i="33"/>
  <c r="G22" i="33"/>
  <c r="G21" i="33" s="1"/>
  <c r="F22" i="33"/>
  <c r="E22" i="33"/>
  <c r="D22" i="33"/>
  <c r="B22" i="33"/>
  <c r="M21" i="33"/>
  <c r="K21" i="33"/>
  <c r="E21" i="33"/>
  <c r="K19" i="33"/>
  <c r="H18" i="33"/>
  <c r="Q16" i="33"/>
  <c r="Q15" i="33" s="1"/>
  <c r="B16" i="33"/>
  <c r="O15" i="33"/>
  <c r="O18" i="33" s="1"/>
  <c r="N15" i="33"/>
  <c r="N18" i="33" s="1"/>
  <c r="M15" i="33"/>
  <c r="L15" i="33"/>
  <c r="K15" i="33"/>
  <c r="J15" i="33"/>
  <c r="I15" i="33"/>
  <c r="H15" i="33"/>
  <c r="G15" i="33"/>
  <c r="G18" i="33" s="1"/>
  <c r="F15" i="33"/>
  <c r="F18" i="33" s="1"/>
  <c r="E15" i="33"/>
  <c r="D15" i="33"/>
  <c r="D13" i="33"/>
  <c r="Q13" i="33" s="1"/>
  <c r="B13" i="33"/>
  <c r="D12" i="33"/>
  <c r="B12" i="33"/>
  <c r="D11" i="33"/>
  <c r="Q11" i="33" s="1"/>
  <c r="B11" i="33"/>
  <c r="O10" i="33"/>
  <c r="N10" i="33"/>
  <c r="M10" i="33"/>
  <c r="M18" i="33" s="1"/>
  <c r="L10" i="33"/>
  <c r="L18" i="33" s="1"/>
  <c r="K10" i="33"/>
  <c r="K18" i="33" s="1"/>
  <c r="K68" i="33" s="1"/>
  <c r="J10" i="33"/>
  <c r="J18" i="33" s="1"/>
  <c r="I10" i="33"/>
  <c r="I18" i="33" s="1"/>
  <c r="I19" i="33" s="1"/>
  <c r="H10" i="33"/>
  <c r="G10" i="33"/>
  <c r="F10" i="33"/>
  <c r="E10" i="33"/>
  <c r="E18" i="33" s="1"/>
  <c r="O8" i="33"/>
  <c r="N8" i="33"/>
  <c r="M8" i="33"/>
  <c r="L8" i="33"/>
  <c r="K8" i="33"/>
  <c r="J8" i="33"/>
  <c r="I8" i="33"/>
  <c r="H8" i="33"/>
  <c r="G8" i="33"/>
  <c r="F8" i="33"/>
  <c r="E8" i="33"/>
  <c r="D8" i="33"/>
  <c r="B39" i="32"/>
  <c r="B38" i="32"/>
  <c r="G34" i="32"/>
  <c r="E34" i="32"/>
  <c r="D34" i="32"/>
  <c r="G33" i="32"/>
  <c r="E33" i="32"/>
  <c r="D33" i="32"/>
  <c r="G28" i="32"/>
  <c r="E28" i="32"/>
  <c r="D28" i="32"/>
  <c r="G23" i="32"/>
  <c r="E23" i="32"/>
  <c r="D23" i="32"/>
  <c r="G21" i="32"/>
  <c r="E21" i="32"/>
  <c r="D21" i="32"/>
  <c r="B21" i="32"/>
  <c r="G20" i="32"/>
  <c r="E20" i="32"/>
  <c r="D20" i="32"/>
  <c r="B20" i="32"/>
  <c r="G19" i="32"/>
  <c r="E19" i="32"/>
  <c r="D19" i="32"/>
  <c r="G14" i="32"/>
  <c r="E14" i="32"/>
  <c r="D14" i="32"/>
  <c r="B14" i="32"/>
  <c r="G13" i="32"/>
  <c r="E13" i="32"/>
  <c r="D13" i="32"/>
  <c r="G11" i="32"/>
  <c r="E11" i="32"/>
  <c r="D11" i="32"/>
  <c r="B11" i="32"/>
  <c r="G10" i="32"/>
  <c r="E10" i="32"/>
  <c r="D10" i="32"/>
  <c r="E8" i="32"/>
  <c r="D8" i="32"/>
  <c r="B39" i="31"/>
  <c r="B38" i="31"/>
  <c r="G34" i="31"/>
  <c r="E34" i="31"/>
  <c r="D34" i="31"/>
  <c r="G33" i="31"/>
  <c r="E33" i="31"/>
  <c r="D33" i="31"/>
  <c r="G28" i="31"/>
  <c r="E28" i="31"/>
  <c r="D28" i="31"/>
  <c r="G23" i="31"/>
  <c r="E23" i="31"/>
  <c r="D23" i="31"/>
  <c r="G21" i="31"/>
  <c r="E21" i="31"/>
  <c r="D21" i="31"/>
  <c r="B21" i="31"/>
  <c r="G20" i="31"/>
  <c r="E20" i="31"/>
  <c r="D20" i="31"/>
  <c r="B20" i="31"/>
  <c r="G19" i="31"/>
  <c r="E19" i="31"/>
  <c r="D19" i="31"/>
  <c r="G14" i="31"/>
  <c r="E14" i="31"/>
  <c r="D14" i="31"/>
  <c r="B14" i="31"/>
  <c r="G13" i="31"/>
  <c r="E13" i="31"/>
  <c r="D13" i="31"/>
  <c r="G11" i="31"/>
  <c r="E11" i="31"/>
  <c r="D11" i="31"/>
  <c r="B11" i="31"/>
  <c r="G10" i="31"/>
  <c r="E10" i="31"/>
  <c r="D10" i="31"/>
  <c r="E8" i="31"/>
  <c r="D8" i="31"/>
  <c r="Q111" i="30"/>
  <c r="D106" i="30"/>
  <c r="Q106" i="30" s="1"/>
  <c r="Q104" i="30"/>
  <c r="B104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B103" i="30"/>
  <c r="Q102" i="30"/>
  <c r="B102" i="30"/>
  <c r="Q101" i="30"/>
  <c r="B101" i="30"/>
  <c r="O100" i="30"/>
  <c r="N100" i="30"/>
  <c r="M100" i="30"/>
  <c r="L100" i="30"/>
  <c r="K100" i="30"/>
  <c r="J100" i="30"/>
  <c r="I100" i="30"/>
  <c r="H100" i="30"/>
  <c r="G100" i="30"/>
  <c r="F100" i="30"/>
  <c r="E100" i="30"/>
  <c r="D100" i="30"/>
  <c r="B100" i="30"/>
  <c r="Q99" i="30"/>
  <c r="B99" i="30"/>
  <c r="O98" i="30"/>
  <c r="N98" i="30"/>
  <c r="M98" i="30"/>
  <c r="L98" i="30"/>
  <c r="K98" i="30"/>
  <c r="J98" i="30"/>
  <c r="I98" i="30"/>
  <c r="H98" i="30"/>
  <c r="G98" i="30"/>
  <c r="F98" i="30"/>
  <c r="E98" i="30"/>
  <c r="D98" i="30"/>
  <c r="Q98" i="30" s="1"/>
  <c r="B98" i="30"/>
  <c r="Q97" i="30"/>
  <c r="B97" i="30"/>
  <c r="Q96" i="30"/>
  <c r="B96" i="30"/>
  <c r="Q95" i="30"/>
  <c r="B95" i="30"/>
  <c r="Q94" i="30"/>
  <c r="B94" i="30"/>
  <c r="O93" i="30"/>
  <c r="N93" i="30"/>
  <c r="M93" i="30"/>
  <c r="L93" i="30"/>
  <c r="K93" i="30"/>
  <c r="J93" i="30"/>
  <c r="I93" i="30"/>
  <c r="H93" i="30"/>
  <c r="G93" i="30"/>
  <c r="F93" i="30"/>
  <c r="E93" i="30"/>
  <c r="D93" i="30"/>
  <c r="B93" i="30"/>
  <c r="Q92" i="30"/>
  <c r="B92" i="30"/>
  <c r="Q91" i="30"/>
  <c r="B91" i="30"/>
  <c r="O90" i="30"/>
  <c r="N90" i="30"/>
  <c r="M90" i="30"/>
  <c r="L90" i="30"/>
  <c r="K90" i="30"/>
  <c r="J90" i="30"/>
  <c r="I90" i="30"/>
  <c r="H90" i="30"/>
  <c r="G90" i="30"/>
  <c r="F90" i="30"/>
  <c r="E90" i="30"/>
  <c r="D90" i="30"/>
  <c r="Q90" i="30" s="1"/>
  <c r="B90" i="30"/>
  <c r="Q89" i="30"/>
  <c r="B89" i="30"/>
  <c r="Q88" i="30"/>
  <c r="B88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Q87" i="30" s="1"/>
  <c r="B87" i="30"/>
  <c r="Q86" i="30"/>
  <c r="B86" i="30"/>
  <c r="Q85" i="30"/>
  <c r="B85" i="30"/>
  <c r="Q84" i="30"/>
  <c r="B84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B83" i="30"/>
  <c r="Q82" i="30"/>
  <c r="B82" i="30"/>
  <c r="Q81" i="30"/>
  <c r="B81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Q80" i="30" s="1"/>
  <c r="B80" i="30"/>
  <c r="Q79" i="30"/>
  <c r="B79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B78" i="30"/>
  <c r="Q77" i="30"/>
  <c r="B77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B76" i="30"/>
  <c r="Q75" i="30"/>
  <c r="B75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Q74" i="30" s="1"/>
  <c r="B74" i="30"/>
  <c r="Q73" i="30"/>
  <c r="B73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B72" i="30"/>
  <c r="Q71" i="30"/>
  <c r="B71" i="30"/>
  <c r="Q70" i="30"/>
  <c r="B70" i="30"/>
  <c r="O69" i="30"/>
  <c r="O36" i="30" s="1"/>
  <c r="N69" i="30"/>
  <c r="M69" i="30"/>
  <c r="L69" i="30"/>
  <c r="L36" i="30" s="1"/>
  <c r="K69" i="30"/>
  <c r="J69" i="30"/>
  <c r="I69" i="30"/>
  <c r="H69" i="30"/>
  <c r="G69" i="30"/>
  <c r="G36" i="30" s="1"/>
  <c r="F69" i="30"/>
  <c r="E69" i="30"/>
  <c r="D69" i="30"/>
  <c r="D36" i="30" s="1"/>
  <c r="B69" i="30"/>
  <c r="Q68" i="30"/>
  <c r="B68" i="30"/>
  <c r="Q67" i="30"/>
  <c r="B67" i="30"/>
  <c r="O66" i="30"/>
  <c r="N66" i="30"/>
  <c r="M66" i="30"/>
  <c r="L66" i="30"/>
  <c r="K66" i="30"/>
  <c r="J66" i="30"/>
  <c r="I66" i="30"/>
  <c r="H66" i="30"/>
  <c r="G66" i="30"/>
  <c r="F66" i="30"/>
  <c r="Q66" i="30" s="1"/>
  <c r="E66" i="30"/>
  <c r="D66" i="30"/>
  <c r="B66" i="30"/>
  <c r="Q65" i="30"/>
  <c r="B65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B64" i="30"/>
  <c r="Q63" i="30"/>
  <c r="B63" i="30"/>
  <c r="O62" i="30"/>
  <c r="N62" i="30"/>
  <c r="M62" i="30"/>
  <c r="L62" i="30"/>
  <c r="K62" i="30"/>
  <c r="J62" i="30"/>
  <c r="I62" i="30"/>
  <c r="H62" i="30"/>
  <c r="G62" i="30"/>
  <c r="F62" i="30"/>
  <c r="Q62" i="30" s="1"/>
  <c r="E62" i="30"/>
  <c r="D62" i="30"/>
  <c r="B62" i="30"/>
  <c r="Q61" i="30"/>
  <c r="B61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B60" i="30"/>
  <c r="Q59" i="30"/>
  <c r="B59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B58" i="30"/>
  <c r="Q57" i="30"/>
  <c r="B57" i="30"/>
  <c r="Q56" i="30"/>
  <c r="B56" i="30"/>
  <c r="Q55" i="30"/>
  <c r="B55" i="30"/>
  <c r="Q54" i="30"/>
  <c r="B54" i="30"/>
  <c r="Q53" i="30"/>
  <c r="B53" i="30"/>
  <c r="Q52" i="30"/>
  <c r="B52" i="30"/>
  <c r="Q51" i="30"/>
  <c r="B51" i="30"/>
  <c r="Q50" i="30"/>
  <c r="B50" i="30"/>
  <c r="Q49" i="30"/>
  <c r="B49" i="30"/>
  <c r="Q48" i="30"/>
  <c r="B48" i="30"/>
  <c r="O47" i="30"/>
  <c r="N47" i="30"/>
  <c r="M47" i="30"/>
  <c r="L47" i="30"/>
  <c r="K47" i="30"/>
  <c r="J47" i="30"/>
  <c r="I47" i="30"/>
  <c r="H47" i="30"/>
  <c r="Q47" i="30" s="1"/>
  <c r="G47" i="30"/>
  <c r="F47" i="30"/>
  <c r="E47" i="30"/>
  <c r="D47" i="30"/>
  <c r="B47" i="30"/>
  <c r="Q46" i="30"/>
  <c r="B46" i="30"/>
  <c r="Q45" i="30"/>
  <c r="B45" i="30"/>
  <c r="Q44" i="30"/>
  <c r="B44" i="30"/>
  <c r="Q43" i="30"/>
  <c r="B43" i="30"/>
  <c r="Q42" i="30"/>
  <c r="B42" i="30"/>
  <c r="Q41" i="30"/>
  <c r="B41" i="30"/>
  <c r="Q40" i="30"/>
  <c r="B40" i="30"/>
  <c r="Q39" i="30"/>
  <c r="B39" i="30"/>
  <c r="Q38" i="30"/>
  <c r="B38" i="30"/>
  <c r="O37" i="30"/>
  <c r="N37" i="30"/>
  <c r="M37" i="30"/>
  <c r="L37" i="30"/>
  <c r="K37" i="30"/>
  <c r="J37" i="30"/>
  <c r="J36" i="30" s="1"/>
  <c r="J108" i="30" s="1"/>
  <c r="I37" i="30"/>
  <c r="H37" i="30"/>
  <c r="G37" i="30"/>
  <c r="F37" i="30"/>
  <c r="E37" i="30"/>
  <c r="D37" i="30"/>
  <c r="B37" i="30"/>
  <c r="N36" i="30"/>
  <c r="I36" i="30"/>
  <c r="H36" i="30"/>
  <c r="F36" i="30"/>
  <c r="K33" i="30"/>
  <c r="J33" i="30"/>
  <c r="J34" i="30" s="1"/>
  <c r="I33" i="30"/>
  <c r="H33" i="30"/>
  <c r="H108" i="30" s="1"/>
  <c r="Q31" i="30"/>
  <c r="B31" i="30"/>
  <c r="Q30" i="30"/>
  <c r="B30" i="30"/>
  <c r="Q29" i="30"/>
  <c r="B29" i="30"/>
  <c r="Q28" i="30"/>
  <c r="B28" i="30"/>
  <c r="Q27" i="30"/>
  <c r="B27" i="30"/>
  <c r="Q26" i="30"/>
  <c r="B26" i="30"/>
  <c r="Q25" i="30"/>
  <c r="B25" i="30"/>
  <c r="Q24" i="30"/>
  <c r="B24" i="30"/>
  <c r="Q23" i="30"/>
  <c r="B23" i="30"/>
  <c r="Q22" i="30"/>
  <c r="B22" i="30"/>
  <c r="Q21" i="30"/>
  <c r="B21" i="30"/>
  <c r="Q20" i="30"/>
  <c r="B20" i="30"/>
  <c r="Q19" i="30"/>
  <c r="B19" i="30"/>
  <c r="Q18" i="30"/>
  <c r="B18" i="30"/>
  <c r="Q17" i="30"/>
  <c r="Q16" i="30" s="1"/>
  <c r="B17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Q14" i="30"/>
  <c r="D14" i="30"/>
  <c r="B14" i="30"/>
  <c r="Q13" i="30"/>
  <c r="D13" i="30"/>
  <c r="B13" i="30"/>
  <c r="Q12" i="30"/>
  <c r="D12" i="30"/>
  <c r="B12" i="30"/>
  <c r="Q11" i="30"/>
  <c r="Q10" i="30" s="1"/>
  <c r="D11" i="30"/>
  <c r="B11" i="30"/>
  <c r="O10" i="30"/>
  <c r="O33" i="30" s="1"/>
  <c r="N10" i="30"/>
  <c r="N33" i="30" s="1"/>
  <c r="M10" i="30"/>
  <c r="M33" i="30" s="1"/>
  <c r="L10" i="30"/>
  <c r="L33" i="30" s="1"/>
  <c r="K10" i="30"/>
  <c r="J10" i="30"/>
  <c r="I10" i="30"/>
  <c r="H10" i="30"/>
  <c r="G10" i="30"/>
  <c r="G33" i="30" s="1"/>
  <c r="F10" i="30"/>
  <c r="F33" i="30" s="1"/>
  <c r="E10" i="30"/>
  <c r="E33" i="30" s="1"/>
  <c r="D10" i="30"/>
  <c r="D33" i="30" s="1"/>
  <c r="O8" i="30"/>
  <c r="N8" i="30"/>
  <c r="M8" i="30"/>
  <c r="L8" i="30"/>
  <c r="K8" i="30"/>
  <c r="J8" i="30"/>
  <c r="I8" i="30"/>
  <c r="H8" i="30"/>
  <c r="G8" i="30"/>
  <c r="F8" i="30"/>
  <c r="E8" i="30"/>
  <c r="D8" i="30"/>
  <c r="B39" i="29"/>
  <c r="B38" i="29"/>
  <c r="G34" i="29"/>
  <c r="E34" i="29"/>
  <c r="D34" i="29"/>
  <c r="G33" i="29"/>
  <c r="E33" i="29"/>
  <c r="D33" i="29"/>
  <c r="G28" i="29"/>
  <c r="E28" i="29"/>
  <c r="D28" i="29"/>
  <c r="G23" i="29"/>
  <c r="E23" i="29"/>
  <c r="D23" i="29"/>
  <c r="G21" i="29"/>
  <c r="E21" i="29"/>
  <c r="D21" i="29"/>
  <c r="B21" i="29"/>
  <c r="G20" i="29"/>
  <c r="E20" i="29"/>
  <c r="D20" i="29"/>
  <c r="B20" i="29"/>
  <c r="G19" i="29"/>
  <c r="E19" i="29"/>
  <c r="D19" i="29"/>
  <c r="G14" i="29"/>
  <c r="E14" i="29"/>
  <c r="D14" i="29"/>
  <c r="B14" i="29"/>
  <c r="G13" i="29"/>
  <c r="E13" i="29"/>
  <c r="D13" i="29"/>
  <c r="G11" i="29"/>
  <c r="E11" i="29"/>
  <c r="D11" i="29"/>
  <c r="B11" i="29"/>
  <c r="G10" i="29"/>
  <c r="E10" i="29"/>
  <c r="D10" i="29"/>
  <c r="E8" i="29"/>
  <c r="D8" i="29"/>
  <c r="B39" i="28"/>
  <c r="B38" i="28"/>
  <c r="G34" i="28"/>
  <c r="E34" i="28"/>
  <c r="D34" i="28"/>
  <c r="G33" i="28"/>
  <c r="E33" i="28"/>
  <c r="D33" i="28"/>
  <c r="G28" i="28"/>
  <c r="E28" i="28"/>
  <c r="D28" i="28"/>
  <c r="G23" i="28"/>
  <c r="E23" i="28"/>
  <c r="D23" i="28"/>
  <c r="G21" i="28"/>
  <c r="E21" i="28"/>
  <c r="D21" i="28"/>
  <c r="B21" i="28"/>
  <c r="G20" i="28"/>
  <c r="E20" i="28"/>
  <c r="D20" i="28"/>
  <c r="B20" i="28"/>
  <c r="G19" i="28"/>
  <c r="E19" i="28"/>
  <c r="D19" i="28"/>
  <c r="G14" i="28"/>
  <c r="E14" i="28"/>
  <c r="D14" i="28"/>
  <c r="B14" i="28"/>
  <c r="G13" i="28"/>
  <c r="E13" i="28"/>
  <c r="D13" i="28"/>
  <c r="G11" i="28"/>
  <c r="E11" i="28"/>
  <c r="D11" i="28"/>
  <c r="B11" i="28"/>
  <c r="G10" i="28"/>
  <c r="E10" i="28"/>
  <c r="D10" i="28"/>
  <c r="E8" i="28"/>
  <c r="D8" i="28"/>
  <c r="Q87" i="27"/>
  <c r="Q82" i="27"/>
  <c r="D82" i="27"/>
  <c r="Q80" i="27"/>
  <c r="B80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B79" i="27"/>
  <c r="Q78" i="27"/>
  <c r="B78" i="27"/>
  <c r="Q77" i="27"/>
  <c r="B77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B76" i="27"/>
  <c r="Q75" i="27"/>
  <c r="B75" i="27"/>
  <c r="Q74" i="27"/>
  <c r="B74" i="27"/>
  <c r="O73" i="27"/>
  <c r="N73" i="27"/>
  <c r="M73" i="27"/>
  <c r="L73" i="27"/>
  <c r="K73" i="27"/>
  <c r="J73" i="27"/>
  <c r="I73" i="27"/>
  <c r="H73" i="27"/>
  <c r="Q73" i="27" s="1"/>
  <c r="G73" i="27"/>
  <c r="F73" i="27"/>
  <c r="E73" i="27"/>
  <c r="D73" i="27"/>
  <c r="B73" i="27"/>
  <c r="Q72" i="27"/>
  <c r="B72" i="27"/>
  <c r="Q71" i="27"/>
  <c r="B71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B70" i="27"/>
  <c r="Q69" i="27"/>
  <c r="B69" i="27"/>
  <c r="Q68" i="27"/>
  <c r="B68" i="27"/>
  <c r="Q67" i="27"/>
  <c r="B67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Q66" i="27" s="1"/>
  <c r="B66" i="27"/>
  <c r="Q65" i="27"/>
  <c r="B65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Q64" i="27" s="1"/>
  <c r="B64" i="27"/>
  <c r="Q63" i="27"/>
  <c r="B63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B62" i="27"/>
  <c r="Q61" i="27"/>
  <c r="B61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Q60" i="27" s="1"/>
  <c r="B60" i="27"/>
  <c r="Q59" i="27"/>
  <c r="B59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B58" i="27"/>
  <c r="Q57" i="27"/>
  <c r="B57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B56" i="27"/>
  <c r="Q55" i="27"/>
  <c r="B55" i="27"/>
  <c r="O54" i="27"/>
  <c r="N54" i="27"/>
  <c r="M54" i="27"/>
  <c r="M31" i="27" s="1"/>
  <c r="L54" i="27"/>
  <c r="L31" i="27" s="1"/>
  <c r="K54" i="27"/>
  <c r="J54" i="27"/>
  <c r="I54" i="27"/>
  <c r="H54" i="27"/>
  <c r="G54" i="27"/>
  <c r="F54" i="27"/>
  <c r="E54" i="27"/>
  <c r="E31" i="27" s="1"/>
  <c r="D54" i="27"/>
  <c r="D31" i="27" s="1"/>
  <c r="B54" i="27"/>
  <c r="Q53" i="27"/>
  <c r="B53" i="27"/>
  <c r="Q52" i="27"/>
  <c r="B52" i="27"/>
  <c r="Q51" i="27"/>
  <c r="B51" i="27"/>
  <c r="Q50" i="27"/>
  <c r="B50" i="27"/>
  <c r="Q49" i="27"/>
  <c r="B49" i="27"/>
  <c r="Q48" i="27"/>
  <c r="B48" i="27"/>
  <c r="Q47" i="27"/>
  <c r="B47" i="27"/>
  <c r="Q46" i="27"/>
  <c r="B46" i="27"/>
  <c r="Q45" i="27"/>
  <c r="B45" i="27"/>
  <c r="Q44" i="27"/>
  <c r="B44" i="27"/>
  <c r="O43" i="27"/>
  <c r="N43" i="27"/>
  <c r="M43" i="27"/>
  <c r="L43" i="27"/>
  <c r="K43" i="27"/>
  <c r="J43" i="27"/>
  <c r="I43" i="27"/>
  <c r="H43" i="27"/>
  <c r="Q43" i="27" s="1"/>
  <c r="G43" i="27"/>
  <c r="F43" i="27"/>
  <c r="E43" i="27"/>
  <c r="D43" i="27"/>
  <c r="B43" i="27"/>
  <c r="Q42" i="27"/>
  <c r="B42" i="27"/>
  <c r="Q41" i="27"/>
  <c r="B41" i="27"/>
  <c r="Q40" i="27"/>
  <c r="B40" i="27"/>
  <c r="Q39" i="27"/>
  <c r="B39" i="27"/>
  <c r="Q38" i="27"/>
  <c r="B38" i="27"/>
  <c r="Q37" i="27"/>
  <c r="B37" i="27"/>
  <c r="Q36" i="27"/>
  <c r="B36" i="27"/>
  <c r="Q35" i="27"/>
  <c r="B35" i="27"/>
  <c r="Q34" i="27"/>
  <c r="B34" i="27"/>
  <c r="Q33" i="27"/>
  <c r="B33" i="27"/>
  <c r="O32" i="27"/>
  <c r="N32" i="27"/>
  <c r="M32" i="27"/>
  <c r="L32" i="27"/>
  <c r="K32" i="27"/>
  <c r="K31" i="27" s="1"/>
  <c r="J32" i="27"/>
  <c r="J31" i="27" s="1"/>
  <c r="I32" i="27"/>
  <c r="H32" i="27"/>
  <c r="Q32" i="27" s="1"/>
  <c r="G32" i="27"/>
  <c r="F32" i="27"/>
  <c r="E32" i="27"/>
  <c r="D32" i="27"/>
  <c r="B32" i="27"/>
  <c r="N31" i="27"/>
  <c r="I31" i="27"/>
  <c r="H31" i="27"/>
  <c r="F31" i="27"/>
  <c r="K28" i="27"/>
  <c r="H28" i="27"/>
  <c r="H84" i="27" s="1"/>
  <c r="Q26" i="27"/>
  <c r="B26" i="27"/>
  <c r="Q25" i="27"/>
  <c r="B25" i="27"/>
  <c r="Q24" i="27"/>
  <c r="B24" i="27"/>
  <c r="Q23" i="27"/>
  <c r="B23" i="27"/>
  <c r="Q22" i="27"/>
  <c r="B22" i="27"/>
  <c r="Q21" i="27"/>
  <c r="B21" i="27"/>
  <c r="Q20" i="27"/>
  <c r="B20" i="27"/>
  <c r="Q19" i="27"/>
  <c r="B19" i="27"/>
  <c r="Q18" i="27"/>
  <c r="B18" i="27"/>
  <c r="Q17" i="27"/>
  <c r="Q16" i="27" s="1"/>
  <c r="B17" i="27"/>
  <c r="O16" i="27"/>
  <c r="N16" i="27"/>
  <c r="M16" i="27"/>
  <c r="L16" i="27"/>
  <c r="K16" i="27"/>
  <c r="J16" i="27"/>
  <c r="I16" i="27"/>
  <c r="I28" i="27" s="1"/>
  <c r="H16" i="27"/>
  <c r="G16" i="27"/>
  <c r="F16" i="27"/>
  <c r="E16" i="27"/>
  <c r="D16" i="27"/>
  <c r="Q14" i="27"/>
  <c r="D14" i="27"/>
  <c r="B14" i="27"/>
  <c r="D13" i="27"/>
  <c r="Q13" i="27" s="1"/>
  <c r="B13" i="27"/>
  <c r="D12" i="27"/>
  <c r="B12" i="27"/>
  <c r="D11" i="27"/>
  <c r="Q11" i="27" s="1"/>
  <c r="B11" i="27"/>
  <c r="O10" i="27"/>
  <c r="O28" i="27" s="1"/>
  <c r="N10" i="27"/>
  <c r="N28" i="27" s="1"/>
  <c r="N84" i="27" s="1"/>
  <c r="M10" i="27"/>
  <c r="M28" i="27" s="1"/>
  <c r="L10" i="27"/>
  <c r="K10" i="27"/>
  <c r="J10" i="27"/>
  <c r="J28" i="27" s="1"/>
  <c r="I10" i="27"/>
  <c r="H10" i="27"/>
  <c r="G10" i="27"/>
  <c r="G28" i="27" s="1"/>
  <c r="F10" i="27"/>
  <c r="F28" i="27" s="1"/>
  <c r="E10" i="27"/>
  <c r="E28" i="27" s="1"/>
  <c r="O8" i="27"/>
  <c r="N8" i="27"/>
  <c r="M8" i="27"/>
  <c r="L8" i="27"/>
  <c r="K8" i="27"/>
  <c r="J8" i="27"/>
  <c r="I8" i="27"/>
  <c r="H8" i="27"/>
  <c r="G8" i="27"/>
  <c r="F8" i="27"/>
  <c r="E8" i="27"/>
  <c r="D8" i="27"/>
  <c r="B39" i="26"/>
  <c r="B38" i="26"/>
  <c r="G34" i="26"/>
  <c r="E34" i="26"/>
  <c r="D34" i="26"/>
  <c r="G33" i="26"/>
  <c r="E33" i="26"/>
  <c r="D33" i="26"/>
  <c r="G28" i="26"/>
  <c r="E28" i="26"/>
  <c r="D28" i="26"/>
  <c r="G23" i="26"/>
  <c r="E23" i="26"/>
  <c r="D23" i="26"/>
  <c r="G21" i="26"/>
  <c r="E21" i="26"/>
  <c r="D21" i="26"/>
  <c r="B21" i="26"/>
  <c r="G20" i="26"/>
  <c r="E20" i="26"/>
  <c r="D20" i="26"/>
  <c r="B20" i="26"/>
  <c r="G19" i="26"/>
  <c r="E19" i="26"/>
  <c r="D19" i="26"/>
  <c r="G14" i="26"/>
  <c r="E14" i="26"/>
  <c r="D14" i="26"/>
  <c r="B14" i="26"/>
  <c r="G13" i="26"/>
  <c r="E13" i="26"/>
  <c r="D13" i="26"/>
  <c r="G11" i="26"/>
  <c r="E11" i="26"/>
  <c r="D11" i="26"/>
  <c r="B11" i="26"/>
  <c r="G10" i="26"/>
  <c r="E10" i="26"/>
  <c r="D10" i="26"/>
  <c r="E8" i="26"/>
  <c r="D8" i="26"/>
  <c r="B39" i="25"/>
  <c r="B38" i="25"/>
  <c r="G34" i="25"/>
  <c r="E34" i="25"/>
  <c r="D34" i="25"/>
  <c r="G33" i="25"/>
  <c r="E33" i="25"/>
  <c r="D33" i="25"/>
  <c r="G28" i="25"/>
  <c r="E28" i="25"/>
  <c r="D28" i="25"/>
  <c r="G23" i="25"/>
  <c r="E23" i="25"/>
  <c r="D23" i="25"/>
  <c r="G21" i="25"/>
  <c r="E21" i="25"/>
  <c r="D21" i="25"/>
  <c r="B21" i="25"/>
  <c r="G20" i="25"/>
  <c r="E20" i="25"/>
  <c r="D20" i="25"/>
  <c r="B20" i="25"/>
  <c r="G19" i="25"/>
  <c r="E19" i="25"/>
  <c r="D19" i="25"/>
  <c r="G14" i="25"/>
  <c r="E14" i="25"/>
  <c r="D14" i="25"/>
  <c r="B14" i="25"/>
  <c r="G13" i="25"/>
  <c r="E13" i="25"/>
  <c r="D13" i="25"/>
  <c r="G11" i="25"/>
  <c r="E11" i="25"/>
  <c r="D11" i="25"/>
  <c r="B11" i="25"/>
  <c r="G10" i="25"/>
  <c r="E10" i="25"/>
  <c r="D10" i="25"/>
  <c r="E8" i="25"/>
  <c r="D8" i="25"/>
  <c r="Q65" i="24"/>
  <c r="D60" i="24"/>
  <c r="Q60" i="24" s="1"/>
  <c r="Q58" i="24"/>
  <c r="B58" i="24"/>
  <c r="O57" i="24"/>
  <c r="N57" i="24"/>
  <c r="M57" i="24"/>
  <c r="L57" i="24"/>
  <c r="K57" i="24"/>
  <c r="K20" i="24" s="1"/>
  <c r="J57" i="24"/>
  <c r="I57" i="24"/>
  <c r="H57" i="24"/>
  <c r="G57" i="24"/>
  <c r="F57" i="24"/>
  <c r="E57" i="24"/>
  <c r="D57" i="24"/>
  <c r="B57" i="24"/>
  <c r="Q56" i="24"/>
  <c r="B56" i="24"/>
  <c r="Q55" i="24"/>
  <c r="B55" i="24"/>
  <c r="Q54" i="24"/>
  <c r="B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B53" i="24"/>
  <c r="Q52" i="24"/>
  <c r="B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Q51" i="24" s="1"/>
  <c r="B51" i="24"/>
  <c r="Q50" i="24"/>
  <c r="B5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Q49" i="24" s="1"/>
  <c r="B49" i="24"/>
  <c r="Q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B47" i="24"/>
  <c r="Q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Q45" i="24" s="1"/>
  <c r="B45" i="24"/>
  <c r="Q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B43" i="24"/>
  <c r="Q42" i="24"/>
  <c r="B42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B41" i="24"/>
  <c r="Q40" i="24"/>
  <c r="B40" i="24"/>
  <c r="Q39" i="24"/>
  <c r="B39" i="24"/>
  <c r="Q38" i="24"/>
  <c r="B38" i="24"/>
  <c r="Q37" i="24"/>
  <c r="B37" i="24"/>
  <c r="Q36" i="24"/>
  <c r="B36" i="24"/>
  <c r="Q35" i="24"/>
  <c r="B35" i="24"/>
  <c r="Q34" i="24"/>
  <c r="B34" i="24"/>
  <c r="Q33" i="24"/>
  <c r="B33" i="24"/>
  <c r="Q32" i="24"/>
  <c r="B32" i="24"/>
  <c r="Q31" i="24"/>
  <c r="B31" i="24"/>
  <c r="O30" i="24"/>
  <c r="N30" i="24"/>
  <c r="M30" i="24"/>
  <c r="L30" i="24"/>
  <c r="K30" i="24"/>
  <c r="J30" i="24"/>
  <c r="I30" i="24"/>
  <c r="I20" i="24" s="1"/>
  <c r="H30" i="24"/>
  <c r="Q30" i="24" s="1"/>
  <c r="G30" i="24"/>
  <c r="F30" i="24"/>
  <c r="E30" i="24"/>
  <c r="D30" i="24"/>
  <c r="B30" i="24"/>
  <c r="Q29" i="24"/>
  <c r="B29" i="24"/>
  <c r="Q28" i="24"/>
  <c r="B28" i="24"/>
  <c r="Q27" i="24"/>
  <c r="B27" i="24"/>
  <c r="Q26" i="24"/>
  <c r="B26" i="24"/>
  <c r="Q25" i="24"/>
  <c r="B25" i="24"/>
  <c r="Q24" i="24"/>
  <c r="B24" i="24"/>
  <c r="Q23" i="24"/>
  <c r="B23" i="24"/>
  <c r="Q22" i="24"/>
  <c r="B22" i="24"/>
  <c r="O21" i="24"/>
  <c r="N21" i="24"/>
  <c r="N20" i="24" s="1"/>
  <c r="M21" i="24"/>
  <c r="L21" i="24"/>
  <c r="K21" i="24"/>
  <c r="J21" i="24"/>
  <c r="I21" i="24"/>
  <c r="H21" i="24"/>
  <c r="G21" i="24"/>
  <c r="F21" i="24"/>
  <c r="F20" i="24" s="1"/>
  <c r="E21" i="24"/>
  <c r="D21" i="24"/>
  <c r="B21" i="24"/>
  <c r="M20" i="24"/>
  <c r="L20" i="24"/>
  <c r="J20" i="24"/>
  <c r="E20" i="24"/>
  <c r="D20" i="24"/>
  <c r="J18" i="24"/>
  <c r="O17" i="24"/>
  <c r="G17" i="24"/>
  <c r="Q15" i="24"/>
  <c r="B15" i="24"/>
  <c r="Q14" i="24"/>
  <c r="O14" i="24"/>
  <c r="N14" i="24"/>
  <c r="N17" i="24" s="1"/>
  <c r="M14" i="24"/>
  <c r="M17" i="24" s="1"/>
  <c r="L14" i="24"/>
  <c r="L17" i="24" s="1"/>
  <c r="K14" i="24"/>
  <c r="J14" i="24"/>
  <c r="I14" i="24"/>
  <c r="H14" i="24"/>
  <c r="G14" i="24"/>
  <c r="F14" i="24"/>
  <c r="F17" i="24" s="1"/>
  <c r="E14" i="24"/>
  <c r="E17" i="24" s="1"/>
  <c r="D14" i="24"/>
  <c r="D17" i="24" s="1"/>
  <c r="Q12" i="24"/>
  <c r="D12" i="24"/>
  <c r="B12" i="24"/>
  <c r="Q11" i="24"/>
  <c r="D11" i="24"/>
  <c r="B11" i="24"/>
  <c r="Q10" i="24"/>
  <c r="Q17" i="24" s="1"/>
  <c r="O10" i="24"/>
  <c r="N10" i="24"/>
  <c r="M10" i="24"/>
  <c r="L10" i="24"/>
  <c r="K10" i="24"/>
  <c r="K17" i="24" s="1"/>
  <c r="J10" i="24"/>
  <c r="J17" i="24" s="1"/>
  <c r="J62" i="24" s="1"/>
  <c r="I10" i="24"/>
  <c r="I17" i="24" s="1"/>
  <c r="H10" i="24"/>
  <c r="H17" i="24" s="1"/>
  <c r="G10" i="24"/>
  <c r="F10" i="24"/>
  <c r="E10" i="24"/>
  <c r="D10" i="24"/>
  <c r="O8" i="24"/>
  <c r="N8" i="24"/>
  <c r="M8" i="24"/>
  <c r="L8" i="24"/>
  <c r="K8" i="24"/>
  <c r="J8" i="24"/>
  <c r="I8" i="24"/>
  <c r="H8" i="24"/>
  <c r="G8" i="24"/>
  <c r="F8" i="24"/>
  <c r="E8" i="24"/>
  <c r="D8" i="24"/>
  <c r="B39" i="23"/>
  <c r="B38" i="23"/>
  <c r="G34" i="23"/>
  <c r="E34" i="23"/>
  <c r="D34" i="23"/>
  <c r="G33" i="23"/>
  <c r="E33" i="23"/>
  <c r="D33" i="23"/>
  <c r="G28" i="23"/>
  <c r="E28" i="23"/>
  <c r="D28" i="23"/>
  <c r="G23" i="23"/>
  <c r="E23" i="23"/>
  <c r="D23" i="23"/>
  <c r="G21" i="23"/>
  <c r="E21" i="23"/>
  <c r="D21" i="23"/>
  <c r="B21" i="23"/>
  <c r="G20" i="23"/>
  <c r="E20" i="23"/>
  <c r="D20" i="23"/>
  <c r="B20" i="23"/>
  <c r="G19" i="23"/>
  <c r="E19" i="23"/>
  <c r="D19" i="23"/>
  <c r="G14" i="23"/>
  <c r="E14" i="23"/>
  <c r="D14" i="23"/>
  <c r="B14" i="23"/>
  <c r="G13" i="23"/>
  <c r="E13" i="23"/>
  <c r="D13" i="23"/>
  <c r="G11" i="23"/>
  <c r="E11" i="23"/>
  <c r="D11" i="23"/>
  <c r="B11" i="23"/>
  <c r="G10" i="23"/>
  <c r="E10" i="23"/>
  <c r="D10" i="23"/>
  <c r="E8" i="23"/>
  <c r="D8" i="23"/>
  <c r="B39" i="22"/>
  <c r="B38" i="22"/>
  <c r="G34" i="22"/>
  <c r="E34" i="22"/>
  <c r="D34" i="22"/>
  <c r="G33" i="22"/>
  <c r="E33" i="22"/>
  <c r="D33" i="22"/>
  <c r="G28" i="22"/>
  <c r="E28" i="22"/>
  <c r="D28" i="22"/>
  <c r="G23" i="22"/>
  <c r="E23" i="22"/>
  <c r="D23" i="22"/>
  <c r="G21" i="22"/>
  <c r="E21" i="22"/>
  <c r="D21" i="22"/>
  <c r="B21" i="22"/>
  <c r="G20" i="22"/>
  <c r="E20" i="22"/>
  <c r="D20" i="22"/>
  <c r="B20" i="22"/>
  <c r="G19" i="22"/>
  <c r="E19" i="22"/>
  <c r="D19" i="22"/>
  <c r="G14" i="22"/>
  <c r="E14" i="22"/>
  <c r="D14" i="22"/>
  <c r="B14" i="22"/>
  <c r="G13" i="22"/>
  <c r="E13" i="22"/>
  <c r="D13" i="22"/>
  <c r="G11" i="22"/>
  <c r="E11" i="22"/>
  <c r="D11" i="22"/>
  <c r="B11" i="22"/>
  <c r="G10" i="22"/>
  <c r="E10" i="22"/>
  <c r="D10" i="22"/>
  <c r="E8" i="22"/>
  <c r="D8" i="22"/>
  <c r="Q89" i="21"/>
  <c r="Q84" i="21"/>
  <c r="D84" i="21"/>
  <c r="Q82" i="21"/>
  <c r="B82" i="21"/>
  <c r="O81" i="21"/>
  <c r="N81" i="21"/>
  <c r="M81" i="21"/>
  <c r="L81" i="21"/>
  <c r="K81" i="21"/>
  <c r="J81" i="21"/>
  <c r="I81" i="21"/>
  <c r="H81" i="21"/>
  <c r="G81" i="21"/>
  <c r="F81" i="21"/>
  <c r="E81" i="21"/>
  <c r="D81" i="21"/>
  <c r="B81" i="21"/>
  <c r="Q80" i="21"/>
  <c r="B80" i="21"/>
  <c r="O79" i="21"/>
  <c r="N79" i="21"/>
  <c r="M79" i="21"/>
  <c r="L79" i="21"/>
  <c r="K79" i="21"/>
  <c r="J79" i="21"/>
  <c r="I79" i="21"/>
  <c r="H79" i="21"/>
  <c r="G79" i="21"/>
  <c r="F79" i="21"/>
  <c r="E79" i="21"/>
  <c r="D79" i="21"/>
  <c r="Q79" i="21" s="1"/>
  <c r="B79" i="21"/>
  <c r="Q78" i="21"/>
  <c r="B78" i="21"/>
  <c r="Q77" i="21"/>
  <c r="B77" i="21"/>
  <c r="O76" i="21"/>
  <c r="N76" i="21"/>
  <c r="M76" i="21"/>
  <c r="L76" i="21"/>
  <c r="K76" i="21"/>
  <c r="J76" i="21"/>
  <c r="I76" i="21"/>
  <c r="H76" i="21"/>
  <c r="Q76" i="21" s="1"/>
  <c r="G76" i="21"/>
  <c r="F76" i="21"/>
  <c r="E76" i="21"/>
  <c r="D76" i="21"/>
  <c r="B76" i="21"/>
  <c r="Q75" i="21"/>
  <c r="B75" i="21"/>
  <c r="Q74" i="21"/>
  <c r="B74" i="21"/>
  <c r="Q73" i="21"/>
  <c r="B73" i="21"/>
  <c r="Q72" i="21"/>
  <c r="B72" i="21"/>
  <c r="Q71" i="21"/>
  <c r="B71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B70" i="21"/>
  <c r="Q69" i="21"/>
  <c r="B69" i="21"/>
  <c r="Q68" i="21"/>
  <c r="B68" i="21"/>
  <c r="O67" i="21"/>
  <c r="N67" i="21"/>
  <c r="M67" i="21"/>
  <c r="L67" i="21"/>
  <c r="K67" i="21"/>
  <c r="J67" i="21"/>
  <c r="I67" i="21"/>
  <c r="H67" i="21"/>
  <c r="G67" i="21"/>
  <c r="F67" i="21"/>
  <c r="E67" i="21"/>
  <c r="Q67" i="21" s="1"/>
  <c r="D67" i="21"/>
  <c r="B67" i="21"/>
  <c r="Q66" i="21"/>
  <c r="B66" i="21"/>
  <c r="O65" i="21"/>
  <c r="N65" i="21"/>
  <c r="M65" i="21"/>
  <c r="L65" i="21"/>
  <c r="K65" i="21"/>
  <c r="J65" i="21"/>
  <c r="I65" i="21"/>
  <c r="H65" i="21"/>
  <c r="G65" i="21"/>
  <c r="F65" i="21"/>
  <c r="E65" i="21"/>
  <c r="Q65" i="21" s="1"/>
  <c r="D65" i="21"/>
  <c r="B65" i="21"/>
  <c r="Q64" i="21"/>
  <c r="B64" i="21"/>
  <c r="Q63" i="21"/>
  <c r="B63" i="21"/>
  <c r="Q62" i="21"/>
  <c r="B62" i="21"/>
  <c r="O61" i="21"/>
  <c r="N61" i="21"/>
  <c r="M61" i="21"/>
  <c r="L61" i="21"/>
  <c r="K61" i="21"/>
  <c r="J61" i="21"/>
  <c r="I61" i="21"/>
  <c r="H61" i="21"/>
  <c r="G61" i="21"/>
  <c r="G21" i="21" s="1"/>
  <c r="F61" i="21"/>
  <c r="E61" i="21"/>
  <c r="D61" i="21"/>
  <c r="B61" i="21"/>
  <c r="Q60" i="21"/>
  <c r="B60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B59" i="21"/>
  <c r="Q58" i="21"/>
  <c r="B58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B57" i="21"/>
  <c r="Q56" i="21"/>
  <c r="B56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Q55" i="21" s="1"/>
  <c r="B55" i="21"/>
  <c r="Q54" i="21"/>
  <c r="B54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Q53" i="21" s="1"/>
  <c r="B53" i="21"/>
  <c r="Q52" i="21"/>
  <c r="B52" i="21"/>
  <c r="O51" i="21"/>
  <c r="O21" i="21" s="1"/>
  <c r="N51" i="21"/>
  <c r="M51" i="21"/>
  <c r="L51" i="21"/>
  <c r="K51" i="21"/>
  <c r="J51" i="21"/>
  <c r="I51" i="21"/>
  <c r="H51" i="21"/>
  <c r="G51" i="21"/>
  <c r="F51" i="21"/>
  <c r="E51" i="21"/>
  <c r="D51" i="21"/>
  <c r="Q51" i="21" s="1"/>
  <c r="B51" i="21"/>
  <c r="Q50" i="21"/>
  <c r="B50" i="21"/>
  <c r="Q49" i="21"/>
  <c r="B49" i="21"/>
  <c r="O48" i="21"/>
  <c r="N48" i="21"/>
  <c r="M48" i="21"/>
  <c r="L48" i="21"/>
  <c r="K48" i="21"/>
  <c r="J48" i="21"/>
  <c r="I48" i="21"/>
  <c r="H48" i="21"/>
  <c r="Q48" i="21" s="1"/>
  <c r="G48" i="21"/>
  <c r="F48" i="21"/>
  <c r="E48" i="21"/>
  <c r="D48" i="21"/>
  <c r="B48" i="21"/>
  <c r="Q47" i="21"/>
  <c r="B47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B46" i="21"/>
  <c r="Q45" i="21"/>
  <c r="B45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B44" i="21"/>
  <c r="Q43" i="21"/>
  <c r="B43" i="21"/>
  <c r="O42" i="21"/>
  <c r="N42" i="21"/>
  <c r="M42" i="21"/>
  <c r="L42" i="21"/>
  <c r="K42" i="21"/>
  <c r="J42" i="21"/>
  <c r="I42" i="21"/>
  <c r="H42" i="21"/>
  <c r="Q42" i="21" s="1"/>
  <c r="G42" i="21"/>
  <c r="F42" i="21"/>
  <c r="E42" i="21"/>
  <c r="D42" i="21"/>
  <c r="B42" i="21"/>
  <c r="Q41" i="21"/>
  <c r="B41" i="21"/>
  <c r="Q40" i="21"/>
  <c r="B40" i="21"/>
  <c r="Q39" i="21"/>
  <c r="B39" i="21"/>
  <c r="Q38" i="21"/>
  <c r="B38" i="21"/>
  <c r="Q37" i="21"/>
  <c r="B37" i="21"/>
  <c r="Q36" i="21"/>
  <c r="B36" i="21"/>
  <c r="Q35" i="21"/>
  <c r="B35" i="21"/>
  <c r="Q34" i="21"/>
  <c r="B34" i="21"/>
  <c r="Q33" i="21"/>
  <c r="B33" i="21"/>
  <c r="Q32" i="21"/>
  <c r="B32" i="21"/>
  <c r="O31" i="21"/>
  <c r="N31" i="21"/>
  <c r="M31" i="21"/>
  <c r="M21" i="21" s="1"/>
  <c r="L31" i="21"/>
  <c r="K31" i="21"/>
  <c r="J31" i="21"/>
  <c r="J21" i="21" s="1"/>
  <c r="I31" i="21"/>
  <c r="H31" i="21"/>
  <c r="G31" i="21"/>
  <c r="F31" i="21"/>
  <c r="E31" i="21"/>
  <c r="E21" i="21" s="1"/>
  <c r="D31" i="21"/>
  <c r="B31" i="21"/>
  <c r="Q30" i="21"/>
  <c r="B30" i="21"/>
  <c r="Q29" i="21"/>
  <c r="B29" i="21"/>
  <c r="Q28" i="21"/>
  <c r="B28" i="21"/>
  <c r="Q27" i="21"/>
  <c r="B27" i="21"/>
  <c r="Q26" i="21"/>
  <c r="B26" i="21"/>
  <c r="Q25" i="21"/>
  <c r="B25" i="21"/>
  <c r="Q24" i="21"/>
  <c r="B24" i="21"/>
  <c r="Q23" i="21"/>
  <c r="B23" i="21"/>
  <c r="O22" i="21"/>
  <c r="N22" i="21"/>
  <c r="M22" i="21"/>
  <c r="L22" i="21"/>
  <c r="K22" i="21"/>
  <c r="K21" i="21" s="1"/>
  <c r="J22" i="21"/>
  <c r="I22" i="21"/>
  <c r="H22" i="21"/>
  <c r="Q22" i="21" s="1"/>
  <c r="G22" i="21"/>
  <c r="F22" i="21"/>
  <c r="E22" i="21"/>
  <c r="D22" i="21"/>
  <c r="B22" i="21"/>
  <c r="N21" i="21"/>
  <c r="N86" i="21" s="1"/>
  <c r="L21" i="21"/>
  <c r="F21" i="21"/>
  <c r="F86" i="21" s="1"/>
  <c r="D21" i="21"/>
  <c r="N19" i="21"/>
  <c r="L19" i="21"/>
  <c r="F19" i="21"/>
  <c r="D19" i="21"/>
  <c r="N18" i="21"/>
  <c r="K18" i="21"/>
  <c r="K19" i="21" s="1"/>
  <c r="H18" i="21"/>
  <c r="F18" i="21"/>
  <c r="Q16" i="21"/>
  <c r="B16" i="21"/>
  <c r="Q15" i="21"/>
  <c r="Q14" i="21" s="1"/>
  <c r="B15" i="21"/>
  <c r="O14" i="21"/>
  <c r="N14" i="21"/>
  <c r="M14" i="21"/>
  <c r="L14" i="21"/>
  <c r="K14" i="21"/>
  <c r="J14" i="21"/>
  <c r="I14" i="21"/>
  <c r="I18" i="21" s="1"/>
  <c r="H14" i="21"/>
  <c r="G14" i="21"/>
  <c r="F14" i="21"/>
  <c r="E14" i="21"/>
  <c r="D14" i="21"/>
  <c r="D12" i="21"/>
  <c r="Q12" i="21" s="1"/>
  <c r="B12" i="21"/>
  <c r="Q11" i="21"/>
  <c r="Q10" i="21" s="1"/>
  <c r="Q18" i="21" s="1"/>
  <c r="D11" i="21"/>
  <c r="B11" i="21"/>
  <c r="O10" i="21"/>
  <c r="O18" i="21" s="1"/>
  <c r="N10" i="21"/>
  <c r="M10" i="21"/>
  <c r="M18" i="21" s="1"/>
  <c r="L10" i="21"/>
  <c r="L18" i="21" s="1"/>
  <c r="K10" i="21"/>
  <c r="J10" i="21"/>
  <c r="J18" i="21" s="1"/>
  <c r="I10" i="21"/>
  <c r="H10" i="21"/>
  <c r="G10" i="21"/>
  <c r="G18" i="21" s="1"/>
  <c r="F10" i="21"/>
  <c r="E10" i="21"/>
  <c r="E18" i="21" s="1"/>
  <c r="D10" i="21"/>
  <c r="D18" i="21" s="1"/>
  <c r="D86" i="21" s="1"/>
  <c r="O8" i="21"/>
  <c r="N8" i="21"/>
  <c r="M8" i="21"/>
  <c r="L8" i="21"/>
  <c r="K8" i="21"/>
  <c r="J8" i="21"/>
  <c r="I8" i="21"/>
  <c r="H8" i="21"/>
  <c r="G8" i="21"/>
  <c r="F8" i="21"/>
  <c r="E8" i="21"/>
  <c r="D8" i="21"/>
  <c r="B39" i="20"/>
  <c r="B38" i="20"/>
  <c r="G34" i="20"/>
  <c r="E34" i="20"/>
  <c r="D34" i="20"/>
  <c r="G33" i="20"/>
  <c r="E33" i="20"/>
  <c r="D33" i="20"/>
  <c r="G28" i="20"/>
  <c r="E28" i="20"/>
  <c r="D28" i="20"/>
  <c r="G23" i="20"/>
  <c r="E23" i="20"/>
  <c r="D23" i="20"/>
  <c r="G21" i="20"/>
  <c r="E21" i="20"/>
  <c r="D21" i="20"/>
  <c r="B21" i="20"/>
  <c r="G20" i="20"/>
  <c r="E20" i="20"/>
  <c r="D20" i="20"/>
  <c r="B20" i="20"/>
  <c r="G19" i="20"/>
  <c r="E19" i="20"/>
  <c r="D19" i="20"/>
  <c r="G14" i="20"/>
  <c r="E14" i="20"/>
  <c r="D14" i="20"/>
  <c r="B14" i="20"/>
  <c r="G13" i="20"/>
  <c r="E13" i="20"/>
  <c r="D13" i="20"/>
  <c r="G11" i="20"/>
  <c r="E11" i="20"/>
  <c r="D11" i="20"/>
  <c r="B11" i="20"/>
  <c r="G10" i="20"/>
  <c r="E10" i="20"/>
  <c r="D10" i="20"/>
  <c r="E8" i="20"/>
  <c r="D8" i="20"/>
  <c r="B39" i="19"/>
  <c r="B38" i="19"/>
  <c r="G34" i="19"/>
  <c r="E34" i="19"/>
  <c r="D34" i="19"/>
  <c r="G33" i="19"/>
  <c r="E33" i="19"/>
  <c r="D33" i="19"/>
  <c r="G28" i="19"/>
  <c r="E28" i="19"/>
  <c r="D28" i="19"/>
  <c r="G23" i="19"/>
  <c r="E23" i="19"/>
  <c r="D23" i="19"/>
  <c r="G21" i="19"/>
  <c r="E21" i="19"/>
  <c r="D21" i="19"/>
  <c r="B21" i="19"/>
  <c r="G20" i="19"/>
  <c r="E20" i="19"/>
  <c r="D20" i="19"/>
  <c r="B20" i="19"/>
  <c r="G19" i="19"/>
  <c r="E19" i="19"/>
  <c r="D19" i="19"/>
  <c r="G14" i="19"/>
  <c r="E14" i="19"/>
  <c r="D14" i="19"/>
  <c r="B14" i="19"/>
  <c r="G13" i="19"/>
  <c r="E13" i="19"/>
  <c r="D13" i="19"/>
  <c r="G11" i="19"/>
  <c r="E11" i="19"/>
  <c r="D11" i="19"/>
  <c r="B11" i="19"/>
  <c r="G10" i="19"/>
  <c r="E10" i="19"/>
  <c r="D10" i="19"/>
  <c r="E8" i="19"/>
  <c r="D8" i="19"/>
  <c r="Q146" i="18"/>
  <c r="D141" i="18"/>
  <c r="Q141" i="18" s="1"/>
  <c r="Q139" i="18"/>
  <c r="B139" i="18"/>
  <c r="O138" i="18"/>
  <c r="N138" i="18"/>
  <c r="M138" i="18"/>
  <c r="L138" i="18"/>
  <c r="K138" i="18"/>
  <c r="J138" i="18"/>
  <c r="I138" i="18"/>
  <c r="H138" i="18"/>
  <c r="Q138" i="18" s="1"/>
  <c r="G138" i="18"/>
  <c r="F138" i="18"/>
  <c r="E138" i="18"/>
  <c r="D138" i="18"/>
  <c r="B138" i="18"/>
  <c r="Q137" i="18"/>
  <c r="B137" i="18"/>
  <c r="Q136" i="18"/>
  <c r="B136" i="18"/>
  <c r="Q135" i="18"/>
  <c r="B135" i="18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Q134" i="18" s="1"/>
  <c r="B134" i="18"/>
  <c r="Q133" i="18"/>
  <c r="B133" i="18"/>
  <c r="O132" i="18"/>
  <c r="N132" i="18"/>
  <c r="M132" i="18"/>
  <c r="L132" i="18"/>
  <c r="K132" i="18"/>
  <c r="J132" i="18"/>
  <c r="I132" i="18"/>
  <c r="H132" i="18"/>
  <c r="G132" i="18"/>
  <c r="F132" i="18"/>
  <c r="E132" i="18"/>
  <c r="D132" i="18"/>
  <c r="Q132" i="18" s="1"/>
  <c r="B132" i="18"/>
  <c r="Q131" i="18"/>
  <c r="B131" i="18"/>
  <c r="Q130" i="18"/>
  <c r="B130" i="18"/>
  <c r="O129" i="18"/>
  <c r="N129" i="18"/>
  <c r="M129" i="18"/>
  <c r="L129" i="18"/>
  <c r="K129" i="18"/>
  <c r="J129" i="18"/>
  <c r="I129" i="18"/>
  <c r="H129" i="18"/>
  <c r="G129" i="18"/>
  <c r="F129" i="18"/>
  <c r="Q129" i="18" s="1"/>
  <c r="E129" i="18"/>
  <c r="D129" i="18"/>
  <c r="B129" i="18"/>
  <c r="Q128" i="18"/>
  <c r="B128" i="18"/>
  <c r="Q127" i="18"/>
  <c r="B127" i="18"/>
  <c r="Q126" i="18"/>
  <c r="B126" i="18"/>
  <c r="Q125" i="18"/>
  <c r="B125" i="18"/>
  <c r="Q124" i="18"/>
  <c r="B124" i="18"/>
  <c r="Q123" i="18"/>
  <c r="B123" i="18"/>
  <c r="Q122" i="18"/>
  <c r="B122" i="18"/>
  <c r="O121" i="18"/>
  <c r="N121" i="18"/>
  <c r="M121" i="18"/>
  <c r="L121" i="18"/>
  <c r="K121" i="18"/>
  <c r="J121" i="18"/>
  <c r="I121" i="18"/>
  <c r="H121" i="18"/>
  <c r="G121" i="18"/>
  <c r="F121" i="18"/>
  <c r="E121" i="18"/>
  <c r="D121" i="18"/>
  <c r="Q121" i="18" s="1"/>
  <c r="B121" i="18"/>
  <c r="Q120" i="18"/>
  <c r="B120" i="18"/>
  <c r="Q119" i="18"/>
  <c r="B119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Q118" i="18" s="1"/>
  <c r="B118" i="18"/>
  <c r="Q117" i="18"/>
  <c r="B117" i="18"/>
  <c r="Q116" i="18"/>
  <c r="B116" i="18"/>
  <c r="Q115" i="18"/>
  <c r="B115" i="18"/>
  <c r="O114" i="18"/>
  <c r="N114" i="18"/>
  <c r="M114" i="18"/>
  <c r="L114" i="18"/>
  <c r="K114" i="18"/>
  <c r="J114" i="18"/>
  <c r="I114" i="18"/>
  <c r="H114" i="18"/>
  <c r="Q114" i="18" s="1"/>
  <c r="G114" i="18"/>
  <c r="F114" i="18"/>
  <c r="E114" i="18"/>
  <c r="D114" i="18"/>
  <c r="B114" i="18"/>
  <c r="Q113" i="18"/>
  <c r="B113" i="18"/>
  <c r="Q112" i="18"/>
  <c r="B112" i="18"/>
  <c r="Q111" i="18"/>
  <c r="B111" i="18"/>
  <c r="Q110" i="18"/>
  <c r="B110" i="18"/>
  <c r="O109" i="18"/>
  <c r="N109" i="18"/>
  <c r="M109" i="18"/>
  <c r="L109" i="18"/>
  <c r="K109" i="18"/>
  <c r="J109" i="18"/>
  <c r="I109" i="18"/>
  <c r="H109" i="18"/>
  <c r="G109" i="18"/>
  <c r="F109" i="18"/>
  <c r="Q109" i="18" s="1"/>
  <c r="E109" i="18"/>
  <c r="D109" i="18"/>
  <c r="B109" i="18"/>
  <c r="Q108" i="18"/>
  <c r="B108" i="18"/>
  <c r="Q107" i="18"/>
  <c r="B107" i="18"/>
  <c r="Q106" i="18"/>
  <c r="B106" i="18"/>
  <c r="Q105" i="18"/>
  <c r="B105" i="18"/>
  <c r="O104" i="18"/>
  <c r="N104" i="18"/>
  <c r="M104" i="18"/>
  <c r="L104" i="18"/>
  <c r="K104" i="18"/>
  <c r="J104" i="18"/>
  <c r="I104" i="18"/>
  <c r="H104" i="18"/>
  <c r="G104" i="18"/>
  <c r="F104" i="18"/>
  <c r="E104" i="18"/>
  <c r="D104" i="18"/>
  <c r="Q104" i="18" s="1"/>
  <c r="B104" i="18"/>
  <c r="Q103" i="18"/>
  <c r="B103" i="18"/>
  <c r="O102" i="18"/>
  <c r="N102" i="18"/>
  <c r="M102" i="18"/>
  <c r="L102" i="18"/>
  <c r="K102" i="18"/>
  <c r="J102" i="18"/>
  <c r="I102" i="18"/>
  <c r="H102" i="18"/>
  <c r="G102" i="18"/>
  <c r="F102" i="18"/>
  <c r="E102" i="18"/>
  <c r="D102" i="18"/>
  <c r="Q102" i="18" s="1"/>
  <c r="B102" i="18"/>
  <c r="Q101" i="18"/>
  <c r="B101" i="18"/>
  <c r="O100" i="18"/>
  <c r="N100" i="18"/>
  <c r="M100" i="18"/>
  <c r="L100" i="18"/>
  <c r="K100" i="18"/>
  <c r="J100" i="18"/>
  <c r="I100" i="18"/>
  <c r="H100" i="18"/>
  <c r="G100" i="18"/>
  <c r="F100" i="18"/>
  <c r="E100" i="18"/>
  <c r="D100" i="18"/>
  <c r="Q100" i="18" s="1"/>
  <c r="B100" i="18"/>
  <c r="Q99" i="18"/>
  <c r="B99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Q98" i="18" s="1"/>
  <c r="B98" i="18"/>
  <c r="Q97" i="18"/>
  <c r="B97" i="18"/>
  <c r="O96" i="18"/>
  <c r="N96" i="18"/>
  <c r="M96" i="18"/>
  <c r="L96" i="18"/>
  <c r="K96" i="18"/>
  <c r="J96" i="18"/>
  <c r="I96" i="18"/>
  <c r="H96" i="18"/>
  <c r="G96" i="18"/>
  <c r="F96" i="18"/>
  <c r="E96" i="18"/>
  <c r="D96" i="18"/>
  <c r="Q96" i="18" s="1"/>
  <c r="B96" i="18"/>
  <c r="Q95" i="18"/>
  <c r="B95" i="18"/>
  <c r="Q94" i="18"/>
  <c r="B94" i="18"/>
  <c r="O93" i="18"/>
  <c r="N93" i="18"/>
  <c r="M93" i="18"/>
  <c r="L93" i="18"/>
  <c r="K93" i="18"/>
  <c r="J93" i="18"/>
  <c r="I93" i="18"/>
  <c r="H93" i="18"/>
  <c r="G93" i="18"/>
  <c r="F93" i="18"/>
  <c r="Q93" i="18" s="1"/>
  <c r="E93" i="18"/>
  <c r="D93" i="18"/>
  <c r="B93" i="18"/>
  <c r="Q92" i="18"/>
  <c r="B92" i="18"/>
  <c r="Q91" i="18"/>
  <c r="B91" i="18"/>
  <c r="O90" i="18"/>
  <c r="N90" i="18"/>
  <c r="M90" i="18"/>
  <c r="L90" i="18"/>
  <c r="K90" i="18"/>
  <c r="J90" i="18"/>
  <c r="I90" i="18"/>
  <c r="H90" i="18"/>
  <c r="Q90" i="18" s="1"/>
  <c r="G90" i="18"/>
  <c r="F90" i="18"/>
  <c r="E90" i="18"/>
  <c r="D90" i="18"/>
  <c r="B90" i="18"/>
  <c r="Q89" i="18"/>
  <c r="B89" i="18"/>
  <c r="O88" i="18"/>
  <c r="N88" i="18"/>
  <c r="M88" i="18"/>
  <c r="L88" i="18"/>
  <c r="K88" i="18"/>
  <c r="J88" i="18"/>
  <c r="I88" i="18"/>
  <c r="H88" i="18"/>
  <c r="Q88" i="18" s="1"/>
  <c r="G88" i="18"/>
  <c r="F88" i="18"/>
  <c r="E88" i="18"/>
  <c r="D88" i="18"/>
  <c r="B88" i="18"/>
  <c r="Q87" i="18"/>
  <c r="B87" i="18"/>
  <c r="O86" i="18"/>
  <c r="N86" i="18"/>
  <c r="M86" i="18"/>
  <c r="L86" i="18"/>
  <c r="K86" i="18"/>
  <c r="J86" i="18"/>
  <c r="I86" i="18"/>
  <c r="H86" i="18"/>
  <c r="Q86" i="18" s="1"/>
  <c r="G86" i="18"/>
  <c r="F86" i="18"/>
  <c r="E86" i="18"/>
  <c r="D86" i="18"/>
  <c r="B86" i="18"/>
  <c r="Q85" i="18"/>
  <c r="B85" i="18"/>
  <c r="O84" i="18"/>
  <c r="N84" i="18"/>
  <c r="M84" i="18"/>
  <c r="L84" i="18"/>
  <c r="K84" i="18"/>
  <c r="J84" i="18"/>
  <c r="I84" i="18"/>
  <c r="H84" i="18"/>
  <c r="Q84" i="18" s="1"/>
  <c r="G84" i="18"/>
  <c r="F84" i="18"/>
  <c r="E84" i="18"/>
  <c r="D84" i="18"/>
  <c r="B84" i="18"/>
  <c r="Q83" i="18"/>
  <c r="B83" i="18"/>
  <c r="Q82" i="18"/>
  <c r="B82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B81" i="18"/>
  <c r="Q80" i="18"/>
  <c r="B80" i="18"/>
  <c r="Q79" i="18"/>
  <c r="B79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Q78" i="18" s="1"/>
  <c r="B78" i="18"/>
  <c r="Q77" i="18"/>
  <c r="B77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Q76" i="18" s="1"/>
  <c r="B76" i="18"/>
  <c r="Q75" i="18"/>
  <c r="B75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Q74" i="18" s="1"/>
  <c r="B74" i="18"/>
  <c r="Q73" i="18"/>
  <c r="B73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B72" i="18"/>
  <c r="Q71" i="18"/>
  <c r="B71" i="18"/>
  <c r="Q70" i="18"/>
  <c r="B70" i="18"/>
  <c r="Q69" i="18"/>
  <c r="B69" i="18"/>
  <c r="Q68" i="18"/>
  <c r="B68" i="18"/>
  <c r="Q67" i="18"/>
  <c r="B67" i="18"/>
  <c r="Q66" i="18"/>
  <c r="B66" i="18"/>
  <c r="Q65" i="18"/>
  <c r="B65" i="18"/>
  <c r="Q64" i="18"/>
  <c r="B64" i="18"/>
  <c r="Q63" i="18"/>
  <c r="B63" i="18"/>
  <c r="Q62" i="18"/>
  <c r="B62" i="18"/>
  <c r="O61" i="18"/>
  <c r="N61" i="18"/>
  <c r="M61" i="18"/>
  <c r="L61" i="18"/>
  <c r="K61" i="18"/>
  <c r="J61" i="18"/>
  <c r="I61" i="18"/>
  <c r="H61" i="18"/>
  <c r="G61" i="18"/>
  <c r="F61" i="18"/>
  <c r="Q61" i="18" s="1"/>
  <c r="E61" i="18"/>
  <c r="D61" i="18"/>
  <c r="B61" i="18"/>
  <c r="Q60" i="18"/>
  <c r="B60" i="18"/>
  <c r="Q59" i="18"/>
  <c r="B59" i="18"/>
  <c r="Q58" i="18"/>
  <c r="B58" i="18"/>
  <c r="Q57" i="18"/>
  <c r="B57" i="18"/>
  <c r="Q56" i="18"/>
  <c r="B56" i="18"/>
  <c r="Q55" i="18"/>
  <c r="B55" i="18"/>
  <c r="Q54" i="18"/>
  <c r="B54" i="18"/>
  <c r="Q53" i="18"/>
  <c r="B53" i="18"/>
  <c r="Q52" i="18"/>
  <c r="B52" i="18"/>
  <c r="Q51" i="18"/>
  <c r="B51" i="18"/>
  <c r="O50" i="18"/>
  <c r="N50" i="18"/>
  <c r="M50" i="18"/>
  <c r="M49" i="18" s="1"/>
  <c r="L50" i="18"/>
  <c r="K50" i="18"/>
  <c r="J50" i="18"/>
  <c r="I50" i="18"/>
  <c r="I49" i="18" s="1"/>
  <c r="H50" i="18"/>
  <c r="G50" i="18"/>
  <c r="F50" i="18"/>
  <c r="E50" i="18"/>
  <c r="E49" i="18" s="1"/>
  <c r="D50" i="18"/>
  <c r="B50" i="18"/>
  <c r="O49" i="18"/>
  <c r="N49" i="18"/>
  <c r="K49" i="18"/>
  <c r="G49" i="18"/>
  <c r="F49" i="18"/>
  <c r="M46" i="18"/>
  <c r="M47" i="18" s="1"/>
  <c r="I46" i="18"/>
  <c r="I47" i="18" s="1"/>
  <c r="H46" i="18"/>
  <c r="H47" i="18" s="1"/>
  <c r="E46" i="18"/>
  <c r="E47" i="18" s="1"/>
  <c r="Q44" i="18"/>
  <c r="B44" i="18"/>
  <c r="Q43" i="18"/>
  <c r="B43" i="18"/>
  <c r="Q42" i="18"/>
  <c r="B42" i="18"/>
  <c r="Q41" i="18"/>
  <c r="B41" i="18"/>
  <c r="Q40" i="18"/>
  <c r="B40" i="18"/>
  <c r="Q39" i="18"/>
  <c r="B39" i="18"/>
  <c r="Q38" i="18"/>
  <c r="B38" i="18"/>
  <c r="Q37" i="18"/>
  <c r="B37" i="18"/>
  <c r="Q36" i="18"/>
  <c r="B36" i="18"/>
  <c r="Q35" i="18"/>
  <c r="B35" i="18"/>
  <c r="Q34" i="18"/>
  <c r="B34" i="18"/>
  <c r="Q33" i="18"/>
  <c r="B33" i="18"/>
  <c r="Q32" i="18"/>
  <c r="B32" i="18"/>
  <c r="Q31" i="18"/>
  <c r="B31" i="18"/>
  <c r="Q30" i="18"/>
  <c r="B30" i="18"/>
  <c r="Q29" i="18"/>
  <c r="B29" i="18"/>
  <c r="Q28" i="18"/>
  <c r="B28" i="18"/>
  <c r="Q27" i="18"/>
  <c r="B27" i="18"/>
  <c r="Q26" i="18"/>
  <c r="B26" i="18"/>
  <c r="Q25" i="18"/>
  <c r="B25" i="18"/>
  <c r="Q24" i="18"/>
  <c r="B24" i="18"/>
  <c r="Q23" i="18"/>
  <c r="B23" i="18"/>
  <c r="Q22" i="18"/>
  <c r="B22" i="18"/>
  <c r="Q21" i="18"/>
  <c r="B21" i="18"/>
  <c r="Q20" i="18"/>
  <c r="B20" i="18"/>
  <c r="Q19" i="18"/>
  <c r="Q17" i="18" s="1"/>
  <c r="B19" i="18"/>
  <c r="Q18" i="18"/>
  <c r="B18" i="18"/>
  <c r="O17" i="18"/>
  <c r="N17" i="18"/>
  <c r="M17" i="18"/>
  <c r="L17" i="18"/>
  <c r="K17" i="18"/>
  <c r="K46" i="18" s="1"/>
  <c r="K143" i="18" s="1"/>
  <c r="J17" i="18"/>
  <c r="I17" i="18"/>
  <c r="H17" i="18"/>
  <c r="G17" i="18"/>
  <c r="F17" i="18"/>
  <c r="E17" i="18"/>
  <c r="D17" i="18"/>
  <c r="Q15" i="18"/>
  <c r="D15" i="18"/>
  <c r="B15" i="18"/>
  <c r="Q14" i="18"/>
  <c r="D14" i="18"/>
  <c r="B14" i="18"/>
  <c r="D13" i="18"/>
  <c r="D10" i="18" s="1"/>
  <c r="D46" i="18" s="1"/>
  <c r="B13" i="18"/>
  <c r="D12" i="18"/>
  <c r="Q12" i="18" s="1"/>
  <c r="B12" i="18"/>
  <c r="D11" i="18"/>
  <c r="Q11" i="18" s="1"/>
  <c r="B11" i="18"/>
  <c r="O10" i="18"/>
  <c r="O46" i="18" s="1"/>
  <c r="N10" i="18"/>
  <c r="N46" i="18" s="1"/>
  <c r="M10" i="18"/>
  <c r="L10" i="18"/>
  <c r="L46" i="18" s="1"/>
  <c r="K10" i="18"/>
  <c r="J10" i="18"/>
  <c r="J46" i="18" s="1"/>
  <c r="I10" i="18"/>
  <c r="H10" i="18"/>
  <c r="G10" i="18"/>
  <c r="G46" i="18" s="1"/>
  <c r="F10" i="18"/>
  <c r="F46" i="18" s="1"/>
  <c r="E10" i="18"/>
  <c r="O8" i="18"/>
  <c r="N8" i="18"/>
  <c r="M8" i="18"/>
  <c r="L8" i="18"/>
  <c r="K8" i="18"/>
  <c r="J8" i="18"/>
  <c r="I8" i="18"/>
  <c r="H8" i="18"/>
  <c r="G8" i="18"/>
  <c r="F8" i="18"/>
  <c r="E8" i="18"/>
  <c r="D8" i="18"/>
  <c r="B39" i="17"/>
  <c r="B38" i="17"/>
  <c r="G34" i="17"/>
  <c r="E34" i="17"/>
  <c r="D34" i="17"/>
  <c r="G33" i="17"/>
  <c r="E33" i="17"/>
  <c r="D33" i="17"/>
  <c r="G28" i="17"/>
  <c r="E28" i="17"/>
  <c r="D28" i="17"/>
  <c r="G23" i="17"/>
  <c r="E23" i="17"/>
  <c r="D23" i="17"/>
  <c r="G21" i="17"/>
  <c r="E21" i="17"/>
  <c r="D21" i="17"/>
  <c r="B21" i="17"/>
  <c r="G20" i="17"/>
  <c r="E20" i="17"/>
  <c r="D20" i="17"/>
  <c r="B20" i="17"/>
  <c r="G19" i="17"/>
  <c r="E19" i="17"/>
  <c r="D19" i="17"/>
  <c r="G14" i="17"/>
  <c r="E14" i="17"/>
  <c r="D14" i="17"/>
  <c r="B14" i="17"/>
  <c r="G13" i="17"/>
  <c r="E13" i="17"/>
  <c r="D13" i="17"/>
  <c r="G11" i="17"/>
  <c r="E11" i="17"/>
  <c r="D11" i="17"/>
  <c r="B11" i="17"/>
  <c r="G10" i="17"/>
  <c r="E10" i="17"/>
  <c r="D10" i="17"/>
  <c r="E8" i="17"/>
  <c r="D8" i="17"/>
  <c r="B39" i="16"/>
  <c r="B38" i="16"/>
  <c r="G34" i="16"/>
  <c r="E34" i="16"/>
  <c r="D34" i="16"/>
  <c r="G33" i="16"/>
  <c r="E33" i="16"/>
  <c r="D33" i="16"/>
  <c r="G28" i="16"/>
  <c r="E28" i="16"/>
  <c r="D28" i="16"/>
  <c r="G23" i="16"/>
  <c r="E23" i="16"/>
  <c r="D23" i="16"/>
  <c r="G21" i="16"/>
  <c r="E21" i="16"/>
  <c r="D21" i="16"/>
  <c r="B21" i="16"/>
  <c r="G20" i="16"/>
  <c r="E20" i="16"/>
  <c r="D20" i="16"/>
  <c r="B20" i="16"/>
  <c r="G19" i="16"/>
  <c r="E19" i="16"/>
  <c r="D19" i="16"/>
  <c r="G14" i="16"/>
  <c r="E14" i="16"/>
  <c r="D14" i="16"/>
  <c r="B14" i="16"/>
  <c r="G13" i="16"/>
  <c r="E13" i="16"/>
  <c r="D13" i="16"/>
  <c r="G11" i="16"/>
  <c r="E11" i="16"/>
  <c r="D11" i="16"/>
  <c r="B11" i="16"/>
  <c r="G10" i="16"/>
  <c r="E10" i="16"/>
  <c r="D10" i="16"/>
  <c r="E8" i="16"/>
  <c r="D8" i="16"/>
  <c r="Q140" i="15"/>
  <c r="Q135" i="15"/>
  <c r="D135" i="15"/>
  <c r="Q133" i="15"/>
  <c r="B133" i="15"/>
  <c r="O132" i="15"/>
  <c r="N132" i="15"/>
  <c r="M132" i="15"/>
  <c r="L132" i="15"/>
  <c r="K132" i="15"/>
  <c r="J132" i="15"/>
  <c r="I132" i="15"/>
  <c r="H132" i="15"/>
  <c r="G132" i="15"/>
  <c r="F132" i="15"/>
  <c r="E132" i="15"/>
  <c r="Q132" i="15" s="1"/>
  <c r="D132" i="15"/>
  <c r="B132" i="15"/>
  <c r="Q131" i="15"/>
  <c r="B131" i="15"/>
  <c r="Q130" i="15"/>
  <c r="B130" i="15"/>
  <c r="Q129" i="15"/>
  <c r="B129" i="15"/>
  <c r="O128" i="15"/>
  <c r="N128" i="15"/>
  <c r="M128" i="15"/>
  <c r="L128" i="15"/>
  <c r="K128" i="15"/>
  <c r="J128" i="15"/>
  <c r="I128" i="15"/>
  <c r="H128" i="15"/>
  <c r="G128" i="15"/>
  <c r="F128" i="15"/>
  <c r="E128" i="15"/>
  <c r="D128" i="15"/>
  <c r="Q128" i="15" s="1"/>
  <c r="B128" i="15"/>
  <c r="Q127" i="15"/>
  <c r="B127" i="15"/>
  <c r="O126" i="15"/>
  <c r="N126" i="15"/>
  <c r="M126" i="15"/>
  <c r="L126" i="15"/>
  <c r="K126" i="15"/>
  <c r="J126" i="15"/>
  <c r="I126" i="15"/>
  <c r="H126" i="15"/>
  <c r="G126" i="15"/>
  <c r="F126" i="15"/>
  <c r="E126" i="15"/>
  <c r="D126" i="15"/>
  <c r="Q126" i="15" s="1"/>
  <c r="B126" i="15"/>
  <c r="Q125" i="15"/>
  <c r="B125" i="15"/>
  <c r="Q124" i="15"/>
  <c r="B124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B123" i="15"/>
  <c r="Q122" i="15"/>
  <c r="B122" i="15"/>
  <c r="Q121" i="15"/>
  <c r="B121" i="15"/>
  <c r="Q120" i="15"/>
  <c r="B120" i="15"/>
  <c r="Q119" i="15"/>
  <c r="B119" i="15"/>
  <c r="Q118" i="15"/>
  <c r="B118" i="15"/>
  <c r="Q117" i="15"/>
  <c r="B117" i="15"/>
  <c r="Q116" i="15"/>
  <c r="B116" i="15"/>
  <c r="O115" i="15"/>
  <c r="N115" i="15"/>
  <c r="M115" i="15"/>
  <c r="L115" i="15"/>
  <c r="K115" i="15"/>
  <c r="J115" i="15"/>
  <c r="I115" i="15"/>
  <c r="H115" i="15"/>
  <c r="G115" i="15"/>
  <c r="Q115" i="15" s="1"/>
  <c r="F115" i="15"/>
  <c r="E115" i="15"/>
  <c r="D115" i="15"/>
  <c r="B115" i="15"/>
  <c r="Q114" i="15"/>
  <c r="B114" i="15"/>
  <c r="Q113" i="15"/>
  <c r="B113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Q112" i="15" s="1"/>
  <c r="B112" i="15"/>
  <c r="Q111" i="15"/>
  <c r="B111" i="15"/>
  <c r="Q110" i="15"/>
  <c r="B110" i="15"/>
  <c r="Q109" i="15"/>
  <c r="B109" i="15"/>
  <c r="O108" i="15"/>
  <c r="N108" i="15"/>
  <c r="M108" i="15"/>
  <c r="L108" i="15"/>
  <c r="K108" i="15"/>
  <c r="J108" i="15"/>
  <c r="I108" i="15"/>
  <c r="H108" i="15"/>
  <c r="G108" i="15"/>
  <c r="F108" i="15"/>
  <c r="E108" i="15"/>
  <c r="Q108" i="15" s="1"/>
  <c r="D108" i="15"/>
  <c r="B108" i="15"/>
  <c r="Q107" i="15"/>
  <c r="B107" i="15"/>
  <c r="Q106" i="15"/>
  <c r="B106" i="15"/>
  <c r="Q105" i="15"/>
  <c r="B105" i="15"/>
  <c r="Q104" i="15"/>
  <c r="B104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Q103" i="15" s="1"/>
  <c r="B103" i="15"/>
  <c r="Q102" i="15"/>
  <c r="B102" i="15"/>
  <c r="Q101" i="15"/>
  <c r="B101" i="15"/>
  <c r="Q100" i="15"/>
  <c r="B100" i="15"/>
  <c r="Q99" i="15"/>
  <c r="B99" i="15"/>
  <c r="O98" i="15"/>
  <c r="N98" i="15"/>
  <c r="M98" i="15"/>
  <c r="L98" i="15"/>
  <c r="K98" i="15"/>
  <c r="J98" i="15"/>
  <c r="I98" i="15"/>
  <c r="H98" i="15"/>
  <c r="G98" i="15"/>
  <c r="F98" i="15"/>
  <c r="E98" i="15"/>
  <c r="D98" i="15"/>
  <c r="B98" i="15"/>
  <c r="Q97" i="15"/>
  <c r="B97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Q96" i="15" s="1"/>
  <c r="B96" i="15"/>
  <c r="Q95" i="15"/>
  <c r="B95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Q94" i="15" s="1"/>
  <c r="B94" i="15"/>
  <c r="Q93" i="15"/>
  <c r="B93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B92" i="15"/>
  <c r="Q91" i="15"/>
  <c r="B91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B90" i="15"/>
  <c r="Q89" i="15"/>
  <c r="B89" i="15"/>
  <c r="Q88" i="15"/>
  <c r="B88" i="15"/>
  <c r="O87" i="15"/>
  <c r="N87" i="15"/>
  <c r="M87" i="15"/>
  <c r="L87" i="15"/>
  <c r="K87" i="15"/>
  <c r="K43" i="15" s="1"/>
  <c r="J87" i="15"/>
  <c r="I87" i="15"/>
  <c r="H87" i="15"/>
  <c r="G87" i="15"/>
  <c r="F87" i="15"/>
  <c r="E87" i="15"/>
  <c r="D87" i="15"/>
  <c r="B87" i="15"/>
  <c r="Q86" i="15"/>
  <c r="B86" i="15"/>
  <c r="Q85" i="15"/>
  <c r="B85" i="15"/>
  <c r="O84" i="15"/>
  <c r="N84" i="15"/>
  <c r="M84" i="15"/>
  <c r="L84" i="15"/>
  <c r="K84" i="15"/>
  <c r="J84" i="15"/>
  <c r="I84" i="15"/>
  <c r="H84" i="15"/>
  <c r="G84" i="15"/>
  <c r="F84" i="15"/>
  <c r="E84" i="15"/>
  <c r="Q84" i="15" s="1"/>
  <c r="D84" i="15"/>
  <c r="B84" i="15"/>
  <c r="Q83" i="15"/>
  <c r="B83" i="15"/>
  <c r="O82" i="15"/>
  <c r="N82" i="15"/>
  <c r="M82" i="15"/>
  <c r="L82" i="15"/>
  <c r="K82" i="15"/>
  <c r="J82" i="15"/>
  <c r="I82" i="15"/>
  <c r="H82" i="15"/>
  <c r="G82" i="15"/>
  <c r="F82" i="15"/>
  <c r="E82" i="15"/>
  <c r="Q82" i="15" s="1"/>
  <c r="D82" i="15"/>
  <c r="B82" i="15"/>
  <c r="Q81" i="15"/>
  <c r="B81" i="15"/>
  <c r="O80" i="15"/>
  <c r="N80" i="15"/>
  <c r="M80" i="15"/>
  <c r="L80" i="15"/>
  <c r="K80" i="15"/>
  <c r="J80" i="15"/>
  <c r="I80" i="15"/>
  <c r="H80" i="15"/>
  <c r="G80" i="15"/>
  <c r="F80" i="15"/>
  <c r="E80" i="15"/>
  <c r="Q80" i="15" s="1"/>
  <c r="D80" i="15"/>
  <c r="B80" i="15"/>
  <c r="Q79" i="15"/>
  <c r="B79" i="15"/>
  <c r="O78" i="15"/>
  <c r="N78" i="15"/>
  <c r="M78" i="15"/>
  <c r="L78" i="15"/>
  <c r="K78" i="15"/>
  <c r="J78" i="15"/>
  <c r="I78" i="15"/>
  <c r="H78" i="15"/>
  <c r="G78" i="15"/>
  <c r="F78" i="15"/>
  <c r="E78" i="15"/>
  <c r="Q78" i="15" s="1"/>
  <c r="D78" i="15"/>
  <c r="B78" i="15"/>
  <c r="Q77" i="15"/>
  <c r="B77" i="15"/>
  <c r="Q76" i="15"/>
  <c r="B76" i="15"/>
  <c r="O75" i="15"/>
  <c r="N75" i="15"/>
  <c r="M75" i="15"/>
  <c r="L75" i="15"/>
  <c r="K75" i="15"/>
  <c r="J75" i="15"/>
  <c r="I75" i="15"/>
  <c r="H75" i="15"/>
  <c r="G75" i="15"/>
  <c r="Q75" i="15" s="1"/>
  <c r="F75" i="15"/>
  <c r="E75" i="15"/>
  <c r="D75" i="15"/>
  <c r="B75" i="15"/>
  <c r="Q74" i="15"/>
  <c r="B74" i="15"/>
  <c r="Q73" i="15"/>
  <c r="B73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B72" i="15"/>
  <c r="Q71" i="15"/>
  <c r="B71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B70" i="15"/>
  <c r="Q69" i="15"/>
  <c r="B69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Q68" i="15" s="1"/>
  <c r="B68" i="15"/>
  <c r="Q67" i="15"/>
  <c r="B67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B66" i="15"/>
  <c r="Q65" i="15"/>
  <c r="B65" i="15"/>
  <c r="Q64" i="15"/>
  <c r="B64" i="15"/>
  <c r="Q63" i="15"/>
  <c r="B63" i="15"/>
  <c r="Q62" i="15"/>
  <c r="B62" i="15"/>
  <c r="Q61" i="15"/>
  <c r="B61" i="15"/>
  <c r="Q60" i="15"/>
  <c r="B60" i="15"/>
  <c r="Q59" i="15"/>
  <c r="B59" i="15"/>
  <c r="Q58" i="15"/>
  <c r="B58" i="15"/>
  <c r="Q57" i="15"/>
  <c r="B57" i="15"/>
  <c r="Q56" i="15"/>
  <c r="B56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Q55" i="15" s="1"/>
  <c r="B55" i="15"/>
  <c r="Q54" i="15"/>
  <c r="B54" i="15"/>
  <c r="Q53" i="15"/>
  <c r="B53" i="15"/>
  <c r="Q52" i="15"/>
  <c r="B52" i="15"/>
  <c r="Q51" i="15"/>
  <c r="B51" i="15"/>
  <c r="Q50" i="15"/>
  <c r="B50" i="15"/>
  <c r="Q49" i="15"/>
  <c r="B49" i="15"/>
  <c r="Q48" i="15"/>
  <c r="B48" i="15"/>
  <c r="Q47" i="15"/>
  <c r="B47" i="15"/>
  <c r="Q46" i="15"/>
  <c r="B46" i="15"/>
  <c r="Q45" i="15"/>
  <c r="B45" i="15"/>
  <c r="O44" i="15"/>
  <c r="N44" i="15"/>
  <c r="N43" i="15" s="1"/>
  <c r="M44" i="15"/>
  <c r="M43" i="15" s="1"/>
  <c r="L44" i="15"/>
  <c r="K44" i="15"/>
  <c r="J44" i="15"/>
  <c r="J43" i="15" s="1"/>
  <c r="I44" i="15"/>
  <c r="H44" i="15"/>
  <c r="G44" i="15"/>
  <c r="F44" i="15"/>
  <c r="F43" i="15" s="1"/>
  <c r="E44" i="15"/>
  <c r="D44" i="15"/>
  <c r="B44" i="15"/>
  <c r="L43" i="15"/>
  <c r="L137" i="15" s="1"/>
  <c r="H43" i="15"/>
  <c r="D43" i="15"/>
  <c r="H41" i="15"/>
  <c r="O40" i="15"/>
  <c r="O41" i="15" s="1"/>
  <c r="N40" i="15"/>
  <c r="N41" i="15" s="1"/>
  <c r="M40" i="15"/>
  <c r="G40" i="15"/>
  <c r="G41" i="15" s="1"/>
  <c r="F40" i="15"/>
  <c r="F41" i="15" s="1"/>
  <c r="E40" i="15"/>
  <c r="Q38" i="15"/>
  <c r="B38" i="15"/>
  <c r="Q37" i="15"/>
  <c r="B37" i="15"/>
  <c r="Q36" i="15"/>
  <c r="B36" i="15"/>
  <c r="Q35" i="15"/>
  <c r="B35" i="15"/>
  <c r="Q34" i="15"/>
  <c r="B34" i="15"/>
  <c r="Q33" i="15"/>
  <c r="B33" i="15"/>
  <c r="Q32" i="15"/>
  <c r="B32" i="15"/>
  <c r="Q31" i="15"/>
  <c r="B31" i="15"/>
  <c r="Q30" i="15"/>
  <c r="B30" i="15"/>
  <c r="Q29" i="15"/>
  <c r="B29" i="15"/>
  <c r="Q28" i="15"/>
  <c r="B28" i="15"/>
  <c r="Q27" i="15"/>
  <c r="B27" i="15"/>
  <c r="Q26" i="15"/>
  <c r="B26" i="15"/>
  <c r="Q25" i="15"/>
  <c r="B25" i="15"/>
  <c r="Q24" i="15"/>
  <c r="B24" i="15"/>
  <c r="Q23" i="15"/>
  <c r="B23" i="15"/>
  <c r="Q22" i="15"/>
  <c r="B22" i="15"/>
  <c r="Q21" i="15"/>
  <c r="B21" i="15"/>
  <c r="Q20" i="15"/>
  <c r="B20" i="15"/>
  <c r="Q19" i="15"/>
  <c r="B19" i="15"/>
  <c r="Q18" i="15"/>
  <c r="B18" i="15"/>
  <c r="O17" i="15"/>
  <c r="N17" i="15"/>
  <c r="M17" i="15"/>
  <c r="L17" i="15"/>
  <c r="L40" i="15" s="1"/>
  <c r="L41" i="15" s="1"/>
  <c r="K17" i="15"/>
  <c r="J17" i="15"/>
  <c r="I17" i="15"/>
  <c r="H17" i="15"/>
  <c r="G17" i="15"/>
  <c r="F17" i="15"/>
  <c r="E17" i="15"/>
  <c r="D17" i="15"/>
  <c r="D15" i="15"/>
  <c r="Q15" i="15" s="1"/>
  <c r="B15" i="15"/>
  <c r="D14" i="15"/>
  <c r="Q14" i="15" s="1"/>
  <c r="B14" i="15"/>
  <c r="D13" i="15"/>
  <c r="Q13" i="15" s="1"/>
  <c r="B13" i="15"/>
  <c r="D12" i="15"/>
  <c r="Q12" i="15" s="1"/>
  <c r="B12" i="15"/>
  <c r="D11" i="15"/>
  <c r="D10" i="15" s="1"/>
  <c r="D40" i="15" s="1"/>
  <c r="D41" i="15" s="1"/>
  <c r="B11" i="15"/>
  <c r="O10" i="15"/>
  <c r="N10" i="15"/>
  <c r="M10" i="15"/>
  <c r="L10" i="15"/>
  <c r="K10" i="15"/>
  <c r="K40" i="15" s="1"/>
  <c r="J10" i="15"/>
  <c r="J40" i="15" s="1"/>
  <c r="I10" i="15"/>
  <c r="I40" i="15" s="1"/>
  <c r="H10" i="15"/>
  <c r="H40" i="15" s="1"/>
  <c r="H137" i="15" s="1"/>
  <c r="G10" i="15"/>
  <c r="F10" i="15"/>
  <c r="E10" i="15"/>
  <c r="O8" i="15"/>
  <c r="N8" i="15"/>
  <c r="M8" i="15"/>
  <c r="L8" i="15"/>
  <c r="K8" i="15"/>
  <c r="J8" i="15"/>
  <c r="I8" i="15"/>
  <c r="H8" i="15"/>
  <c r="G8" i="15"/>
  <c r="F8" i="15"/>
  <c r="E8" i="15"/>
  <c r="D8" i="15"/>
  <c r="B39" i="14"/>
  <c r="B38" i="14"/>
  <c r="G34" i="14"/>
  <c r="E34" i="14"/>
  <c r="D34" i="14"/>
  <c r="G33" i="14"/>
  <c r="E33" i="14"/>
  <c r="D33" i="14"/>
  <c r="G28" i="14"/>
  <c r="E28" i="14"/>
  <c r="D28" i="14"/>
  <c r="G23" i="14"/>
  <c r="E23" i="14"/>
  <c r="D23" i="14"/>
  <c r="G21" i="14"/>
  <c r="E21" i="14"/>
  <c r="D21" i="14"/>
  <c r="B21" i="14"/>
  <c r="G20" i="14"/>
  <c r="E20" i="14"/>
  <c r="D20" i="14"/>
  <c r="B20" i="14"/>
  <c r="G19" i="14"/>
  <c r="E19" i="14"/>
  <c r="D19" i="14"/>
  <c r="G14" i="14"/>
  <c r="E14" i="14"/>
  <c r="D14" i="14"/>
  <c r="B14" i="14"/>
  <c r="G13" i="14"/>
  <c r="E13" i="14"/>
  <c r="D13" i="14"/>
  <c r="G11" i="14"/>
  <c r="E11" i="14"/>
  <c r="D11" i="14"/>
  <c r="B11" i="14"/>
  <c r="G10" i="14"/>
  <c r="E10" i="14"/>
  <c r="D10" i="14"/>
  <c r="E8" i="14"/>
  <c r="D8" i="14"/>
  <c r="B39" i="13"/>
  <c r="B38" i="13"/>
  <c r="G34" i="13"/>
  <c r="E34" i="13"/>
  <c r="D34" i="13"/>
  <c r="G33" i="13"/>
  <c r="E33" i="13"/>
  <c r="D33" i="13"/>
  <c r="G28" i="13"/>
  <c r="E28" i="13"/>
  <c r="D28" i="13"/>
  <c r="G23" i="13"/>
  <c r="E23" i="13"/>
  <c r="D23" i="13"/>
  <c r="G21" i="13"/>
  <c r="E21" i="13"/>
  <c r="D21" i="13"/>
  <c r="B21" i="13"/>
  <c r="G20" i="13"/>
  <c r="E20" i="13"/>
  <c r="D20" i="13"/>
  <c r="B20" i="13"/>
  <c r="G19" i="13"/>
  <c r="E19" i="13"/>
  <c r="D19" i="13"/>
  <c r="G14" i="13"/>
  <c r="E14" i="13"/>
  <c r="D14" i="13"/>
  <c r="B14" i="13"/>
  <c r="G13" i="13"/>
  <c r="E13" i="13"/>
  <c r="D13" i="13"/>
  <c r="G11" i="13"/>
  <c r="E11" i="13"/>
  <c r="D11" i="13"/>
  <c r="B11" i="13"/>
  <c r="G10" i="13"/>
  <c r="E10" i="13"/>
  <c r="D10" i="13"/>
  <c r="E8" i="13"/>
  <c r="D8" i="13"/>
  <c r="Q144" i="12"/>
  <c r="D139" i="12"/>
  <c r="Q139" i="12" s="1"/>
  <c r="Q137" i="12"/>
  <c r="B137" i="12"/>
  <c r="O136" i="12"/>
  <c r="N136" i="12"/>
  <c r="M136" i="12"/>
  <c r="L136" i="12"/>
  <c r="K136" i="12"/>
  <c r="J136" i="12"/>
  <c r="I136" i="12"/>
  <c r="H136" i="12"/>
  <c r="G136" i="12"/>
  <c r="F136" i="12"/>
  <c r="Q136" i="12" s="1"/>
  <c r="E136" i="12"/>
  <c r="D136" i="12"/>
  <c r="B136" i="12"/>
  <c r="Q135" i="12"/>
  <c r="B135" i="12"/>
  <c r="Q134" i="12"/>
  <c r="B134" i="12"/>
  <c r="Q133" i="12"/>
  <c r="B133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Q132" i="12" s="1"/>
  <c r="B132" i="12"/>
  <c r="Q131" i="12"/>
  <c r="B131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Q130" i="12" s="1"/>
  <c r="B130" i="12"/>
  <c r="Q129" i="12"/>
  <c r="B129" i="12"/>
  <c r="Q128" i="12"/>
  <c r="B128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Q127" i="12" s="1"/>
  <c r="B127" i="12"/>
  <c r="Q126" i="12"/>
  <c r="B126" i="12"/>
  <c r="Q125" i="12"/>
  <c r="B125" i="12"/>
  <c r="Q124" i="12"/>
  <c r="B124" i="12"/>
  <c r="Q123" i="12"/>
  <c r="B123" i="12"/>
  <c r="Q122" i="12"/>
  <c r="B122" i="12"/>
  <c r="Q121" i="12"/>
  <c r="B121" i="12"/>
  <c r="Q120" i="12"/>
  <c r="B120" i="12"/>
  <c r="O119" i="12"/>
  <c r="N119" i="12"/>
  <c r="M119" i="12"/>
  <c r="L119" i="12"/>
  <c r="K119" i="12"/>
  <c r="J119" i="12"/>
  <c r="I119" i="12"/>
  <c r="H119" i="12"/>
  <c r="Q119" i="12" s="1"/>
  <c r="G119" i="12"/>
  <c r="F119" i="12"/>
  <c r="E119" i="12"/>
  <c r="D119" i="12"/>
  <c r="B119" i="12"/>
  <c r="Q118" i="12"/>
  <c r="B118" i="12"/>
  <c r="Q117" i="12"/>
  <c r="B117" i="12"/>
  <c r="O116" i="12"/>
  <c r="N116" i="12"/>
  <c r="M116" i="12"/>
  <c r="L116" i="12"/>
  <c r="K116" i="12"/>
  <c r="J116" i="12"/>
  <c r="I116" i="12"/>
  <c r="H116" i="12"/>
  <c r="G116" i="12"/>
  <c r="F116" i="12"/>
  <c r="E116" i="12"/>
  <c r="D116" i="12"/>
  <c r="Q116" i="12" s="1"/>
  <c r="B116" i="12"/>
  <c r="Q115" i="12"/>
  <c r="B115" i="12"/>
  <c r="Q114" i="12"/>
  <c r="B114" i="12"/>
  <c r="Q113" i="12"/>
  <c r="B113" i="12"/>
  <c r="Q112" i="12"/>
  <c r="B112" i="12"/>
  <c r="O111" i="12"/>
  <c r="N111" i="12"/>
  <c r="M111" i="12"/>
  <c r="L111" i="12"/>
  <c r="K111" i="12"/>
  <c r="J111" i="12"/>
  <c r="I111" i="12"/>
  <c r="H111" i="12"/>
  <c r="Q111" i="12" s="1"/>
  <c r="G111" i="12"/>
  <c r="F111" i="12"/>
  <c r="E111" i="12"/>
  <c r="D111" i="12"/>
  <c r="B111" i="12"/>
  <c r="Q110" i="12"/>
  <c r="B110" i="12"/>
  <c r="Q109" i="12"/>
  <c r="B109" i="12"/>
  <c r="Q108" i="12"/>
  <c r="B108" i="12"/>
  <c r="Q107" i="12"/>
  <c r="B107" i="12"/>
  <c r="O106" i="12"/>
  <c r="N106" i="12"/>
  <c r="M106" i="12"/>
  <c r="L106" i="12"/>
  <c r="K106" i="12"/>
  <c r="J106" i="12"/>
  <c r="I106" i="12"/>
  <c r="H106" i="12"/>
  <c r="G106" i="12"/>
  <c r="F106" i="12"/>
  <c r="Q106" i="12" s="1"/>
  <c r="E106" i="12"/>
  <c r="D106" i="12"/>
  <c r="B106" i="12"/>
  <c r="Q105" i="12"/>
  <c r="B105" i="12"/>
  <c r="Q104" i="12"/>
  <c r="B104" i="12"/>
  <c r="Q103" i="12"/>
  <c r="B103" i="12"/>
  <c r="Q102" i="12"/>
  <c r="B102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Q101" i="12" s="1"/>
  <c r="B101" i="12"/>
  <c r="Q100" i="12"/>
  <c r="B100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Q99" i="12" s="1"/>
  <c r="B99" i="12"/>
  <c r="Q98" i="12"/>
  <c r="B98" i="12"/>
  <c r="O97" i="12"/>
  <c r="N97" i="12"/>
  <c r="M97" i="12"/>
  <c r="L97" i="12"/>
  <c r="K97" i="12"/>
  <c r="J97" i="12"/>
  <c r="I97" i="12"/>
  <c r="H97" i="12"/>
  <c r="G97" i="12"/>
  <c r="F97" i="12"/>
  <c r="E97" i="12"/>
  <c r="D97" i="12"/>
  <c r="Q97" i="12" s="1"/>
  <c r="B97" i="12"/>
  <c r="Q96" i="12"/>
  <c r="B96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Q95" i="12" s="1"/>
  <c r="B95" i="12"/>
  <c r="Q94" i="12"/>
  <c r="B94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Q93" i="12" s="1"/>
  <c r="B93" i="12"/>
  <c r="Q92" i="12"/>
  <c r="B92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Q91" i="12" s="1"/>
  <c r="B91" i="12"/>
  <c r="Q90" i="12"/>
  <c r="B90" i="12"/>
  <c r="Q89" i="12"/>
  <c r="B89" i="12"/>
  <c r="O88" i="12"/>
  <c r="N88" i="12"/>
  <c r="M88" i="12"/>
  <c r="L88" i="12"/>
  <c r="K88" i="12"/>
  <c r="J88" i="12"/>
  <c r="I88" i="12"/>
  <c r="H88" i="12"/>
  <c r="G88" i="12"/>
  <c r="F88" i="12"/>
  <c r="Q88" i="12" s="1"/>
  <c r="E88" i="12"/>
  <c r="D88" i="12"/>
  <c r="B88" i="12"/>
  <c r="Q87" i="12"/>
  <c r="B87" i="12"/>
  <c r="Q86" i="12"/>
  <c r="B86" i="12"/>
  <c r="O85" i="12"/>
  <c r="N85" i="12"/>
  <c r="M85" i="12"/>
  <c r="L85" i="12"/>
  <c r="K85" i="12"/>
  <c r="J85" i="12"/>
  <c r="I85" i="12"/>
  <c r="H85" i="12"/>
  <c r="Q85" i="12" s="1"/>
  <c r="G85" i="12"/>
  <c r="F85" i="12"/>
  <c r="E85" i="12"/>
  <c r="D85" i="12"/>
  <c r="B85" i="12"/>
  <c r="Q84" i="12"/>
  <c r="B84" i="12"/>
  <c r="O83" i="12"/>
  <c r="N83" i="12"/>
  <c r="M83" i="12"/>
  <c r="L83" i="12"/>
  <c r="K83" i="12"/>
  <c r="J83" i="12"/>
  <c r="I83" i="12"/>
  <c r="H83" i="12"/>
  <c r="Q83" i="12" s="1"/>
  <c r="G83" i="12"/>
  <c r="F83" i="12"/>
  <c r="E83" i="12"/>
  <c r="D83" i="12"/>
  <c r="B83" i="12"/>
  <c r="Q82" i="12"/>
  <c r="B82" i="12"/>
  <c r="O81" i="12"/>
  <c r="N81" i="12"/>
  <c r="M81" i="12"/>
  <c r="L81" i="12"/>
  <c r="K81" i="12"/>
  <c r="J81" i="12"/>
  <c r="I81" i="12"/>
  <c r="H81" i="12"/>
  <c r="Q81" i="12" s="1"/>
  <c r="G81" i="12"/>
  <c r="F81" i="12"/>
  <c r="E81" i="12"/>
  <c r="D81" i="12"/>
  <c r="B81" i="12"/>
  <c r="Q80" i="12"/>
  <c r="B80" i="12"/>
  <c r="O79" i="12"/>
  <c r="N79" i="12"/>
  <c r="M79" i="12"/>
  <c r="L79" i="12"/>
  <c r="K79" i="12"/>
  <c r="J79" i="12"/>
  <c r="I79" i="12"/>
  <c r="H79" i="12"/>
  <c r="Q79" i="12" s="1"/>
  <c r="G79" i="12"/>
  <c r="F79" i="12"/>
  <c r="E79" i="12"/>
  <c r="D79" i="12"/>
  <c r="B79" i="12"/>
  <c r="Q78" i="12"/>
  <c r="B78" i="12"/>
  <c r="Q77" i="12"/>
  <c r="B77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B76" i="12"/>
  <c r="Q75" i="12"/>
  <c r="B75" i="12"/>
  <c r="Q74" i="12"/>
  <c r="B74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Q73" i="12" s="1"/>
  <c r="B73" i="12"/>
  <c r="Q72" i="12"/>
  <c r="B72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Q71" i="12" s="1"/>
  <c r="B71" i="12"/>
  <c r="Q70" i="12"/>
  <c r="B70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Q69" i="12" s="1"/>
  <c r="B69" i="12"/>
  <c r="Q68" i="12"/>
  <c r="B68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B67" i="12"/>
  <c r="Q66" i="12"/>
  <c r="B66" i="12"/>
  <c r="Q65" i="12"/>
  <c r="B65" i="12"/>
  <c r="Q64" i="12"/>
  <c r="B64" i="12"/>
  <c r="Q63" i="12"/>
  <c r="B63" i="12"/>
  <c r="Q62" i="12"/>
  <c r="B62" i="12"/>
  <c r="Q61" i="12"/>
  <c r="B61" i="12"/>
  <c r="Q60" i="12"/>
  <c r="B60" i="12"/>
  <c r="Q59" i="12"/>
  <c r="B59" i="12"/>
  <c r="Q58" i="12"/>
  <c r="B58" i="12"/>
  <c r="Q57" i="12"/>
  <c r="B57" i="12"/>
  <c r="O56" i="12"/>
  <c r="N56" i="12"/>
  <c r="M56" i="12"/>
  <c r="L56" i="12"/>
  <c r="K56" i="12"/>
  <c r="J56" i="12"/>
  <c r="I56" i="12"/>
  <c r="H56" i="12"/>
  <c r="G56" i="12"/>
  <c r="F56" i="12"/>
  <c r="Q56" i="12" s="1"/>
  <c r="E56" i="12"/>
  <c r="D56" i="12"/>
  <c r="B56" i="12"/>
  <c r="Q55" i="12"/>
  <c r="B55" i="12"/>
  <c r="Q54" i="12"/>
  <c r="B54" i="12"/>
  <c r="Q53" i="12"/>
  <c r="B53" i="12"/>
  <c r="Q52" i="12"/>
  <c r="B52" i="12"/>
  <c r="Q51" i="12"/>
  <c r="B51" i="12"/>
  <c r="Q50" i="12"/>
  <c r="B50" i="12"/>
  <c r="Q49" i="12"/>
  <c r="B49" i="12"/>
  <c r="Q48" i="12"/>
  <c r="B48" i="12"/>
  <c r="Q47" i="12"/>
  <c r="B47" i="12"/>
  <c r="Q46" i="12"/>
  <c r="B46" i="12"/>
  <c r="O45" i="12"/>
  <c r="N45" i="12"/>
  <c r="M45" i="12"/>
  <c r="M44" i="12" s="1"/>
  <c r="L45" i="12"/>
  <c r="K45" i="12"/>
  <c r="J45" i="12"/>
  <c r="I45" i="12"/>
  <c r="H45" i="12"/>
  <c r="G45" i="12"/>
  <c r="F45" i="12"/>
  <c r="E45" i="12"/>
  <c r="D45" i="12"/>
  <c r="B45" i="12"/>
  <c r="O44" i="12"/>
  <c r="N44" i="12"/>
  <c r="K44" i="12"/>
  <c r="I44" i="12"/>
  <c r="G44" i="12"/>
  <c r="E44" i="12"/>
  <c r="K42" i="12"/>
  <c r="H41" i="12"/>
  <c r="Q39" i="12"/>
  <c r="B39" i="12"/>
  <c r="Q38" i="12"/>
  <c r="B38" i="12"/>
  <c r="Q37" i="12"/>
  <c r="B37" i="12"/>
  <c r="Q36" i="12"/>
  <c r="B36" i="12"/>
  <c r="Q35" i="12"/>
  <c r="B35" i="12"/>
  <c r="Q34" i="12"/>
  <c r="B34" i="12"/>
  <c r="Q33" i="12"/>
  <c r="B33" i="12"/>
  <c r="Q32" i="12"/>
  <c r="B32" i="12"/>
  <c r="Q31" i="12"/>
  <c r="B31" i="12"/>
  <c r="Q30" i="12"/>
  <c r="B30" i="12"/>
  <c r="Q29" i="12"/>
  <c r="B29" i="12"/>
  <c r="Q28" i="12"/>
  <c r="B28" i="12"/>
  <c r="Q27" i="12"/>
  <c r="B27" i="12"/>
  <c r="Q26" i="12"/>
  <c r="B26" i="12"/>
  <c r="Q25" i="12"/>
  <c r="B25" i="12"/>
  <c r="Q24" i="12"/>
  <c r="B24" i="12"/>
  <c r="Q23" i="12"/>
  <c r="B23" i="12"/>
  <c r="Q22" i="12"/>
  <c r="B22" i="12"/>
  <c r="Q21" i="12"/>
  <c r="B21" i="12"/>
  <c r="Q20" i="12"/>
  <c r="B20" i="12"/>
  <c r="Q19" i="12"/>
  <c r="B19" i="12"/>
  <c r="Q18" i="12"/>
  <c r="Q17" i="12" s="1"/>
  <c r="B18" i="12"/>
  <c r="O17" i="12"/>
  <c r="N17" i="12"/>
  <c r="M17" i="12"/>
  <c r="L17" i="12"/>
  <c r="K17" i="12"/>
  <c r="K41" i="12" s="1"/>
  <c r="K141" i="12" s="1"/>
  <c r="J17" i="12"/>
  <c r="J41" i="12" s="1"/>
  <c r="I17" i="12"/>
  <c r="I41" i="12" s="1"/>
  <c r="H17" i="12"/>
  <c r="G17" i="12"/>
  <c r="F17" i="12"/>
  <c r="E17" i="12"/>
  <c r="D17" i="12"/>
  <c r="D15" i="12"/>
  <c r="Q15" i="12" s="1"/>
  <c r="B15" i="12"/>
  <c r="Q14" i="12"/>
  <c r="D14" i="12"/>
  <c r="B14" i="12"/>
  <c r="D13" i="12"/>
  <c r="Q13" i="12" s="1"/>
  <c r="B13" i="12"/>
  <c r="D12" i="12"/>
  <c r="Q12" i="12" s="1"/>
  <c r="B12" i="12"/>
  <c r="D11" i="12"/>
  <c r="B11" i="12"/>
  <c r="O10" i="12"/>
  <c r="O41" i="12" s="1"/>
  <c r="N10" i="12"/>
  <c r="N41" i="12" s="1"/>
  <c r="M10" i="12"/>
  <c r="M41" i="12" s="1"/>
  <c r="M42" i="12" s="1"/>
  <c r="L10" i="12"/>
  <c r="L41" i="12" s="1"/>
  <c r="K10" i="12"/>
  <c r="J10" i="12"/>
  <c r="I10" i="12"/>
  <c r="H10" i="12"/>
  <c r="G10" i="12"/>
  <c r="G41" i="12" s="1"/>
  <c r="F10" i="12"/>
  <c r="F41" i="12" s="1"/>
  <c r="E10" i="12"/>
  <c r="E41" i="12" s="1"/>
  <c r="E42" i="12" s="1"/>
  <c r="O8" i="12"/>
  <c r="N8" i="12"/>
  <c r="M8" i="12"/>
  <c r="L8" i="12"/>
  <c r="K8" i="12"/>
  <c r="J8" i="12"/>
  <c r="I8" i="12"/>
  <c r="H8" i="12"/>
  <c r="G8" i="12"/>
  <c r="F8" i="12"/>
  <c r="E8" i="12"/>
  <c r="D8" i="12"/>
  <c r="B39" i="11"/>
  <c r="B38" i="11"/>
  <c r="G34" i="11"/>
  <c r="E34" i="11"/>
  <c r="D34" i="11"/>
  <c r="G33" i="11"/>
  <c r="E33" i="11"/>
  <c r="D33" i="11"/>
  <c r="G28" i="11"/>
  <c r="E28" i="11"/>
  <c r="D28" i="11"/>
  <c r="G23" i="11"/>
  <c r="E23" i="11"/>
  <c r="D23" i="11"/>
  <c r="G21" i="11"/>
  <c r="E21" i="11"/>
  <c r="D21" i="11"/>
  <c r="B21" i="11"/>
  <c r="G20" i="11"/>
  <c r="E20" i="11"/>
  <c r="D20" i="11"/>
  <c r="B20" i="11"/>
  <c r="G19" i="11"/>
  <c r="E19" i="11"/>
  <c r="D19" i="11"/>
  <c r="G14" i="11"/>
  <c r="E14" i="11"/>
  <c r="D14" i="11"/>
  <c r="B14" i="11"/>
  <c r="G13" i="11"/>
  <c r="E13" i="11"/>
  <c r="D13" i="11"/>
  <c r="G11" i="11"/>
  <c r="E11" i="11"/>
  <c r="D11" i="11"/>
  <c r="B11" i="11"/>
  <c r="G10" i="11"/>
  <c r="E10" i="11"/>
  <c r="D10" i="11"/>
  <c r="E8" i="11"/>
  <c r="D8" i="11"/>
  <c r="B39" i="10"/>
  <c r="B38" i="10"/>
  <c r="G34" i="10"/>
  <c r="E34" i="10"/>
  <c r="D34" i="10"/>
  <c r="G33" i="10"/>
  <c r="E33" i="10"/>
  <c r="D33" i="10"/>
  <c r="G28" i="10"/>
  <c r="E28" i="10"/>
  <c r="D28" i="10"/>
  <c r="G23" i="10"/>
  <c r="E23" i="10"/>
  <c r="D23" i="10"/>
  <c r="G21" i="10"/>
  <c r="E21" i="10"/>
  <c r="D21" i="10"/>
  <c r="B21" i="10"/>
  <c r="G20" i="10"/>
  <c r="E20" i="10"/>
  <c r="D20" i="10"/>
  <c r="B20" i="10"/>
  <c r="G19" i="10"/>
  <c r="E19" i="10"/>
  <c r="D19" i="10"/>
  <c r="G14" i="10"/>
  <c r="E14" i="10"/>
  <c r="D14" i="10"/>
  <c r="B14" i="10"/>
  <c r="G13" i="10"/>
  <c r="E13" i="10"/>
  <c r="D13" i="10"/>
  <c r="G11" i="10"/>
  <c r="E11" i="10"/>
  <c r="D11" i="10"/>
  <c r="B11" i="10"/>
  <c r="G10" i="10"/>
  <c r="E10" i="10"/>
  <c r="D10" i="10"/>
  <c r="E8" i="10"/>
  <c r="D8" i="10"/>
  <c r="D93" i="9"/>
  <c r="Q93" i="9" s="1"/>
  <c r="Q91" i="9"/>
  <c r="B91" i="9"/>
  <c r="Q90" i="9"/>
  <c r="B90" i="9"/>
  <c r="O89" i="9"/>
  <c r="N89" i="9"/>
  <c r="M89" i="9"/>
  <c r="L89" i="9"/>
  <c r="K89" i="9"/>
  <c r="J89" i="9"/>
  <c r="I89" i="9"/>
  <c r="H89" i="9"/>
  <c r="G89" i="9"/>
  <c r="F89" i="9"/>
  <c r="E89" i="9"/>
  <c r="D89" i="9"/>
  <c r="Q89" i="9" s="1"/>
  <c r="B89" i="9"/>
  <c r="Q88" i="9"/>
  <c r="B88" i="9"/>
  <c r="O87" i="9"/>
  <c r="N87" i="9"/>
  <c r="M87" i="9"/>
  <c r="L87" i="9"/>
  <c r="L17" i="9" s="1"/>
  <c r="K87" i="9"/>
  <c r="J87" i="9"/>
  <c r="I87" i="9"/>
  <c r="H87" i="9"/>
  <c r="G87" i="9"/>
  <c r="F87" i="9"/>
  <c r="E87" i="9"/>
  <c r="D87" i="9"/>
  <c r="Q87" i="9" s="1"/>
  <c r="B87" i="9"/>
  <c r="Q86" i="9"/>
  <c r="B86" i="9"/>
  <c r="Q85" i="9"/>
  <c r="B85" i="9"/>
  <c r="O84" i="9"/>
  <c r="N84" i="9"/>
  <c r="M84" i="9"/>
  <c r="L84" i="9"/>
  <c r="K84" i="9"/>
  <c r="J84" i="9"/>
  <c r="I84" i="9"/>
  <c r="H84" i="9"/>
  <c r="G84" i="9"/>
  <c r="F84" i="9"/>
  <c r="Q84" i="9" s="1"/>
  <c r="E84" i="9"/>
  <c r="D84" i="9"/>
  <c r="B84" i="9"/>
  <c r="Q83" i="9"/>
  <c r="B83" i="9"/>
  <c r="Q82" i="9"/>
  <c r="B82" i="9"/>
  <c r="Q81" i="9"/>
  <c r="B81" i="9"/>
  <c r="Q80" i="9"/>
  <c r="B80" i="9"/>
  <c r="Q79" i="9"/>
  <c r="B79" i="9"/>
  <c r="O78" i="9"/>
  <c r="N78" i="9"/>
  <c r="M78" i="9"/>
  <c r="L78" i="9"/>
  <c r="K78" i="9"/>
  <c r="J78" i="9"/>
  <c r="I78" i="9"/>
  <c r="H78" i="9"/>
  <c r="G78" i="9"/>
  <c r="F78" i="9"/>
  <c r="Q78" i="9" s="1"/>
  <c r="E78" i="9"/>
  <c r="D78" i="9"/>
  <c r="B78" i="9"/>
  <c r="Q77" i="9"/>
  <c r="B77" i="9"/>
  <c r="Q76" i="9"/>
  <c r="B76" i="9"/>
  <c r="O75" i="9"/>
  <c r="N75" i="9"/>
  <c r="M75" i="9"/>
  <c r="L75" i="9"/>
  <c r="K75" i="9"/>
  <c r="J75" i="9"/>
  <c r="I75" i="9"/>
  <c r="H75" i="9"/>
  <c r="Q75" i="9" s="1"/>
  <c r="G75" i="9"/>
  <c r="F75" i="9"/>
  <c r="E75" i="9"/>
  <c r="D75" i="9"/>
  <c r="B75" i="9"/>
  <c r="Q74" i="9"/>
  <c r="B74" i="9"/>
  <c r="Q73" i="9"/>
  <c r="B73" i="9"/>
  <c r="O72" i="9"/>
  <c r="N72" i="9"/>
  <c r="M72" i="9"/>
  <c r="L72" i="9"/>
  <c r="K72" i="9"/>
  <c r="J72" i="9"/>
  <c r="I72" i="9"/>
  <c r="H72" i="9"/>
  <c r="G72" i="9"/>
  <c r="F72" i="9"/>
  <c r="E72" i="9"/>
  <c r="D72" i="9"/>
  <c r="Q72" i="9" s="1"/>
  <c r="B72" i="9"/>
  <c r="Q71" i="9"/>
  <c r="B71" i="9"/>
  <c r="Q70" i="9"/>
  <c r="B70" i="9"/>
  <c r="Q69" i="9"/>
  <c r="B69" i="9"/>
  <c r="Q68" i="9"/>
  <c r="B68" i="9"/>
  <c r="O67" i="9"/>
  <c r="N67" i="9"/>
  <c r="M67" i="9"/>
  <c r="L67" i="9"/>
  <c r="K67" i="9"/>
  <c r="J67" i="9"/>
  <c r="I67" i="9"/>
  <c r="H67" i="9"/>
  <c r="Q67" i="9" s="1"/>
  <c r="G67" i="9"/>
  <c r="F67" i="9"/>
  <c r="E67" i="9"/>
  <c r="D67" i="9"/>
  <c r="B67" i="9"/>
  <c r="Q66" i="9"/>
  <c r="B66" i="9"/>
  <c r="Q65" i="9"/>
  <c r="B65" i="9"/>
  <c r="Q64" i="9"/>
  <c r="B64" i="9"/>
  <c r="Q63" i="9"/>
  <c r="B63" i="9"/>
  <c r="O62" i="9"/>
  <c r="N62" i="9"/>
  <c r="M62" i="9"/>
  <c r="L62" i="9"/>
  <c r="K62" i="9"/>
  <c r="J62" i="9"/>
  <c r="I62" i="9"/>
  <c r="H62" i="9"/>
  <c r="G62" i="9"/>
  <c r="F62" i="9"/>
  <c r="E62" i="9"/>
  <c r="D62" i="9"/>
  <c r="B62" i="9"/>
  <c r="Q61" i="9"/>
  <c r="B61" i="9"/>
  <c r="O60" i="9"/>
  <c r="N60" i="9"/>
  <c r="M60" i="9"/>
  <c r="L60" i="9"/>
  <c r="K60" i="9"/>
  <c r="J60" i="9"/>
  <c r="I60" i="9"/>
  <c r="H60" i="9"/>
  <c r="G60" i="9"/>
  <c r="F60" i="9"/>
  <c r="Q60" i="9" s="1"/>
  <c r="E60" i="9"/>
  <c r="D60" i="9"/>
  <c r="B60" i="9"/>
  <c r="Q59" i="9"/>
  <c r="B59" i="9"/>
  <c r="O58" i="9"/>
  <c r="N58" i="9"/>
  <c r="M58" i="9"/>
  <c r="L58" i="9"/>
  <c r="K58" i="9"/>
  <c r="J58" i="9"/>
  <c r="I58" i="9"/>
  <c r="H58" i="9"/>
  <c r="G58" i="9"/>
  <c r="F58" i="9"/>
  <c r="Q58" i="9" s="1"/>
  <c r="E58" i="9"/>
  <c r="D58" i="9"/>
  <c r="B58" i="9"/>
  <c r="Q57" i="9"/>
  <c r="B57" i="9"/>
  <c r="O56" i="9"/>
  <c r="N56" i="9"/>
  <c r="M56" i="9"/>
  <c r="L56" i="9"/>
  <c r="K56" i="9"/>
  <c r="J56" i="9"/>
  <c r="I56" i="9"/>
  <c r="H56" i="9"/>
  <c r="G56" i="9"/>
  <c r="F56" i="9"/>
  <c r="E56" i="9"/>
  <c r="D56" i="9"/>
  <c r="B56" i="9"/>
  <c r="Q55" i="9"/>
  <c r="B55" i="9"/>
  <c r="O54" i="9"/>
  <c r="N54" i="9"/>
  <c r="M54" i="9"/>
  <c r="L54" i="9"/>
  <c r="K54" i="9"/>
  <c r="J54" i="9"/>
  <c r="I54" i="9"/>
  <c r="H54" i="9"/>
  <c r="G54" i="9"/>
  <c r="F54" i="9"/>
  <c r="Q54" i="9" s="1"/>
  <c r="E54" i="9"/>
  <c r="D54" i="9"/>
  <c r="B54" i="9"/>
  <c r="Q53" i="9"/>
  <c r="B53" i="9"/>
  <c r="O52" i="9"/>
  <c r="N52" i="9"/>
  <c r="M52" i="9"/>
  <c r="L52" i="9"/>
  <c r="K52" i="9"/>
  <c r="J52" i="9"/>
  <c r="I52" i="9"/>
  <c r="H52" i="9"/>
  <c r="G52" i="9"/>
  <c r="F52" i="9"/>
  <c r="E52" i="9"/>
  <c r="D52" i="9"/>
  <c r="B52" i="9"/>
  <c r="Q51" i="9"/>
  <c r="B51" i="9"/>
  <c r="O50" i="9"/>
  <c r="N50" i="9"/>
  <c r="M50" i="9"/>
  <c r="L50" i="9"/>
  <c r="K50" i="9"/>
  <c r="J50" i="9"/>
  <c r="I50" i="9"/>
  <c r="H50" i="9"/>
  <c r="G50" i="9"/>
  <c r="F50" i="9"/>
  <c r="E50" i="9"/>
  <c r="D50" i="9"/>
  <c r="B50" i="9"/>
  <c r="Q49" i="9"/>
  <c r="B49" i="9"/>
  <c r="Q48" i="9"/>
  <c r="B48" i="9"/>
  <c r="O47" i="9"/>
  <c r="N47" i="9"/>
  <c r="M47" i="9"/>
  <c r="L47" i="9"/>
  <c r="K47" i="9"/>
  <c r="J47" i="9"/>
  <c r="I47" i="9"/>
  <c r="H47" i="9"/>
  <c r="Q47" i="9" s="1"/>
  <c r="G47" i="9"/>
  <c r="F47" i="9"/>
  <c r="E47" i="9"/>
  <c r="D47" i="9"/>
  <c r="B47" i="9"/>
  <c r="Q46" i="9"/>
  <c r="B46" i="9"/>
  <c r="O45" i="9"/>
  <c r="N45" i="9"/>
  <c r="M45" i="9"/>
  <c r="L45" i="9"/>
  <c r="K45" i="9"/>
  <c r="J45" i="9"/>
  <c r="I45" i="9"/>
  <c r="H45" i="9"/>
  <c r="Q45" i="9" s="1"/>
  <c r="G45" i="9"/>
  <c r="F45" i="9"/>
  <c r="E45" i="9"/>
  <c r="D45" i="9"/>
  <c r="B45" i="9"/>
  <c r="Q44" i="9"/>
  <c r="B44" i="9"/>
  <c r="O43" i="9"/>
  <c r="N43" i="9"/>
  <c r="M43" i="9"/>
  <c r="L43" i="9"/>
  <c r="K43" i="9"/>
  <c r="J43" i="9"/>
  <c r="I43" i="9"/>
  <c r="H43" i="9"/>
  <c r="Q43" i="9" s="1"/>
  <c r="G43" i="9"/>
  <c r="F43" i="9"/>
  <c r="E43" i="9"/>
  <c r="D43" i="9"/>
  <c r="B43" i="9"/>
  <c r="Q42" i="9"/>
  <c r="B42" i="9"/>
  <c r="O41" i="9"/>
  <c r="N41" i="9"/>
  <c r="M41" i="9"/>
  <c r="L41" i="9"/>
  <c r="K41" i="9"/>
  <c r="J41" i="9"/>
  <c r="I41" i="9"/>
  <c r="H41" i="9"/>
  <c r="Q41" i="9" s="1"/>
  <c r="G41" i="9"/>
  <c r="F41" i="9"/>
  <c r="E41" i="9"/>
  <c r="D41" i="9"/>
  <c r="B41" i="9"/>
  <c r="Q40" i="9"/>
  <c r="B40" i="9"/>
  <c r="Q39" i="9"/>
  <c r="B39" i="9"/>
  <c r="Q38" i="9"/>
  <c r="B38" i="9"/>
  <c r="Q37" i="9"/>
  <c r="B37" i="9"/>
  <c r="Q36" i="9"/>
  <c r="B36" i="9"/>
  <c r="Q35" i="9"/>
  <c r="B35" i="9"/>
  <c r="Q34" i="9"/>
  <c r="B34" i="9"/>
  <c r="Q33" i="9"/>
  <c r="B33" i="9"/>
  <c r="Q32" i="9"/>
  <c r="B32" i="9"/>
  <c r="Q31" i="9"/>
  <c r="B31" i="9"/>
  <c r="O30" i="9"/>
  <c r="N30" i="9"/>
  <c r="M30" i="9"/>
  <c r="L30" i="9"/>
  <c r="K30" i="9"/>
  <c r="J30" i="9"/>
  <c r="J17" i="9" s="1"/>
  <c r="I30" i="9"/>
  <c r="H30" i="9"/>
  <c r="G30" i="9"/>
  <c r="F30" i="9"/>
  <c r="E30" i="9"/>
  <c r="D30" i="9"/>
  <c r="B30" i="9"/>
  <c r="Q29" i="9"/>
  <c r="B29" i="9"/>
  <c r="Q28" i="9"/>
  <c r="B28" i="9"/>
  <c r="Q27" i="9"/>
  <c r="B27" i="9"/>
  <c r="Q26" i="9"/>
  <c r="B26" i="9"/>
  <c r="Q25" i="9"/>
  <c r="B25" i="9"/>
  <c r="Q24" i="9"/>
  <c r="B24" i="9"/>
  <c r="Q23" i="9"/>
  <c r="B23" i="9"/>
  <c r="Q22" i="9"/>
  <c r="B22" i="9"/>
  <c r="Q21" i="9"/>
  <c r="B21" i="9"/>
  <c r="Q20" i="9"/>
  <c r="B20" i="9"/>
  <c r="Q19" i="9"/>
  <c r="B19" i="9"/>
  <c r="O18" i="9"/>
  <c r="N18" i="9"/>
  <c r="M18" i="9"/>
  <c r="L18" i="9"/>
  <c r="K18" i="9"/>
  <c r="K17" i="9" s="1"/>
  <c r="J18" i="9"/>
  <c r="I18" i="9"/>
  <c r="H18" i="9"/>
  <c r="G18" i="9"/>
  <c r="G17" i="9" s="1"/>
  <c r="F18" i="9"/>
  <c r="E18" i="9"/>
  <c r="D18" i="9"/>
  <c r="B18" i="9"/>
  <c r="M17" i="9"/>
  <c r="E17" i="9"/>
  <c r="D17" i="9"/>
  <c r="O14" i="9"/>
  <c r="N14" i="9"/>
  <c r="G14" i="9"/>
  <c r="F14" i="9"/>
  <c r="Q12" i="9"/>
  <c r="O12" i="9"/>
  <c r="N12" i="9"/>
  <c r="M12" i="9"/>
  <c r="L12" i="9"/>
  <c r="K12" i="9"/>
  <c r="J12" i="9"/>
  <c r="I12" i="9"/>
  <c r="H12" i="9"/>
  <c r="G12" i="9"/>
  <c r="F12" i="9"/>
  <c r="E12" i="9"/>
  <c r="D12" i="9"/>
  <c r="Q10" i="9"/>
  <c r="Q14" i="9" s="1"/>
  <c r="O10" i="9"/>
  <c r="N10" i="9"/>
  <c r="M10" i="9"/>
  <c r="M14" i="9" s="1"/>
  <c r="L10" i="9"/>
  <c r="L14" i="9" s="1"/>
  <c r="K10" i="9"/>
  <c r="J10" i="9"/>
  <c r="J14" i="9" s="1"/>
  <c r="I10" i="9"/>
  <c r="I14" i="9" s="1"/>
  <c r="H10" i="9"/>
  <c r="H14" i="9" s="1"/>
  <c r="G10" i="9"/>
  <c r="F10" i="9"/>
  <c r="E10" i="9"/>
  <c r="E14" i="9" s="1"/>
  <c r="D10" i="9"/>
  <c r="D14" i="9" s="1"/>
  <c r="O8" i="9"/>
  <c r="N8" i="9"/>
  <c r="M8" i="9"/>
  <c r="L8" i="9"/>
  <c r="K8" i="9"/>
  <c r="J8" i="9"/>
  <c r="I8" i="9"/>
  <c r="H8" i="9"/>
  <c r="G8" i="9"/>
  <c r="F8" i="9"/>
  <c r="E8" i="9"/>
  <c r="D8" i="9"/>
  <c r="B39" i="8"/>
  <c r="B38" i="8"/>
  <c r="G34" i="8"/>
  <c r="E34" i="8"/>
  <c r="D34" i="8"/>
  <c r="G33" i="8"/>
  <c r="E33" i="8"/>
  <c r="D33" i="8"/>
  <c r="G28" i="8"/>
  <c r="E28" i="8"/>
  <c r="D28" i="8"/>
  <c r="G23" i="8"/>
  <c r="E23" i="8"/>
  <c r="D23" i="8"/>
  <c r="G21" i="8"/>
  <c r="E21" i="8"/>
  <c r="D21" i="8"/>
  <c r="B21" i="8"/>
  <c r="G20" i="8"/>
  <c r="E20" i="8"/>
  <c r="D20" i="8"/>
  <c r="B20" i="8"/>
  <c r="G19" i="8"/>
  <c r="E19" i="8"/>
  <c r="D19" i="8"/>
  <c r="G14" i="8"/>
  <c r="E14" i="8"/>
  <c r="D14" i="8"/>
  <c r="B14" i="8"/>
  <c r="G13" i="8"/>
  <c r="E13" i="8"/>
  <c r="D13" i="8"/>
  <c r="G11" i="8"/>
  <c r="E11" i="8"/>
  <c r="D11" i="8"/>
  <c r="B11" i="8"/>
  <c r="G10" i="8"/>
  <c r="E10" i="8"/>
  <c r="D10" i="8"/>
  <c r="E8" i="8"/>
  <c r="D8" i="8"/>
  <c r="B39" i="7"/>
  <c r="B38" i="7"/>
  <c r="G34" i="7"/>
  <c r="E34" i="7"/>
  <c r="D34" i="7"/>
  <c r="G33" i="7"/>
  <c r="E33" i="7"/>
  <c r="D33" i="7"/>
  <c r="G28" i="7"/>
  <c r="E28" i="7"/>
  <c r="D28" i="7"/>
  <c r="G23" i="7"/>
  <c r="E23" i="7"/>
  <c r="D23" i="7"/>
  <c r="G21" i="7"/>
  <c r="E21" i="7"/>
  <c r="D21" i="7"/>
  <c r="B21" i="7"/>
  <c r="G20" i="7"/>
  <c r="E20" i="7"/>
  <c r="D20" i="7"/>
  <c r="B20" i="7"/>
  <c r="G19" i="7"/>
  <c r="E19" i="7"/>
  <c r="D19" i="7"/>
  <c r="G14" i="7"/>
  <c r="E14" i="7"/>
  <c r="D14" i="7"/>
  <c r="B14" i="7"/>
  <c r="G13" i="7"/>
  <c r="E13" i="7"/>
  <c r="D13" i="7"/>
  <c r="G11" i="7"/>
  <c r="E11" i="7"/>
  <c r="D11" i="7"/>
  <c r="B11" i="7"/>
  <c r="G10" i="7"/>
  <c r="E10" i="7"/>
  <c r="D10" i="7"/>
  <c r="E8" i="7"/>
  <c r="D8" i="7"/>
  <c r="O29" i="6"/>
  <c r="N29" i="6"/>
  <c r="M29" i="6"/>
  <c r="L29" i="6"/>
  <c r="K29" i="6"/>
  <c r="J29" i="6"/>
  <c r="I29" i="6"/>
  <c r="H29" i="6"/>
  <c r="G29" i="6"/>
  <c r="F29" i="6"/>
  <c r="E29" i="6"/>
  <c r="Q29" i="6" s="1"/>
  <c r="D29" i="6"/>
  <c r="O28" i="6"/>
  <c r="N28" i="6"/>
  <c r="M28" i="6"/>
  <c r="L28" i="6"/>
  <c r="K28" i="6"/>
  <c r="J28" i="6"/>
  <c r="I28" i="6"/>
  <c r="H28" i="6"/>
  <c r="G28" i="6"/>
  <c r="F28" i="6"/>
  <c r="E28" i="6"/>
  <c r="D28" i="6"/>
  <c r="Q28" i="6" s="1"/>
  <c r="O21" i="6"/>
  <c r="Q19" i="6"/>
  <c r="D19" i="6"/>
  <c r="Q17" i="6"/>
  <c r="O17" i="6"/>
  <c r="N17" i="6"/>
  <c r="M17" i="6"/>
  <c r="L17" i="6"/>
  <c r="K17" i="6"/>
  <c r="J17" i="6"/>
  <c r="I17" i="6"/>
  <c r="H17" i="6"/>
  <c r="G17" i="6"/>
  <c r="F17" i="6"/>
  <c r="E17" i="6"/>
  <c r="D17" i="6"/>
  <c r="Q14" i="6"/>
  <c r="O14" i="6"/>
  <c r="O15" i="6" s="1"/>
  <c r="H14" i="6"/>
  <c r="G14" i="6"/>
  <c r="G15" i="6" s="1"/>
  <c r="Q12" i="6"/>
  <c r="O12" i="6"/>
  <c r="N12" i="6"/>
  <c r="M12" i="6"/>
  <c r="L12" i="6"/>
  <c r="K12" i="6"/>
  <c r="J12" i="6"/>
  <c r="I12" i="6"/>
  <c r="H12" i="6"/>
  <c r="G12" i="6"/>
  <c r="F12" i="6"/>
  <c r="E12" i="6"/>
  <c r="D12" i="6"/>
  <c r="Q10" i="6"/>
  <c r="O10" i="6"/>
  <c r="N10" i="6"/>
  <c r="N14" i="6" s="1"/>
  <c r="N15" i="6" s="1"/>
  <c r="M10" i="6"/>
  <c r="M14" i="6" s="1"/>
  <c r="L10" i="6"/>
  <c r="K10" i="6"/>
  <c r="K14" i="6" s="1"/>
  <c r="K21" i="6" s="1"/>
  <c r="J10" i="6"/>
  <c r="J14" i="6" s="1"/>
  <c r="J21" i="6" s="1"/>
  <c r="J25" i="6" s="1"/>
  <c r="I10" i="6"/>
  <c r="I14" i="6" s="1"/>
  <c r="H10" i="6"/>
  <c r="G10" i="6"/>
  <c r="F10" i="6"/>
  <c r="F14" i="6" s="1"/>
  <c r="F15" i="6" s="1"/>
  <c r="E10" i="6"/>
  <c r="E14" i="6" s="1"/>
  <c r="D10" i="6"/>
  <c r="O8" i="6"/>
  <c r="N8" i="6"/>
  <c r="M8" i="6"/>
  <c r="L8" i="6"/>
  <c r="K8" i="6"/>
  <c r="J8" i="6"/>
  <c r="I8" i="6"/>
  <c r="H8" i="6"/>
  <c r="G8" i="6"/>
  <c r="F8" i="6"/>
  <c r="E8" i="6"/>
  <c r="D8" i="6"/>
  <c r="B39" i="5"/>
  <c r="B38" i="5"/>
  <c r="G34" i="5"/>
  <c r="E34" i="5"/>
  <c r="D34" i="5"/>
  <c r="G33" i="5"/>
  <c r="E33" i="5"/>
  <c r="D33" i="5"/>
  <c r="G28" i="5"/>
  <c r="E28" i="5"/>
  <c r="D28" i="5"/>
  <c r="G23" i="5"/>
  <c r="E23" i="5"/>
  <c r="D23" i="5"/>
  <c r="G21" i="5"/>
  <c r="E21" i="5"/>
  <c r="D21" i="5"/>
  <c r="B21" i="5"/>
  <c r="G20" i="5"/>
  <c r="E20" i="5"/>
  <c r="D20" i="5"/>
  <c r="B20" i="5"/>
  <c r="G19" i="5"/>
  <c r="E19" i="5"/>
  <c r="D19" i="5"/>
  <c r="G14" i="5"/>
  <c r="E14" i="5"/>
  <c r="D14" i="5"/>
  <c r="B14" i="5"/>
  <c r="G13" i="5"/>
  <c r="E13" i="5"/>
  <c r="D13" i="5"/>
  <c r="G11" i="5"/>
  <c r="E11" i="5"/>
  <c r="D11" i="5"/>
  <c r="B11" i="5"/>
  <c r="G10" i="5"/>
  <c r="E10" i="5"/>
  <c r="D10" i="5"/>
  <c r="E8" i="5"/>
  <c r="D8" i="5"/>
  <c r="B39" i="4"/>
  <c r="B38" i="4"/>
  <c r="G34" i="4"/>
  <c r="E34" i="4"/>
  <c r="D34" i="4"/>
  <c r="G33" i="4"/>
  <c r="E33" i="4"/>
  <c r="D33" i="4"/>
  <c r="G28" i="4"/>
  <c r="E28" i="4"/>
  <c r="D28" i="4"/>
  <c r="G23" i="4"/>
  <c r="E23" i="4"/>
  <c r="D23" i="4"/>
  <c r="G21" i="4"/>
  <c r="E21" i="4"/>
  <c r="D21" i="4"/>
  <c r="B21" i="4"/>
  <c r="G20" i="4"/>
  <c r="E20" i="4"/>
  <c r="D20" i="4"/>
  <c r="B20" i="4"/>
  <c r="G19" i="4"/>
  <c r="E19" i="4"/>
  <c r="D19" i="4"/>
  <c r="G14" i="4"/>
  <c r="E14" i="4"/>
  <c r="D14" i="4"/>
  <c r="B14" i="4"/>
  <c r="G13" i="4"/>
  <c r="E13" i="4"/>
  <c r="D13" i="4"/>
  <c r="G11" i="4"/>
  <c r="E11" i="4"/>
  <c r="D11" i="4"/>
  <c r="B11" i="4"/>
  <c r="G10" i="4"/>
  <c r="E10" i="4"/>
  <c r="D10" i="4"/>
  <c r="E8" i="4"/>
  <c r="D8" i="4"/>
  <c r="O168" i="3"/>
  <c r="N168" i="3"/>
  <c r="M168" i="3"/>
  <c r="L168" i="3"/>
  <c r="K168" i="3"/>
  <c r="J168" i="3"/>
  <c r="I168" i="3"/>
  <c r="H168" i="3"/>
  <c r="G168" i="3"/>
  <c r="F168" i="3"/>
  <c r="E168" i="3"/>
  <c r="D168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Q162" i="3"/>
  <c r="D157" i="3"/>
  <c r="Q157" i="3" s="1"/>
  <c r="Q155" i="3"/>
  <c r="B155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B154" i="3"/>
  <c r="Q153" i="3"/>
  <c r="B153" i="3"/>
  <c r="Q152" i="3"/>
  <c r="B152" i="3"/>
  <c r="Q151" i="3"/>
  <c r="B151" i="3"/>
  <c r="O150" i="3"/>
  <c r="N150" i="3"/>
  <c r="M150" i="3"/>
  <c r="L150" i="3"/>
  <c r="K150" i="3"/>
  <c r="J150" i="3"/>
  <c r="I150" i="3"/>
  <c r="H150" i="3"/>
  <c r="G150" i="3"/>
  <c r="F150" i="3"/>
  <c r="E150" i="3"/>
  <c r="Q150" i="3" s="1"/>
  <c r="D150" i="3"/>
  <c r="B150" i="3"/>
  <c r="Q149" i="3"/>
  <c r="B149" i="3"/>
  <c r="O148" i="3"/>
  <c r="N148" i="3"/>
  <c r="M148" i="3"/>
  <c r="L148" i="3"/>
  <c r="K148" i="3"/>
  <c r="J148" i="3"/>
  <c r="I148" i="3"/>
  <c r="H148" i="3"/>
  <c r="G148" i="3"/>
  <c r="F148" i="3"/>
  <c r="E148" i="3"/>
  <c r="Q148" i="3" s="1"/>
  <c r="D148" i="3"/>
  <c r="B148" i="3"/>
  <c r="Q147" i="3"/>
  <c r="B147" i="3"/>
  <c r="Q146" i="3"/>
  <c r="B146" i="3"/>
  <c r="O145" i="3"/>
  <c r="N145" i="3"/>
  <c r="M145" i="3"/>
  <c r="L145" i="3"/>
  <c r="K145" i="3"/>
  <c r="J145" i="3"/>
  <c r="I145" i="3"/>
  <c r="H145" i="3"/>
  <c r="G145" i="3"/>
  <c r="Q145" i="3" s="1"/>
  <c r="F145" i="3"/>
  <c r="E145" i="3"/>
  <c r="D145" i="3"/>
  <c r="B145" i="3"/>
  <c r="Q144" i="3"/>
  <c r="B144" i="3"/>
  <c r="Q143" i="3"/>
  <c r="B143" i="3"/>
  <c r="Q142" i="3"/>
  <c r="B142" i="3"/>
  <c r="Q141" i="3"/>
  <c r="B141" i="3"/>
  <c r="Q140" i="3"/>
  <c r="B140" i="3"/>
  <c r="Q139" i="3"/>
  <c r="B139" i="3"/>
  <c r="Q138" i="3"/>
  <c r="B138" i="3"/>
  <c r="Q137" i="3"/>
  <c r="B137" i="3"/>
  <c r="Q136" i="3"/>
  <c r="B136" i="3"/>
  <c r="Q135" i="3"/>
  <c r="B135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B134" i="3"/>
  <c r="Q133" i="3"/>
  <c r="B133" i="3"/>
  <c r="Q132" i="3"/>
  <c r="B132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B131" i="3"/>
  <c r="Q130" i="3"/>
  <c r="B130" i="3"/>
  <c r="Q129" i="3"/>
  <c r="B129" i="3"/>
  <c r="Q128" i="3"/>
  <c r="B128" i="3"/>
  <c r="Q127" i="3"/>
  <c r="B127" i="3"/>
  <c r="Q126" i="3"/>
  <c r="B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B125" i="3"/>
  <c r="Q124" i="3"/>
  <c r="B124" i="3"/>
  <c r="Q123" i="3"/>
  <c r="B123" i="3"/>
  <c r="Q122" i="3"/>
  <c r="B122" i="3"/>
  <c r="Q121" i="3"/>
  <c r="B121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Q120" i="3" s="1"/>
  <c r="B120" i="3"/>
  <c r="Q119" i="3"/>
  <c r="B119" i="3"/>
  <c r="Q118" i="3"/>
  <c r="B118" i="3"/>
  <c r="Q117" i="3"/>
  <c r="B117" i="3"/>
  <c r="Q116" i="3"/>
  <c r="B116" i="3"/>
  <c r="O115" i="3"/>
  <c r="N115" i="3"/>
  <c r="M115" i="3"/>
  <c r="L115" i="3"/>
  <c r="K115" i="3"/>
  <c r="J115" i="3"/>
  <c r="I115" i="3"/>
  <c r="H115" i="3"/>
  <c r="Q115" i="3" s="1"/>
  <c r="G115" i="3"/>
  <c r="F115" i="3"/>
  <c r="E115" i="3"/>
  <c r="D115" i="3"/>
  <c r="B115" i="3"/>
  <c r="Q114" i="3"/>
  <c r="B114" i="3"/>
  <c r="Q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B113" i="3"/>
  <c r="Q112" i="3"/>
  <c r="B112" i="3"/>
  <c r="O111" i="3"/>
  <c r="N111" i="3"/>
  <c r="M111" i="3"/>
  <c r="L111" i="3"/>
  <c r="K111" i="3"/>
  <c r="J111" i="3"/>
  <c r="I111" i="3"/>
  <c r="H111" i="3"/>
  <c r="Q111" i="3" s="1"/>
  <c r="G111" i="3"/>
  <c r="F111" i="3"/>
  <c r="E111" i="3"/>
  <c r="D111" i="3"/>
  <c r="B111" i="3"/>
  <c r="Q110" i="3"/>
  <c r="B110" i="3"/>
  <c r="O109" i="3"/>
  <c r="N109" i="3"/>
  <c r="M109" i="3"/>
  <c r="L109" i="3"/>
  <c r="K109" i="3"/>
  <c r="J109" i="3"/>
  <c r="I109" i="3"/>
  <c r="H109" i="3"/>
  <c r="Q109" i="3" s="1"/>
  <c r="G109" i="3"/>
  <c r="F109" i="3"/>
  <c r="E109" i="3"/>
  <c r="D109" i="3"/>
  <c r="B109" i="3"/>
  <c r="Q108" i="3"/>
  <c r="B108" i="3"/>
  <c r="O107" i="3"/>
  <c r="N107" i="3"/>
  <c r="M107" i="3"/>
  <c r="L107" i="3"/>
  <c r="K107" i="3"/>
  <c r="J107" i="3"/>
  <c r="I107" i="3"/>
  <c r="H107" i="3"/>
  <c r="Q107" i="3" s="1"/>
  <c r="G107" i="3"/>
  <c r="F107" i="3"/>
  <c r="E107" i="3"/>
  <c r="D107" i="3"/>
  <c r="B107" i="3"/>
  <c r="Q106" i="3"/>
  <c r="B106" i="3"/>
  <c r="Q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B105" i="3"/>
  <c r="Q104" i="3"/>
  <c r="B104" i="3"/>
  <c r="O103" i="3"/>
  <c r="N103" i="3"/>
  <c r="M103" i="3"/>
  <c r="L103" i="3"/>
  <c r="K103" i="3"/>
  <c r="J103" i="3"/>
  <c r="I103" i="3"/>
  <c r="H103" i="3"/>
  <c r="Q103" i="3" s="1"/>
  <c r="G103" i="3"/>
  <c r="F103" i="3"/>
  <c r="E103" i="3"/>
  <c r="D103" i="3"/>
  <c r="B103" i="3"/>
  <c r="Q102" i="3"/>
  <c r="B102" i="3"/>
  <c r="Q101" i="3"/>
  <c r="B101" i="3"/>
  <c r="Q100" i="3"/>
  <c r="B100" i="3"/>
  <c r="O99" i="3"/>
  <c r="N99" i="3"/>
  <c r="M99" i="3"/>
  <c r="L99" i="3"/>
  <c r="K99" i="3"/>
  <c r="K55" i="3" s="1"/>
  <c r="J99" i="3"/>
  <c r="I99" i="3"/>
  <c r="H99" i="3"/>
  <c r="G99" i="3"/>
  <c r="F99" i="3"/>
  <c r="E99" i="3"/>
  <c r="D99" i="3"/>
  <c r="B99" i="3"/>
  <c r="Q98" i="3"/>
  <c r="B98" i="3"/>
  <c r="Q97" i="3"/>
  <c r="B97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Q95" i="3"/>
  <c r="B95" i="3"/>
  <c r="O94" i="3"/>
  <c r="N94" i="3"/>
  <c r="M94" i="3"/>
  <c r="L94" i="3"/>
  <c r="K94" i="3"/>
  <c r="J94" i="3"/>
  <c r="I94" i="3"/>
  <c r="H94" i="3"/>
  <c r="G94" i="3"/>
  <c r="F94" i="3"/>
  <c r="E94" i="3"/>
  <c r="Q94" i="3" s="1"/>
  <c r="D94" i="3"/>
  <c r="B94" i="3"/>
  <c r="Q93" i="3"/>
  <c r="B93" i="3"/>
  <c r="O92" i="3"/>
  <c r="N92" i="3"/>
  <c r="M92" i="3"/>
  <c r="L92" i="3"/>
  <c r="K92" i="3"/>
  <c r="J92" i="3"/>
  <c r="I92" i="3"/>
  <c r="H92" i="3"/>
  <c r="G92" i="3"/>
  <c r="F92" i="3"/>
  <c r="E92" i="3"/>
  <c r="Q92" i="3" s="1"/>
  <c r="D92" i="3"/>
  <c r="B92" i="3"/>
  <c r="Q91" i="3"/>
  <c r="B91" i="3"/>
  <c r="O90" i="3"/>
  <c r="N90" i="3"/>
  <c r="M90" i="3"/>
  <c r="L90" i="3"/>
  <c r="K90" i="3"/>
  <c r="J90" i="3"/>
  <c r="I90" i="3"/>
  <c r="H90" i="3"/>
  <c r="G90" i="3"/>
  <c r="F90" i="3"/>
  <c r="E90" i="3"/>
  <c r="D90" i="3"/>
  <c r="B90" i="3"/>
  <c r="Q89" i="3"/>
  <c r="B89" i="3"/>
  <c r="Q88" i="3"/>
  <c r="B88" i="3"/>
  <c r="Q87" i="3"/>
  <c r="O87" i="3"/>
  <c r="N87" i="3"/>
  <c r="M87" i="3"/>
  <c r="L87" i="3"/>
  <c r="K87" i="3"/>
  <c r="J87" i="3"/>
  <c r="I87" i="3"/>
  <c r="H87" i="3"/>
  <c r="G87" i="3"/>
  <c r="F87" i="3"/>
  <c r="E87" i="3"/>
  <c r="D87" i="3"/>
  <c r="B87" i="3"/>
  <c r="Q86" i="3"/>
  <c r="B86" i="3"/>
  <c r="Q85" i="3"/>
  <c r="B85" i="3"/>
  <c r="O84" i="3"/>
  <c r="N84" i="3"/>
  <c r="M84" i="3"/>
  <c r="L84" i="3"/>
  <c r="K84" i="3"/>
  <c r="J84" i="3"/>
  <c r="I84" i="3"/>
  <c r="H84" i="3"/>
  <c r="G84" i="3"/>
  <c r="F84" i="3"/>
  <c r="E84" i="3"/>
  <c r="D84" i="3"/>
  <c r="Q84" i="3" s="1"/>
  <c r="B84" i="3"/>
  <c r="Q83" i="3"/>
  <c r="B83" i="3"/>
  <c r="O82" i="3"/>
  <c r="N82" i="3"/>
  <c r="M82" i="3"/>
  <c r="L82" i="3"/>
  <c r="K82" i="3"/>
  <c r="J82" i="3"/>
  <c r="I82" i="3"/>
  <c r="H82" i="3"/>
  <c r="G82" i="3"/>
  <c r="F82" i="3"/>
  <c r="E82" i="3"/>
  <c r="D82" i="3"/>
  <c r="Q82" i="3" s="1"/>
  <c r="B82" i="3"/>
  <c r="Q81" i="3"/>
  <c r="B81" i="3"/>
  <c r="O80" i="3"/>
  <c r="N80" i="3"/>
  <c r="M80" i="3"/>
  <c r="L80" i="3"/>
  <c r="K80" i="3"/>
  <c r="J80" i="3"/>
  <c r="I80" i="3"/>
  <c r="H80" i="3"/>
  <c r="G80" i="3"/>
  <c r="F80" i="3"/>
  <c r="E80" i="3"/>
  <c r="D80" i="3"/>
  <c r="Q80" i="3" s="1"/>
  <c r="B80" i="3"/>
  <c r="Q79" i="3"/>
  <c r="B79" i="3"/>
  <c r="O78" i="3"/>
  <c r="N78" i="3"/>
  <c r="M78" i="3"/>
  <c r="L78" i="3"/>
  <c r="K78" i="3"/>
  <c r="J78" i="3"/>
  <c r="I78" i="3"/>
  <c r="I55" i="3" s="1"/>
  <c r="H78" i="3"/>
  <c r="G78" i="3"/>
  <c r="F78" i="3"/>
  <c r="E78" i="3"/>
  <c r="D78" i="3"/>
  <c r="B78" i="3"/>
  <c r="Q77" i="3"/>
  <c r="B77" i="3"/>
  <c r="Q76" i="3"/>
  <c r="B76" i="3"/>
  <c r="Q75" i="3"/>
  <c r="B75" i="3"/>
  <c r="Q74" i="3"/>
  <c r="B74" i="3"/>
  <c r="Q73" i="3"/>
  <c r="B73" i="3"/>
  <c r="Q72" i="3"/>
  <c r="B72" i="3"/>
  <c r="Q71" i="3"/>
  <c r="B71" i="3"/>
  <c r="Q70" i="3"/>
  <c r="B70" i="3"/>
  <c r="Q69" i="3"/>
  <c r="B69" i="3"/>
  <c r="Q68" i="3"/>
  <c r="B68" i="3"/>
  <c r="O67" i="3"/>
  <c r="N67" i="3"/>
  <c r="M67" i="3"/>
  <c r="L67" i="3"/>
  <c r="L55" i="3" s="1"/>
  <c r="K67" i="3"/>
  <c r="J67" i="3"/>
  <c r="I67" i="3"/>
  <c r="H67" i="3"/>
  <c r="G67" i="3"/>
  <c r="F67" i="3"/>
  <c r="E67" i="3"/>
  <c r="D67" i="3"/>
  <c r="Q67" i="3" s="1"/>
  <c r="B67" i="3"/>
  <c r="Q66" i="3"/>
  <c r="B66" i="3"/>
  <c r="Q65" i="3"/>
  <c r="B65" i="3"/>
  <c r="Q64" i="3"/>
  <c r="B64" i="3"/>
  <c r="Q63" i="3"/>
  <c r="B63" i="3"/>
  <c r="Q62" i="3"/>
  <c r="B62" i="3"/>
  <c r="Q61" i="3"/>
  <c r="B61" i="3"/>
  <c r="Q60" i="3"/>
  <c r="B60" i="3"/>
  <c r="Q59" i="3"/>
  <c r="B59" i="3"/>
  <c r="Q58" i="3"/>
  <c r="B58" i="3"/>
  <c r="Q57" i="3"/>
  <c r="B57" i="3"/>
  <c r="O56" i="3"/>
  <c r="N56" i="3"/>
  <c r="M56" i="3"/>
  <c r="M55" i="3" s="1"/>
  <c r="L56" i="3"/>
  <c r="K56" i="3"/>
  <c r="J56" i="3"/>
  <c r="I56" i="3"/>
  <c r="H56" i="3"/>
  <c r="H55" i="3" s="1"/>
  <c r="H159" i="3" s="1"/>
  <c r="G56" i="3"/>
  <c r="F56" i="3"/>
  <c r="E56" i="3"/>
  <c r="D56" i="3"/>
  <c r="B56" i="3"/>
  <c r="J53" i="3"/>
  <c r="I53" i="3"/>
  <c r="H53" i="3"/>
  <c r="O52" i="3"/>
  <c r="N52" i="3"/>
  <c r="J52" i="3"/>
  <c r="H52" i="3"/>
  <c r="G52" i="3"/>
  <c r="F52" i="3"/>
  <c r="Q50" i="3"/>
  <c r="B50" i="3"/>
  <c r="Q49" i="3"/>
  <c r="B49" i="3"/>
  <c r="Q48" i="3"/>
  <c r="B48" i="3"/>
  <c r="Q47" i="3"/>
  <c r="B47" i="3"/>
  <c r="Q46" i="3"/>
  <c r="B46" i="3"/>
  <c r="Q45" i="3"/>
  <c r="B45" i="3"/>
  <c r="Q44" i="3"/>
  <c r="B44" i="3"/>
  <c r="Q43" i="3"/>
  <c r="B43" i="3"/>
  <c r="Q42" i="3"/>
  <c r="B42" i="3"/>
  <c r="Q41" i="3"/>
  <c r="B41" i="3"/>
  <c r="Q40" i="3"/>
  <c r="B40" i="3"/>
  <c r="Q39" i="3"/>
  <c r="B39" i="3"/>
  <c r="Q38" i="3"/>
  <c r="B38" i="3"/>
  <c r="Q37" i="3"/>
  <c r="B37" i="3"/>
  <c r="Q36" i="3"/>
  <c r="B36" i="3"/>
  <c r="Q35" i="3"/>
  <c r="B35" i="3"/>
  <c r="Q34" i="3"/>
  <c r="B34" i="3"/>
  <c r="Q33" i="3"/>
  <c r="B33" i="3"/>
  <c r="Q32" i="3"/>
  <c r="B32" i="3"/>
  <c r="Q31" i="3"/>
  <c r="B31" i="3"/>
  <c r="Q30" i="3"/>
  <c r="B30" i="3"/>
  <c r="Q29" i="3"/>
  <c r="B29" i="3"/>
  <c r="Q28" i="3"/>
  <c r="B28" i="3"/>
  <c r="Q27" i="3"/>
  <c r="B27" i="3"/>
  <c r="Q26" i="3"/>
  <c r="B26" i="3"/>
  <c r="Q25" i="3"/>
  <c r="B25" i="3"/>
  <c r="Q24" i="3"/>
  <c r="B24" i="3"/>
  <c r="Q23" i="3"/>
  <c r="Q21" i="3" s="1"/>
  <c r="B23" i="3"/>
  <c r="Q22" i="3"/>
  <c r="B22" i="3"/>
  <c r="O21" i="3"/>
  <c r="N21" i="3"/>
  <c r="M21" i="3"/>
  <c r="L21" i="3"/>
  <c r="K21" i="3"/>
  <c r="J21" i="3"/>
  <c r="I21" i="3"/>
  <c r="H21" i="3"/>
  <c r="G21" i="3"/>
  <c r="F21" i="3"/>
  <c r="E21" i="3"/>
  <c r="D21" i="3"/>
  <c r="Q19" i="3"/>
  <c r="D19" i="3"/>
  <c r="B19" i="3"/>
  <c r="D18" i="3"/>
  <c r="Q18" i="3" s="1"/>
  <c r="B18" i="3"/>
  <c r="Q17" i="3"/>
  <c r="D17" i="3"/>
  <c r="B17" i="3"/>
  <c r="D16" i="3"/>
  <c r="Q16" i="3" s="1"/>
  <c r="B16" i="3"/>
  <c r="D15" i="3"/>
  <c r="Q15" i="3" s="1"/>
  <c r="B15" i="3"/>
  <c r="Q14" i="3"/>
  <c r="D14" i="3"/>
  <c r="B14" i="3"/>
  <c r="Q13" i="3"/>
  <c r="D13" i="3"/>
  <c r="B13" i="3"/>
  <c r="D12" i="3"/>
  <c r="Q12" i="3" s="1"/>
  <c r="B12" i="3"/>
  <c r="Q11" i="3"/>
  <c r="D11" i="3"/>
  <c r="B11" i="3"/>
  <c r="O10" i="3"/>
  <c r="N10" i="3"/>
  <c r="M10" i="3"/>
  <c r="M52" i="3" s="1"/>
  <c r="L10" i="3"/>
  <c r="L52" i="3" s="1"/>
  <c r="K10" i="3"/>
  <c r="K52" i="3" s="1"/>
  <c r="J10" i="3"/>
  <c r="I10" i="3"/>
  <c r="I52" i="3" s="1"/>
  <c r="H10" i="3"/>
  <c r="G10" i="3"/>
  <c r="F10" i="3"/>
  <c r="E10" i="3"/>
  <c r="E52" i="3" s="1"/>
  <c r="D10" i="3"/>
  <c r="D52" i="3" s="1"/>
  <c r="O8" i="3"/>
  <c r="N8" i="3"/>
  <c r="M8" i="3"/>
  <c r="L8" i="3"/>
  <c r="K8" i="3"/>
  <c r="J8" i="3"/>
  <c r="I8" i="3"/>
  <c r="H8" i="3"/>
  <c r="G8" i="3"/>
  <c r="F8" i="3"/>
  <c r="E8" i="3"/>
  <c r="D8" i="3"/>
  <c r="D16" i="50" l="1"/>
  <c r="D17" i="50" s="1"/>
  <c r="D16" i="10"/>
  <c r="D25" i="10" s="1"/>
  <c r="D30" i="10" s="1"/>
  <c r="D31" i="10" s="1"/>
  <c r="D36" i="10" s="1"/>
  <c r="D37" i="10" s="1"/>
  <c r="G16" i="13"/>
  <c r="G25" i="13" s="1"/>
  <c r="E16" i="14"/>
  <c r="E17" i="14" s="1"/>
  <c r="E16" i="90"/>
  <c r="E17" i="90" s="1"/>
  <c r="G16" i="31"/>
  <c r="G25" i="31" s="1"/>
  <c r="E16" i="34"/>
  <c r="E17" i="34" s="1"/>
  <c r="D16" i="35"/>
  <c r="D17" i="35" s="1"/>
  <c r="E16" i="37"/>
  <c r="E25" i="37" s="1"/>
  <c r="D16" i="38"/>
  <c r="D17" i="38" s="1"/>
  <c r="D16" i="13"/>
  <c r="D25" i="13" s="1"/>
  <c r="D16" i="25"/>
  <c r="D25" i="25" s="1"/>
  <c r="D16" i="41"/>
  <c r="D17" i="41" s="1"/>
  <c r="D16" i="22"/>
  <c r="D25" i="22" s="1"/>
  <c r="G16" i="16"/>
  <c r="G25" i="16" s="1"/>
  <c r="G30" i="16" s="1"/>
  <c r="G31" i="16" s="1"/>
  <c r="G36" i="16" s="1"/>
  <c r="G37" i="16" s="1"/>
  <c r="E16" i="17"/>
  <c r="E25" i="17" s="1"/>
  <c r="E30" i="17" s="1"/>
  <c r="E31" i="17" s="1"/>
  <c r="E36" i="17" s="1"/>
  <c r="E37" i="17" s="1"/>
  <c r="D16" i="20"/>
  <c r="D25" i="20" s="1"/>
  <c r="D16" i="43"/>
  <c r="D25" i="43" s="1"/>
  <c r="D30" i="43" s="1"/>
  <c r="D16" i="46"/>
  <c r="D25" i="46" s="1"/>
  <c r="G16" i="28"/>
  <c r="G25" i="28" s="1"/>
  <c r="E16" i="29"/>
  <c r="E17" i="29" s="1"/>
  <c r="G16" i="35"/>
  <c r="G25" i="35" s="1"/>
  <c r="G16" i="38"/>
  <c r="G17" i="38" s="1"/>
  <c r="G16" i="46"/>
  <c r="G25" i="46" s="1"/>
  <c r="E16" i="47"/>
  <c r="E17" i="47" s="1"/>
  <c r="G16" i="50"/>
  <c r="G25" i="50" s="1"/>
  <c r="D16" i="52"/>
  <c r="D17" i="52" s="1"/>
  <c r="D16" i="92"/>
  <c r="D17" i="92" s="1"/>
  <c r="G16" i="20"/>
  <c r="G17" i="20" s="1"/>
  <c r="E16" i="16"/>
  <c r="E17" i="16" s="1"/>
  <c r="D16" i="17"/>
  <c r="D25" i="17" s="1"/>
  <c r="F84" i="27"/>
  <c r="E16" i="35"/>
  <c r="E17" i="35" s="1"/>
  <c r="E16" i="38"/>
  <c r="E17" i="38" s="1"/>
  <c r="J90" i="62"/>
  <c r="N68" i="68"/>
  <c r="N69" i="68" s="1"/>
  <c r="E74" i="69"/>
  <c r="E75" i="69" s="1"/>
  <c r="O25" i="77"/>
  <c r="F70" i="89"/>
  <c r="E16" i="91"/>
  <c r="E25" i="91" s="1"/>
  <c r="E26" i="91" s="1"/>
  <c r="I159" i="3"/>
  <c r="G16" i="23"/>
  <c r="G25" i="23" s="1"/>
  <c r="E16" i="46"/>
  <c r="E25" i="46" s="1"/>
  <c r="D16" i="47"/>
  <c r="D17" i="47" s="1"/>
  <c r="G16" i="49"/>
  <c r="G25" i="49" s="1"/>
  <c r="E16" i="50"/>
  <c r="E17" i="50" s="1"/>
  <c r="G30" i="55"/>
  <c r="F51" i="61"/>
  <c r="M62" i="63"/>
  <c r="H73" i="57"/>
  <c r="H74" i="57" s="1"/>
  <c r="E112" i="36"/>
  <c r="E106" i="39"/>
  <c r="D16" i="40"/>
  <c r="D17" i="40" s="1"/>
  <c r="I25" i="77"/>
  <c r="I26" i="77" s="1"/>
  <c r="M85" i="80"/>
  <c r="L86" i="21"/>
  <c r="G16" i="7"/>
  <c r="G25" i="7" s="1"/>
  <c r="G16" i="10"/>
  <c r="G25" i="10" s="1"/>
  <c r="G26" i="10" s="1"/>
  <c r="E16" i="11"/>
  <c r="E25" i="11" s="1"/>
  <c r="E26" i="11" s="1"/>
  <c r="G16" i="25"/>
  <c r="G25" i="25" s="1"/>
  <c r="E16" i="26"/>
  <c r="E25" i="26" s="1"/>
  <c r="F108" i="30"/>
  <c r="F109" i="30" s="1"/>
  <c r="N108" i="30"/>
  <c r="D16" i="31"/>
  <c r="D25" i="31" s="1"/>
  <c r="G16" i="43"/>
  <c r="G17" i="43" s="1"/>
  <c r="E16" i="44"/>
  <c r="E17" i="44" s="1"/>
  <c r="G16" i="52"/>
  <c r="G25" i="52" s="1"/>
  <c r="E16" i="53"/>
  <c r="E25" i="53" s="1"/>
  <c r="F73" i="56"/>
  <c r="F78" i="56" s="1"/>
  <c r="N73" i="56"/>
  <c r="N74" i="56" s="1"/>
  <c r="J74" i="58"/>
  <c r="N84" i="65"/>
  <c r="N85" i="65" s="1"/>
  <c r="G25" i="77"/>
  <c r="N70" i="89"/>
  <c r="N51" i="61"/>
  <c r="E83" i="73"/>
  <c r="G16" i="11"/>
  <c r="G17" i="11" s="1"/>
  <c r="G16" i="26"/>
  <c r="G17" i="26" s="1"/>
  <c r="D16" i="28"/>
  <c r="D25" i="28" s="1"/>
  <c r="E16" i="31"/>
  <c r="E17" i="31" s="1"/>
  <c r="D16" i="32"/>
  <c r="D17" i="32" s="1"/>
  <c r="D16" i="34"/>
  <c r="D17" i="34" s="1"/>
  <c r="G16" i="44"/>
  <c r="G25" i="44" s="1"/>
  <c r="G30" i="44" s="1"/>
  <c r="G74" i="51"/>
  <c r="F61" i="59"/>
  <c r="F66" i="59" s="1"/>
  <c r="N56" i="60"/>
  <c r="N57" i="60" s="1"/>
  <c r="I74" i="69"/>
  <c r="E16" i="10"/>
  <c r="E25" i="10" s="1"/>
  <c r="E26" i="10" s="1"/>
  <c r="D16" i="11"/>
  <c r="D25" i="11" s="1"/>
  <c r="D26" i="11" s="1"/>
  <c r="G16" i="14"/>
  <c r="G25" i="14" s="1"/>
  <c r="G30" i="14" s="1"/>
  <c r="G31" i="14" s="1"/>
  <c r="G36" i="14" s="1"/>
  <c r="G37" i="14" s="1"/>
  <c r="E16" i="20"/>
  <c r="E25" i="20" s="1"/>
  <c r="E30" i="20" s="1"/>
  <c r="D16" i="23"/>
  <c r="D25" i="23" s="1"/>
  <c r="E16" i="28"/>
  <c r="E25" i="28" s="1"/>
  <c r="D16" i="29"/>
  <c r="D25" i="29" s="1"/>
  <c r="G16" i="32"/>
  <c r="G17" i="32" s="1"/>
  <c r="G16" i="34"/>
  <c r="D16" i="37"/>
  <c r="D25" i="37" s="1"/>
  <c r="E16" i="41"/>
  <c r="E25" i="41" s="1"/>
  <c r="E16" i="43"/>
  <c r="E25" i="43" s="1"/>
  <c r="D16" i="44"/>
  <c r="D25" i="44" s="1"/>
  <c r="G16" i="47"/>
  <c r="G25" i="47" s="1"/>
  <c r="G26" i="47" s="1"/>
  <c r="D16" i="90"/>
  <c r="D25" i="90" s="1"/>
  <c r="G16" i="8"/>
  <c r="G25" i="8" s="1"/>
  <c r="D16" i="4"/>
  <c r="D25" i="4" s="1"/>
  <c r="E16" i="4"/>
  <c r="E25" i="4" s="1"/>
  <c r="E26" i="4" s="1"/>
  <c r="D16" i="5"/>
  <c r="D25" i="5" s="1"/>
  <c r="D26" i="5" s="1"/>
  <c r="D16" i="49"/>
  <c r="D17" i="49" s="1"/>
  <c r="D16" i="91"/>
  <c r="D25" i="91" s="1"/>
  <c r="G16" i="5"/>
  <c r="G25" i="5" s="1"/>
  <c r="G16" i="91"/>
  <c r="G17" i="91" s="1"/>
  <c r="E16" i="19"/>
  <c r="E25" i="19" s="1"/>
  <c r="E26" i="19" s="1"/>
  <c r="E16" i="22"/>
  <c r="E25" i="22" s="1"/>
  <c r="E16" i="40"/>
  <c r="E17" i="40" s="1"/>
  <c r="E16" i="92"/>
  <c r="E25" i="92" s="1"/>
  <c r="D16" i="7"/>
  <c r="D25" i="7" s="1"/>
  <c r="D26" i="7" s="1"/>
  <c r="E16" i="13"/>
  <c r="E17" i="13" s="1"/>
  <c r="G16" i="19"/>
  <c r="E16" i="25"/>
  <c r="E25" i="25" s="1"/>
  <c r="D16" i="26"/>
  <c r="D25" i="26" s="1"/>
  <c r="G16" i="29"/>
  <c r="G17" i="29" s="1"/>
  <c r="E16" i="32"/>
  <c r="E25" i="32" s="1"/>
  <c r="G16" i="37"/>
  <c r="G16" i="40"/>
  <c r="G25" i="40" s="1"/>
  <c r="G16" i="53"/>
  <c r="G25" i="53" s="1"/>
  <c r="E16" i="49"/>
  <c r="E25" i="49" s="1"/>
  <c r="E16" i="8"/>
  <c r="E17" i="8" s="1"/>
  <c r="G16" i="22"/>
  <c r="G25" i="22" s="1"/>
  <c r="G16" i="41"/>
  <c r="G25" i="41" s="1"/>
  <c r="G16" i="90"/>
  <c r="G25" i="90" s="1"/>
  <c r="E16" i="23"/>
  <c r="E25" i="23" s="1"/>
  <c r="G16" i="92"/>
  <c r="G17" i="92" s="1"/>
  <c r="G16" i="17"/>
  <c r="G17" i="17" s="1"/>
  <c r="G25" i="11"/>
  <c r="G30" i="11" s="1"/>
  <c r="D16" i="19"/>
  <c r="D17" i="19" s="1"/>
  <c r="H160" i="3"/>
  <c r="H164" i="3"/>
  <c r="E53" i="3"/>
  <c r="I160" i="3"/>
  <c r="I164" i="3"/>
  <c r="M159" i="3"/>
  <c r="M53" i="3"/>
  <c r="F55" i="3"/>
  <c r="J95" i="9"/>
  <c r="I15" i="9"/>
  <c r="F42" i="12"/>
  <c r="N42" i="12"/>
  <c r="N141" i="12"/>
  <c r="M141" i="12"/>
  <c r="D16" i="14"/>
  <c r="I43" i="15"/>
  <c r="Q72" i="15"/>
  <c r="Q87" i="15"/>
  <c r="Q92" i="15"/>
  <c r="J47" i="18"/>
  <c r="J63" i="24"/>
  <c r="J67" i="24"/>
  <c r="Q56" i="3"/>
  <c r="E55" i="3"/>
  <c r="E159" i="3" s="1"/>
  <c r="N55" i="3"/>
  <c r="Q78" i="3"/>
  <c r="G16" i="4"/>
  <c r="H15" i="6"/>
  <c r="H21" i="6"/>
  <c r="D16" i="8"/>
  <c r="G55" i="3"/>
  <c r="G159" i="3" s="1"/>
  <c r="O55" i="3"/>
  <c r="Q90" i="3"/>
  <c r="Q154" i="3"/>
  <c r="J22" i="6"/>
  <c r="K14" i="9"/>
  <c r="J15" i="9"/>
  <c r="Q18" i="9"/>
  <c r="F17" i="9"/>
  <c r="F95" i="9" s="1"/>
  <c r="N17" i="9"/>
  <c r="Q62" i="9"/>
  <c r="G42" i="12"/>
  <c r="G141" i="12"/>
  <c r="O42" i="12"/>
  <c r="O141" i="12"/>
  <c r="F44" i="12"/>
  <c r="F141" i="12" s="1"/>
  <c r="Q76" i="12"/>
  <c r="Q70" i="15"/>
  <c r="Q90" i="15"/>
  <c r="D137" i="15"/>
  <c r="K148" i="18"/>
  <c r="K144" i="18"/>
  <c r="K47" i="18"/>
  <c r="Q81" i="18"/>
  <c r="D55" i="3"/>
  <c r="I15" i="6"/>
  <c r="I21" i="6"/>
  <c r="Q15" i="6"/>
  <c r="Q21" i="6"/>
  <c r="D95" i="9"/>
  <c r="D15" i="9"/>
  <c r="L95" i="9"/>
  <c r="L15" i="9"/>
  <c r="O17" i="9"/>
  <c r="O95" i="9" s="1"/>
  <c r="Q30" i="9"/>
  <c r="I42" i="12"/>
  <c r="I141" i="12"/>
  <c r="Q44" i="15"/>
  <c r="E43" i="15"/>
  <c r="L138" i="15"/>
  <c r="L142" i="15"/>
  <c r="D17" i="17"/>
  <c r="L47" i="18"/>
  <c r="F159" i="3"/>
  <c r="F53" i="3"/>
  <c r="J26" i="6"/>
  <c r="J31" i="6"/>
  <c r="J32" i="6" s="1"/>
  <c r="J15" i="6"/>
  <c r="E16" i="7"/>
  <c r="E95" i="9"/>
  <c r="E15" i="9"/>
  <c r="M95" i="9"/>
  <c r="M15" i="9"/>
  <c r="H17" i="9"/>
  <c r="D10" i="12"/>
  <c r="D41" i="12" s="1"/>
  <c r="J42" i="12"/>
  <c r="D44" i="12"/>
  <c r="Q67" i="12"/>
  <c r="L44" i="12"/>
  <c r="L141" i="12" s="1"/>
  <c r="H142" i="15"/>
  <c r="H138" i="15"/>
  <c r="Q17" i="15"/>
  <c r="Q66" i="15"/>
  <c r="D47" i="18"/>
  <c r="D49" i="18"/>
  <c r="D143" i="18" s="1"/>
  <c r="Q72" i="18"/>
  <c r="L49" i="18"/>
  <c r="L143" i="18" s="1"/>
  <c r="F87" i="21"/>
  <c r="F91" i="21"/>
  <c r="Q10" i="3"/>
  <c r="Q52" i="3" s="1"/>
  <c r="Q131" i="3"/>
  <c r="K53" i="3"/>
  <c r="K159" i="3"/>
  <c r="N159" i="3"/>
  <c r="N53" i="3"/>
  <c r="J55" i="3"/>
  <c r="J159" i="3" s="1"/>
  <c r="Q125" i="3"/>
  <c r="Q134" i="3"/>
  <c r="Q168" i="3"/>
  <c r="K25" i="6"/>
  <c r="K22" i="6"/>
  <c r="K15" i="6"/>
  <c r="F21" i="6"/>
  <c r="F15" i="9"/>
  <c r="I17" i="9"/>
  <c r="I95" i="9" s="1"/>
  <c r="Q56" i="9"/>
  <c r="K142" i="12"/>
  <c r="K146" i="12"/>
  <c r="H44" i="12"/>
  <c r="Q45" i="12"/>
  <c r="I137" i="15"/>
  <c r="I41" i="15"/>
  <c r="E41" i="15"/>
  <c r="E137" i="15"/>
  <c r="G43" i="15"/>
  <c r="G137" i="15" s="1"/>
  <c r="O43" i="15"/>
  <c r="F143" i="18"/>
  <c r="F47" i="18"/>
  <c r="N143" i="18"/>
  <c r="N47" i="18"/>
  <c r="H49" i="18"/>
  <c r="Q50" i="18"/>
  <c r="Q49" i="18" s="1"/>
  <c r="L159" i="3"/>
  <c r="L53" i="3"/>
  <c r="O159" i="3"/>
  <c r="D14" i="6"/>
  <c r="L14" i="6"/>
  <c r="G21" i="6"/>
  <c r="G95" i="9"/>
  <c r="G15" i="9"/>
  <c r="H42" i="12"/>
  <c r="H141" i="12"/>
  <c r="J137" i="15"/>
  <c r="J41" i="15"/>
  <c r="Q98" i="15"/>
  <c r="G143" i="18"/>
  <c r="G47" i="18"/>
  <c r="O143" i="18"/>
  <c r="O47" i="18"/>
  <c r="D159" i="3"/>
  <c r="D53" i="3"/>
  <c r="Q96" i="3"/>
  <c r="Q99" i="3"/>
  <c r="Q167" i="3"/>
  <c r="E16" i="5"/>
  <c r="E21" i="6"/>
  <c r="E15" i="6"/>
  <c r="M21" i="6"/>
  <c r="M15" i="6"/>
  <c r="N21" i="6"/>
  <c r="H95" i="9"/>
  <c r="H15" i="9"/>
  <c r="Q15" i="9"/>
  <c r="N95" i="9"/>
  <c r="N15" i="9"/>
  <c r="Q52" i="9"/>
  <c r="L42" i="12"/>
  <c r="J44" i="12"/>
  <c r="J141" i="12" s="1"/>
  <c r="E25" i="14"/>
  <c r="K137" i="15"/>
  <c r="K41" i="15"/>
  <c r="Q123" i="15"/>
  <c r="D16" i="16"/>
  <c r="J49" i="18"/>
  <c r="J143" i="18" s="1"/>
  <c r="H143" i="18"/>
  <c r="J109" i="30"/>
  <c r="J113" i="30"/>
  <c r="O22" i="6"/>
  <c r="O25" i="6"/>
  <c r="O15" i="9"/>
  <c r="Q50" i="9"/>
  <c r="E141" i="12"/>
  <c r="M41" i="15"/>
  <c r="M137" i="15"/>
  <c r="Q19" i="21"/>
  <c r="I19" i="21"/>
  <c r="N87" i="21"/>
  <c r="N91" i="21"/>
  <c r="H18" i="24"/>
  <c r="Q18" i="24"/>
  <c r="E62" i="24"/>
  <c r="E18" i="24"/>
  <c r="M62" i="24"/>
  <c r="M18" i="24"/>
  <c r="F85" i="27"/>
  <c r="F89" i="27"/>
  <c r="N85" i="27"/>
  <c r="N89" i="27"/>
  <c r="I84" i="27"/>
  <c r="I29" i="27"/>
  <c r="F113" i="30"/>
  <c r="N113" i="30"/>
  <c r="N109" i="30"/>
  <c r="H109" i="30"/>
  <c r="H113" i="30"/>
  <c r="L68" i="33"/>
  <c r="L19" i="33"/>
  <c r="H19" i="33"/>
  <c r="E25" i="34"/>
  <c r="F57" i="60"/>
  <c r="F61" i="60"/>
  <c r="F56" i="61"/>
  <c r="F52" i="61"/>
  <c r="I143" i="18"/>
  <c r="J19" i="21"/>
  <c r="J86" i="21"/>
  <c r="I62" i="24"/>
  <c r="I18" i="24"/>
  <c r="F62" i="24"/>
  <c r="F18" i="24"/>
  <c r="N62" i="24"/>
  <c r="N18" i="24"/>
  <c r="G84" i="27"/>
  <c r="G29" i="27"/>
  <c r="O84" i="27"/>
  <c r="O29" i="27"/>
  <c r="G31" i="27"/>
  <c r="O31" i="27"/>
  <c r="G108" i="30"/>
  <c r="G34" i="30"/>
  <c r="O108" i="30"/>
  <c r="O34" i="30"/>
  <c r="I108" i="30"/>
  <c r="E36" i="30"/>
  <c r="M36" i="30"/>
  <c r="Q72" i="30"/>
  <c r="E68" i="33"/>
  <c r="E19" i="33"/>
  <c r="M68" i="33"/>
  <c r="M19" i="33"/>
  <c r="Q47" i="33"/>
  <c r="D21" i="33"/>
  <c r="Q52" i="33"/>
  <c r="M117" i="36"/>
  <c r="M113" i="36"/>
  <c r="Q53" i="36"/>
  <c r="O18" i="48"/>
  <c r="F137" i="15"/>
  <c r="N137" i="15"/>
  <c r="Q13" i="18"/>
  <c r="Q10" i="18" s="1"/>
  <c r="Q46" i="18" s="1"/>
  <c r="G20" i="24"/>
  <c r="O20" i="24"/>
  <c r="O62" i="24" s="1"/>
  <c r="Q47" i="24"/>
  <c r="Q62" i="27"/>
  <c r="K36" i="30"/>
  <c r="K108" i="30" s="1"/>
  <c r="Q64" i="30"/>
  <c r="Q83" i="30"/>
  <c r="I68" i="33"/>
  <c r="Q24" i="36"/>
  <c r="Q94" i="45"/>
  <c r="Q22" i="45"/>
  <c r="Q11" i="15"/>
  <c r="Q10" i="15" s="1"/>
  <c r="Q40" i="15" s="1"/>
  <c r="O137" i="15"/>
  <c r="D87" i="21"/>
  <c r="D91" i="21"/>
  <c r="L87" i="21"/>
  <c r="L91" i="21"/>
  <c r="I21" i="21"/>
  <c r="I86" i="21" s="1"/>
  <c r="K62" i="24"/>
  <c r="K18" i="24"/>
  <c r="Q10" i="27"/>
  <c r="Q28" i="27" s="1"/>
  <c r="H89" i="27"/>
  <c r="H85" i="27"/>
  <c r="K34" i="30"/>
  <c r="K24" i="36"/>
  <c r="K112" i="36"/>
  <c r="D26" i="36"/>
  <c r="L26" i="36"/>
  <c r="L112" i="36" s="1"/>
  <c r="K106" i="39"/>
  <c r="K22" i="39"/>
  <c r="Q52" i="42"/>
  <c r="D24" i="42"/>
  <c r="Q18" i="57"/>
  <c r="D17" i="57"/>
  <c r="D64" i="57" s="1"/>
  <c r="E86" i="21"/>
  <c r="E19" i="21"/>
  <c r="M86" i="21"/>
  <c r="M19" i="21"/>
  <c r="Q70" i="21"/>
  <c r="Q43" i="24"/>
  <c r="J84" i="27"/>
  <c r="J29" i="27"/>
  <c r="K84" i="27"/>
  <c r="K29" i="27"/>
  <c r="Q58" i="27"/>
  <c r="Q33" i="30"/>
  <c r="F34" i="30"/>
  <c r="Q60" i="30"/>
  <c r="Q103" i="30"/>
  <c r="F68" i="33"/>
  <c r="F19" i="33"/>
  <c r="N68" i="33"/>
  <c r="N19" i="33"/>
  <c r="D112" i="36"/>
  <c r="D24" i="36"/>
  <c r="L24" i="36"/>
  <c r="E71" i="48"/>
  <c r="E75" i="48"/>
  <c r="E143" i="18"/>
  <c r="M143" i="18"/>
  <c r="H19" i="21"/>
  <c r="Q61" i="21"/>
  <c r="Q41" i="24"/>
  <c r="D10" i="27"/>
  <c r="D28" i="27" s="1"/>
  <c r="Q12" i="27"/>
  <c r="F29" i="27"/>
  <c r="Q56" i="27"/>
  <c r="Q76" i="27"/>
  <c r="N34" i="30"/>
  <c r="Q58" i="30"/>
  <c r="Q10" i="33"/>
  <c r="Q18" i="33" s="1"/>
  <c r="G68" i="33"/>
  <c r="G19" i="33"/>
  <c r="O68" i="33"/>
  <c r="O19" i="33"/>
  <c r="H21" i="33"/>
  <c r="H68" i="33" s="1"/>
  <c r="Q22" i="33"/>
  <c r="Q63" i="33"/>
  <c r="E117" i="36"/>
  <c r="E113" i="36"/>
  <c r="J24" i="36"/>
  <c r="F26" i="36"/>
  <c r="F112" i="36" s="1"/>
  <c r="N26" i="36"/>
  <c r="N112" i="36" s="1"/>
  <c r="K15" i="54"/>
  <c r="K21" i="54"/>
  <c r="Q11" i="12"/>
  <c r="Q10" i="12" s="1"/>
  <c r="Q41" i="12" s="1"/>
  <c r="G19" i="21"/>
  <c r="G86" i="21"/>
  <c r="O19" i="21"/>
  <c r="O86" i="21"/>
  <c r="Q46" i="21"/>
  <c r="Q59" i="21"/>
  <c r="G62" i="24"/>
  <c r="G18" i="24"/>
  <c r="Q57" i="24"/>
  <c r="L28" i="27"/>
  <c r="N29" i="27"/>
  <c r="Q79" i="27"/>
  <c r="D34" i="30"/>
  <c r="D108" i="30"/>
  <c r="L34" i="30"/>
  <c r="L108" i="30"/>
  <c r="Q78" i="30"/>
  <c r="J19" i="33"/>
  <c r="F24" i="36"/>
  <c r="N24" i="36"/>
  <c r="J26" i="36"/>
  <c r="J112" i="36" s="1"/>
  <c r="G53" i="3"/>
  <c r="O53" i="3"/>
  <c r="K86" i="21"/>
  <c r="Q44" i="21"/>
  <c r="Q57" i="21"/>
  <c r="Q81" i="21"/>
  <c r="D62" i="24"/>
  <c r="D18" i="24"/>
  <c r="L62" i="24"/>
  <c r="L18" i="24"/>
  <c r="O18" i="24"/>
  <c r="Q21" i="24"/>
  <c r="Q20" i="24" s="1"/>
  <c r="Q62" i="24" s="1"/>
  <c r="Q53" i="24"/>
  <c r="E29" i="27"/>
  <c r="E84" i="27"/>
  <c r="M29" i="27"/>
  <c r="M84" i="27"/>
  <c r="Q70" i="27"/>
  <c r="E34" i="30"/>
  <c r="E108" i="30"/>
  <c r="M34" i="30"/>
  <c r="M108" i="30"/>
  <c r="Q37" i="30"/>
  <c r="Q76" i="30"/>
  <c r="Q93" i="30"/>
  <c r="Q100" i="30"/>
  <c r="K69" i="33"/>
  <c r="K73" i="33"/>
  <c r="D10" i="33"/>
  <c r="D18" i="33" s="1"/>
  <c r="Q12" i="33"/>
  <c r="J21" i="33"/>
  <c r="J68" i="33" s="1"/>
  <c r="E24" i="36"/>
  <c r="Q73" i="36"/>
  <c r="I103" i="42"/>
  <c r="I107" i="42"/>
  <c r="H21" i="21"/>
  <c r="H86" i="21" s="1"/>
  <c r="Q54" i="27"/>
  <c r="Q31" i="27" s="1"/>
  <c r="Q69" i="30"/>
  <c r="D22" i="39"/>
  <c r="L22" i="39"/>
  <c r="E22" i="39"/>
  <c r="D24" i="39"/>
  <c r="D106" i="39" s="1"/>
  <c r="Q55" i="39"/>
  <c r="L24" i="39"/>
  <c r="L106" i="39" s="1"/>
  <c r="L102" i="42"/>
  <c r="L22" i="42"/>
  <c r="F22" i="42"/>
  <c r="Q55" i="42"/>
  <c r="Q95" i="42"/>
  <c r="F24" i="45"/>
  <c r="F94" i="45" s="1"/>
  <c r="Q76" i="45"/>
  <c r="J16" i="48"/>
  <c r="J70" i="48"/>
  <c r="D70" i="48"/>
  <c r="I16" i="48"/>
  <c r="I18" i="48"/>
  <c r="I70" i="48" s="1"/>
  <c r="Q46" i="48"/>
  <c r="Q58" i="48"/>
  <c r="G69" i="57"/>
  <c r="G65" i="57"/>
  <c r="J79" i="58"/>
  <c r="J75" i="58"/>
  <c r="J15" i="58"/>
  <c r="H29" i="27"/>
  <c r="H34" i="30"/>
  <c r="Q49" i="36"/>
  <c r="Q26" i="36" s="1"/>
  <c r="Q112" i="36" s="1"/>
  <c r="E107" i="39"/>
  <c r="E111" i="39"/>
  <c r="M106" i="39"/>
  <c r="Q52" i="39"/>
  <c r="Q24" i="39" s="1"/>
  <c r="G107" i="39"/>
  <c r="G111" i="39"/>
  <c r="E102" i="42"/>
  <c r="E22" i="42"/>
  <c r="M102" i="42"/>
  <c r="M22" i="42"/>
  <c r="H102" i="42"/>
  <c r="Q93" i="42"/>
  <c r="D94" i="45"/>
  <c r="D22" i="45"/>
  <c r="L22" i="45"/>
  <c r="D24" i="45"/>
  <c r="Q47" i="45"/>
  <c r="L24" i="45"/>
  <c r="L94" i="45" s="1"/>
  <c r="Q44" i="48"/>
  <c r="H20" i="24"/>
  <c r="H62" i="24" s="1"/>
  <c r="I34" i="30"/>
  <c r="I112" i="36"/>
  <c r="F106" i="39"/>
  <c r="F22" i="39"/>
  <c r="N106" i="39"/>
  <c r="N22" i="39"/>
  <c r="M22" i="39"/>
  <c r="O107" i="39"/>
  <c r="O111" i="39"/>
  <c r="N102" i="42"/>
  <c r="N22" i="42"/>
  <c r="E94" i="45"/>
  <c r="E22" i="45"/>
  <c r="M94" i="45"/>
  <c r="M22" i="45"/>
  <c r="H24" i="45"/>
  <c r="Q25" i="45"/>
  <c r="Q24" i="45" s="1"/>
  <c r="L70" i="48"/>
  <c r="K18" i="48"/>
  <c r="K70" i="48" s="1"/>
  <c r="Q29" i="48"/>
  <c r="Q42" i="48"/>
  <c r="Q100" i="36"/>
  <c r="Q105" i="36"/>
  <c r="J24" i="39"/>
  <c r="J106" i="39" s="1"/>
  <c r="G102" i="42"/>
  <c r="G22" i="42"/>
  <c r="O102" i="42"/>
  <c r="O22" i="42"/>
  <c r="F22" i="45"/>
  <c r="N94" i="45"/>
  <c r="N22" i="45"/>
  <c r="K95" i="45"/>
  <c r="K99" i="45"/>
  <c r="M70" i="48"/>
  <c r="Q40" i="48"/>
  <c r="Q18" i="48" s="1"/>
  <c r="Q70" i="48" s="1"/>
  <c r="K15" i="56"/>
  <c r="K73" i="56"/>
  <c r="I17" i="56"/>
  <c r="Q31" i="21"/>
  <c r="Q21" i="21" s="1"/>
  <c r="Q86" i="21" s="1"/>
  <c r="G112" i="36"/>
  <c r="O112" i="36"/>
  <c r="H22" i="39"/>
  <c r="H106" i="39"/>
  <c r="D25" i="40"/>
  <c r="Q25" i="42"/>
  <c r="F24" i="42"/>
  <c r="F102" i="42" s="1"/>
  <c r="G94" i="45"/>
  <c r="G22" i="45"/>
  <c r="O94" i="45"/>
  <c r="O22" i="45"/>
  <c r="H94" i="45"/>
  <c r="H22" i="45"/>
  <c r="J24" i="45"/>
  <c r="J94" i="45" s="1"/>
  <c r="F70" i="48"/>
  <c r="F16" i="48"/>
  <c r="N70" i="48"/>
  <c r="N16" i="48"/>
  <c r="Q54" i="48"/>
  <c r="H112" i="36"/>
  <c r="I22" i="39"/>
  <c r="I106" i="39"/>
  <c r="J22" i="39"/>
  <c r="D10" i="42"/>
  <c r="D21" i="42" s="1"/>
  <c r="Q11" i="42"/>
  <c r="Q10" i="42" s="1"/>
  <c r="Q21" i="42" s="1"/>
  <c r="K102" i="42"/>
  <c r="K22" i="42"/>
  <c r="G70" i="48"/>
  <c r="G16" i="48"/>
  <c r="O70" i="48"/>
  <c r="O16" i="48"/>
  <c r="H70" i="48"/>
  <c r="J74" i="51"/>
  <c r="J29" i="51"/>
  <c r="Q29" i="51"/>
  <c r="E30" i="55"/>
  <c r="E15" i="55"/>
  <c r="M30" i="55"/>
  <c r="M15" i="55"/>
  <c r="Q10" i="39"/>
  <c r="Q21" i="39" s="1"/>
  <c r="J22" i="42"/>
  <c r="J24" i="42"/>
  <c r="J102" i="42" s="1"/>
  <c r="I94" i="45"/>
  <c r="I22" i="45"/>
  <c r="M63" i="63"/>
  <c r="M67" i="63"/>
  <c r="E16" i="48"/>
  <c r="M16" i="48"/>
  <c r="K29" i="51"/>
  <c r="K74" i="51"/>
  <c r="D16" i="53"/>
  <c r="F30" i="55"/>
  <c r="F15" i="55"/>
  <c r="N30" i="55"/>
  <c r="N15" i="55"/>
  <c r="D15" i="55"/>
  <c r="F15" i="56"/>
  <c r="Q57" i="56"/>
  <c r="F17" i="57"/>
  <c r="N17" i="57"/>
  <c r="Q46" i="58"/>
  <c r="I17" i="58"/>
  <c r="I74" i="58" s="1"/>
  <c r="K61" i="59"/>
  <c r="K15" i="59"/>
  <c r="G51" i="61"/>
  <c r="G15" i="61"/>
  <c r="O51" i="61"/>
  <c r="O15" i="61"/>
  <c r="L29" i="51"/>
  <c r="L74" i="51"/>
  <c r="Q30" i="54"/>
  <c r="L15" i="55"/>
  <c r="E17" i="56"/>
  <c r="E73" i="56" s="1"/>
  <c r="M17" i="56"/>
  <c r="M73" i="56" s="1"/>
  <c r="I64" i="57"/>
  <c r="I15" i="57"/>
  <c r="L15" i="57"/>
  <c r="L64" i="57"/>
  <c r="E65" i="57"/>
  <c r="E69" i="57"/>
  <c r="D74" i="58"/>
  <c r="D15" i="58"/>
  <c r="L74" i="58"/>
  <c r="L15" i="58"/>
  <c r="H75" i="58"/>
  <c r="H79" i="58"/>
  <c r="D61" i="59"/>
  <c r="D15" i="59"/>
  <c r="L61" i="59"/>
  <c r="L15" i="59"/>
  <c r="H56" i="60"/>
  <c r="H15" i="60"/>
  <c r="Q15" i="60"/>
  <c r="J61" i="60"/>
  <c r="J57" i="60"/>
  <c r="Q17" i="60"/>
  <c r="Q56" i="60" s="1"/>
  <c r="H51" i="61"/>
  <c r="H15" i="61"/>
  <c r="Q15" i="61"/>
  <c r="K51" i="61"/>
  <c r="K15" i="61"/>
  <c r="N56" i="61"/>
  <c r="N52" i="61"/>
  <c r="E28" i="51"/>
  <c r="M28" i="51"/>
  <c r="Q54" i="51"/>
  <c r="F21" i="54"/>
  <c r="F15" i="54"/>
  <c r="N21" i="54"/>
  <c r="N15" i="54"/>
  <c r="E15" i="54"/>
  <c r="E21" i="54"/>
  <c r="H15" i="55"/>
  <c r="H30" i="55"/>
  <c r="Q15" i="55"/>
  <c r="G15" i="55"/>
  <c r="Q43" i="56"/>
  <c r="J64" i="57"/>
  <c r="J15" i="57"/>
  <c r="O69" i="57"/>
  <c r="O65" i="57"/>
  <c r="Q59" i="57"/>
  <c r="M64" i="57"/>
  <c r="E74" i="58"/>
  <c r="E15" i="58"/>
  <c r="M74" i="58"/>
  <c r="M15" i="58"/>
  <c r="Q29" i="58"/>
  <c r="K17" i="58"/>
  <c r="K74" i="58" s="1"/>
  <c r="Q42" i="58"/>
  <c r="Q67" i="58"/>
  <c r="E62" i="59"/>
  <c r="E66" i="59"/>
  <c r="M61" i="59"/>
  <c r="I56" i="60"/>
  <c r="I15" i="60"/>
  <c r="K56" i="60"/>
  <c r="I51" i="61"/>
  <c r="I15" i="61"/>
  <c r="F74" i="51"/>
  <c r="F29" i="51"/>
  <c r="N74" i="51"/>
  <c r="N29" i="51"/>
  <c r="O29" i="51"/>
  <c r="G21" i="54"/>
  <c r="G15" i="54"/>
  <c r="O21" i="54"/>
  <c r="O15" i="54"/>
  <c r="J15" i="54"/>
  <c r="J21" i="54"/>
  <c r="M15" i="54"/>
  <c r="M21" i="54"/>
  <c r="F74" i="56"/>
  <c r="Q41" i="56"/>
  <c r="Q64" i="56"/>
  <c r="K15" i="57"/>
  <c r="K64" i="57"/>
  <c r="Q47" i="57"/>
  <c r="H65" i="57"/>
  <c r="D18" i="48"/>
  <c r="G79" i="51"/>
  <c r="G75" i="51"/>
  <c r="O79" i="51"/>
  <c r="O75" i="51"/>
  <c r="Q32" i="51"/>
  <c r="Q31" i="51" s="1"/>
  <c r="Q74" i="51" s="1"/>
  <c r="D31" i="51"/>
  <c r="H22" i="54"/>
  <c r="H26" i="54"/>
  <c r="Q22" i="54"/>
  <c r="Q26" i="54"/>
  <c r="H15" i="54"/>
  <c r="J15" i="55"/>
  <c r="J30" i="55"/>
  <c r="I31" i="55"/>
  <c r="I35" i="55"/>
  <c r="D73" i="56"/>
  <c r="D15" i="56"/>
  <c r="L73" i="56"/>
  <c r="L15" i="56"/>
  <c r="G73" i="56"/>
  <c r="G15" i="56"/>
  <c r="O73" i="56"/>
  <c r="O15" i="56"/>
  <c r="Q39" i="56"/>
  <c r="Q17" i="56" s="1"/>
  <c r="Q73" i="56" s="1"/>
  <c r="J74" i="56"/>
  <c r="J78" i="56"/>
  <c r="G15" i="58"/>
  <c r="G17" i="58"/>
  <c r="G74" i="58" s="1"/>
  <c r="O17" i="58"/>
  <c r="G14" i="59"/>
  <c r="O14" i="59"/>
  <c r="I62" i="59"/>
  <c r="I66" i="59"/>
  <c r="Q17" i="59"/>
  <c r="H74" i="51"/>
  <c r="H29" i="51"/>
  <c r="Q43" i="51"/>
  <c r="E16" i="52"/>
  <c r="I21" i="54"/>
  <c r="I15" i="54"/>
  <c r="Q15" i="54"/>
  <c r="D21" i="54"/>
  <c r="Q29" i="54"/>
  <c r="K15" i="55"/>
  <c r="K30" i="55"/>
  <c r="Q18" i="55"/>
  <c r="Q17" i="55" s="1"/>
  <c r="Q30" i="55" s="1"/>
  <c r="D17" i="55"/>
  <c r="D30" i="55" s="1"/>
  <c r="L17" i="55"/>
  <c r="L30" i="55" s="1"/>
  <c r="E15" i="56"/>
  <c r="M15" i="56"/>
  <c r="H15" i="56"/>
  <c r="H73" i="56"/>
  <c r="Q15" i="56"/>
  <c r="Q43" i="57"/>
  <c r="Q53" i="57"/>
  <c r="K15" i="58"/>
  <c r="Q52" i="58"/>
  <c r="H61" i="59"/>
  <c r="H15" i="59"/>
  <c r="Q61" i="59"/>
  <c r="Q15" i="59"/>
  <c r="J61" i="59"/>
  <c r="J15" i="59"/>
  <c r="D56" i="60"/>
  <c r="D15" i="60"/>
  <c r="L56" i="60"/>
  <c r="L15" i="60"/>
  <c r="D51" i="61"/>
  <c r="D15" i="61"/>
  <c r="L51" i="61"/>
  <c r="L15" i="61"/>
  <c r="H22" i="42"/>
  <c r="J22" i="45"/>
  <c r="I74" i="51"/>
  <c r="I29" i="51"/>
  <c r="L22" i="54"/>
  <c r="L26" i="54"/>
  <c r="G31" i="55"/>
  <c r="G35" i="55"/>
  <c r="O31" i="55"/>
  <c r="O35" i="55"/>
  <c r="Q61" i="56"/>
  <c r="F64" i="57"/>
  <c r="F15" i="57"/>
  <c r="N64" i="57"/>
  <c r="N15" i="57"/>
  <c r="D15" i="57"/>
  <c r="Q41" i="57"/>
  <c r="I15" i="58"/>
  <c r="O15" i="58"/>
  <c r="O74" i="58"/>
  <c r="Q50" i="58"/>
  <c r="Q17" i="58" s="1"/>
  <c r="Q74" i="58" s="1"/>
  <c r="N66" i="59"/>
  <c r="N62" i="59"/>
  <c r="E56" i="60"/>
  <c r="E15" i="60"/>
  <c r="M56" i="60"/>
  <c r="M15" i="60"/>
  <c r="E51" i="61"/>
  <c r="E15" i="61"/>
  <c r="M51" i="61"/>
  <c r="M15" i="61"/>
  <c r="D10" i="51"/>
  <c r="D28" i="51" s="1"/>
  <c r="F74" i="58"/>
  <c r="N74" i="58"/>
  <c r="Q18" i="61"/>
  <c r="Q17" i="61" s="1"/>
  <c r="Q51" i="61" s="1"/>
  <c r="G15" i="62"/>
  <c r="G90" i="62"/>
  <c r="Q49" i="62"/>
  <c r="Q17" i="62" s="1"/>
  <c r="Q90" i="62" s="1"/>
  <c r="Q83" i="62"/>
  <c r="M18" i="63"/>
  <c r="Q47" i="63"/>
  <c r="K89" i="65"/>
  <c r="K85" i="65"/>
  <c r="Q32" i="65"/>
  <c r="E23" i="66"/>
  <c r="E15" i="66"/>
  <c r="M15" i="66"/>
  <c r="M23" i="66"/>
  <c r="I73" i="56"/>
  <c r="G56" i="60"/>
  <c r="O56" i="60"/>
  <c r="Q81" i="62"/>
  <c r="F62" i="63"/>
  <c r="F18" i="63"/>
  <c r="N62" i="63"/>
  <c r="N18" i="63"/>
  <c r="I27" i="64"/>
  <c r="I15" i="64"/>
  <c r="O17" i="64"/>
  <c r="O27" i="64" s="1"/>
  <c r="F28" i="66"/>
  <c r="F24" i="66"/>
  <c r="N23" i="66"/>
  <c r="N15" i="66"/>
  <c r="J51" i="61"/>
  <c r="I15" i="62"/>
  <c r="O15" i="62"/>
  <c r="O90" i="62"/>
  <c r="G62" i="63"/>
  <c r="G18" i="63"/>
  <c r="O62" i="63"/>
  <c r="O18" i="63"/>
  <c r="J28" i="64"/>
  <c r="J32" i="64"/>
  <c r="O15" i="64"/>
  <c r="E84" i="65"/>
  <c r="E29" i="65"/>
  <c r="M84" i="65"/>
  <c r="M29" i="65"/>
  <c r="H15" i="57"/>
  <c r="Q15" i="57"/>
  <c r="F15" i="59"/>
  <c r="N15" i="59"/>
  <c r="K15" i="60"/>
  <c r="F15" i="61"/>
  <c r="N15" i="61"/>
  <c r="J95" i="62"/>
  <c r="J91" i="62"/>
  <c r="E90" i="62"/>
  <c r="E15" i="62"/>
  <c r="M90" i="62"/>
  <c r="M15" i="62"/>
  <c r="J15" i="62"/>
  <c r="I17" i="62"/>
  <c r="I90" i="62" s="1"/>
  <c r="Q59" i="62"/>
  <c r="Q68" i="62"/>
  <c r="Q73" i="62"/>
  <c r="Q41" i="63"/>
  <c r="J15" i="64"/>
  <c r="F28" i="64"/>
  <c r="F32" i="64"/>
  <c r="K29" i="65"/>
  <c r="H23" i="66"/>
  <c r="H15" i="66"/>
  <c r="Q15" i="66"/>
  <c r="K15" i="66"/>
  <c r="K23" i="66"/>
  <c r="L69" i="68"/>
  <c r="L73" i="68"/>
  <c r="K15" i="62"/>
  <c r="Q57" i="62"/>
  <c r="Q71" i="62"/>
  <c r="I62" i="63"/>
  <c r="I18" i="63"/>
  <c r="Q10" i="63"/>
  <c r="Q17" i="63" s="1"/>
  <c r="Q57" i="63"/>
  <c r="E62" i="63"/>
  <c r="H71" i="63"/>
  <c r="H72" i="63" s="1"/>
  <c r="D14" i="64"/>
  <c r="L14" i="64"/>
  <c r="N27" i="64"/>
  <c r="G29" i="65"/>
  <c r="G84" i="65"/>
  <c r="O29" i="65"/>
  <c r="O84" i="65"/>
  <c r="N89" i="65"/>
  <c r="D15" i="66"/>
  <c r="L23" i="66"/>
  <c r="L15" i="66"/>
  <c r="I95" i="67"/>
  <c r="I34" i="67"/>
  <c r="Q34" i="67"/>
  <c r="J29" i="69"/>
  <c r="D25" i="74"/>
  <c r="D17" i="74"/>
  <c r="G17" i="74"/>
  <c r="G25" i="74"/>
  <c r="D14" i="62"/>
  <c r="L14" i="62"/>
  <c r="Q55" i="62"/>
  <c r="H27" i="64"/>
  <c r="H15" i="64"/>
  <c r="Q15" i="64"/>
  <c r="J15" i="66"/>
  <c r="J23" i="66"/>
  <c r="F15" i="66"/>
  <c r="K17" i="62"/>
  <c r="K90" i="62" s="1"/>
  <c r="K62" i="63"/>
  <c r="K18" i="63"/>
  <c r="J18" i="63"/>
  <c r="Q30" i="63"/>
  <c r="Q20" i="63" s="1"/>
  <c r="D20" i="63"/>
  <c r="Q51" i="63"/>
  <c r="H63" i="63"/>
  <c r="Q20" i="64"/>
  <c r="D10" i="65"/>
  <c r="D28" i="65" s="1"/>
  <c r="Q11" i="65"/>
  <c r="Q10" i="65" s="1"/>
  <c r="Q28" i="65" s="1"/>
  <c r="F84" i="65"/>
  <c r="Q43" i="65"/>
  <c r="J15" i="61"/>
  <c r="H90" i="62"/>
  <c r="D62" i="63"/>
  <c r="D18" i="63"/>
  <c r="L62" i="63"/>
  <c r="L18" i="63"/>
  <c r="J20" i="63"/>
  <c r="J62" i="63" s="1"/>
  <c r="Q49" i="63"/>
  <c r="G15" i="64"/>
  <c r="G27" i="64"/>
  <c r="Q18" i="64"/>
  <c r="Q17" i="64" s="1"/>
  <c r="Q27" i="64" s="1"/>
  <c r="K32" i="64"/>
  <c r="J84" i="65"/>
  <c r="J29" i="65"/>
  <c r="H29" i="65"/>
  <c r="H84" i="65"/>
  <c r="Q54" i="65"/>
  <c r="D31" i="65"/>
  <c r="L31" i="65"/>
  <c r="L84" i="65" s="1"/>
  <c r="I84" i="65"/>
  <c r="I68" i="68"/>
  <c r="I19" i="68"/>
  <c r="E19" i="72"/>
  <c r="F90" i="62"/>
  <c r="N90" i="62"/>
  <c r="I23" i="66"/>
  <c r="I15" i="66"/>
  <c r="G34" i="67"/>
  <c r="O34" i="67"/>
  <c r="G19" i="68"/>
  <c r="O68" i="68"/>
  <c r="O19" i="68"/>
  <c r="H29" i="69"/>
  <c r="H74" i="69"/>
  <c r="Q32" i="69"/>
  <c r="J31" i="69"/>
  <c r="J74" i="69" s="1"/>
  <c r="E27" i="64"/>
  <c r="M27" i="64"/>
  <c r="H95" i="67"/>
  <c r="H34" i="67"/>
  <c r="Q62" i="67"/>
  <c r="H68" i="68"/>
  <c r="H19" i="68"/>
  <c r="Q49" i="68"/>
  <c r="G21" i="68"/>
  <c r="G68" i="68" s="1"/>
  <c r="Q52" i="68"/>
  <c r="Q56" i="68"/>
  <c r="I75" i="69"/>
  <c r="I79" i="69"/>
  <c r="Q69" i="69"/>
  <c r="G18" i="70"/>
  <c r="K15" i="64"/>
  <c r="G15" i="66"/>
  <c r="J95" i="67"/>
  <c r="J34" i="67"/>
  <c r="Q81" i="67"/>
  <c r="K74" i="69"/>
  <c r="K29" i="69"/>
  <c r="H18" i="71"/>
  <c r="H24" i="71"/>
  <c r="Q18" i="71"/>
  <c r="Q24" i="71"/>
  <c r="Q18" i="66"/>
  <c r="Q17" i="66" s="1"/>
  <c r="Q23" i="66" s="1"/>
  <c r="D17" i="66"/>
  <c r="D23" i="66" s="1"/>
  <c r="Q73" i="67"/>
  <c r="Q43" i="68"/>
  <c r="L74" i="69"/>
  <c r="L29" i="69"/>
  <c r="Q66" i="69"/>
  <c r="Q18" i="70"/>
  <c r="I66" i="70"/>
  <c r="I18" i="70"/>
  <c r="O22" i="73"/>
  <c r="O83" i="73" s="1"/>
  <c r="H18" i="63"/>
  <c r="F29" i="65"/>
  <c r="N29" i="65"/>
  <c r="K34" i="67"/>
  <c r="F74" i="69"/>
  <c r="F29" i="69"/>
  <c r="Q64" i="69"/>
  <c r="K66" i="70"/>
  <c r="K18" i="70"/>
  <c r="G28" i="66"/>
  <c r="G24" i="66"/>
  <c r="O28" i="66"/>
  <c r="O24" i="66"/>
  <c r="E34" i="67"/>
  <c r="E95" i="67"/>
  <c r="M34" i="67"/>
  <c r="M95" i="67"/>
  <c r="K36" i="67"/>
  <c r="K95" i="67" s="1"/>
  <c r="D95" i="67"/>
  <c r="E19" i="68"/>
  <c r="E68" i="68"/>
  <c r="M19" i="68"/>
  <c r="M68" i="68"/>
  <c r="J68" i="68"/>
  <c r="J19" i="68"/>
  <c r="K19" i="68"/>
  <c r="M75" i="69"/>
  <c r="M79" i="69"/>
  <c r="Q62" i="69"/>
  <c r="G74" i="69"/>
  <c r="G20" i="70"/>
  <c r="G66" i="70" s="1"/>
  <c r="F33" i="67"/>
  <c r="N33" i="67"/>
  <c r="Q37" i="67"/>
  <c r="Q66" i="67"/>
  <c r="G36" i="67"/>
  <c r="G95" i="67" s="1"/>
  <c r="Q69" i="67"/>
  <c r="O36" i="67"/>
  <c r="O95" i="67" s="1"/>
  <c r="Q88" i="67"/>
  <c r="L95" i="67"/>
  <c r="F69" i="68"/>
  <c r="F73" i="68"/>
  <c r="D10" i="68"/>
  <c r="D18" i="68" s="1"/>
  <c r="Q13" i="68"/>
  <c r="Q10" i="68" s="1"/>
  <c r="Q18" i="68" s="1"/>
  <c r="K21" i="68"/>
  <c r="K68" i="68" s="1"/>
  <c r="Q32" i="68"/>
  <c r="Q21" i="68" s="1"/>
  <c r="D10" i="69"/>
  <c r="D28" i="69" s="1"/>
  <c r="Q13" i="69"/>
  <c r="Q10" i="69" s="1"/>
  <c r="Q28" i="69" s="1"/>
  <c r="N74" i="69"/>
  <c r="N29" i="69"/>
  <c r="Q60" i="69"/>
  <c r="O74" i="69"/>
  <c r="H83" i="73"/>
  <c r="H20" i="73"/>
  <c r="E88" i="73"/>
  <c r="E84" i="73"/>
  <c r="I29" i="71"/>
  <c r="I25" i="71"/>
  <c r="F19" i="72"/>
  <c r="F79" i="72"/>
  <c r="N19" i="72"/>
  <c r="N79" i="72"/>
  <c r="M19" i="72"/>
  <c r="Q49" i="72"/>
  <c r="G83" i="73"/>
  <c r="Q66" i="73"/>
  <c r="J30" i="74"/>
  <c r="J26" i="74"/>
  <c r="E17" i="70"/>
  <c r="M66" i="70"/>
  <c r="M18" i="70"/>
  <c r="J24" i="71"/>
  <c r="J18" i="71"/>
  <c r="G19" i="72"/>
  <c r="O19" i="72"/>
  <c r="H19" i="72"/>
  <c r="Q42" i="72"/>
  <c r="J19" i="73"/>
  <c r="I20" i="73"/>
  <c r="Q54" i="73"/>
  <c r="Q69" i="73"/>
  <c r="K25" i="74"/>
  <c r="K17" i="74"/>
  <c r="O17" i="74"/>
  <c r="O25" i="74"/>
  <c r="D21" i="68"/>
  <c r="F66" i="70"/>
  <c r="F18" i="70"/>
  <c r="N66" i="70"/>
  <c r="N18" i="70"/>
  <c r="Q21" i="70"/>
  <c r="K24" i="71"/>
  <c r="K18" i="71"/>
  <c r="H84" i="72"/>
  <c r="H80" i="72"/>
  <c r="K20" i="73"/>
  <c r="K83" i="73"/>
  <c r="L25" i="74"/>
  <c r="L17" i="74"/>
  <c r="J17" i="74"/>
  <c r="H83" i="75"/>
  <c r="H18" i="75"/>
  <c r="L18" i="75"/>
  <c r="L83" i="75"/>
  <c r="E29" i="69"/>
  <c r="M29" i="69"/>
  <c r="O66" i="70"/>
  <c r="O18" i="70"/>
  <c r="D66" i="70"/>
  <c r="D24" i="71"/>
  <c r="D18" i="71"/>
  <c r="L24" i="71"/>
  <c r="L18" i="71"/>
  <c r="I79" i="72"/>
  <c r="I19" i="72"/>
  <c r="G21" i="72"/>
  <c r="G79" i="72" s="1"/>
  <c r="O21" i="72"/>
  <c r="O79" i="72" s="1"/>
  <c r="Q59" i="72"/>
  <c r="L83" i="73"/>
  <c r="I22" i="73"/>
  <c r="I83" i="73" s="1"/>
  <c r="Q50" i="73"/>
  <c r="Q75" i="73"/>
  <c r="M92" i="73"/>
  <c r="M93" i="73" s="1"/>
  <c r="E25" i="74"/>
  <c r="E17" i="74"/>
  <c r="M25" i="74"/>
  <c r="M17" i="74"/>
  <c r="Q20" i="74"/>
  <c r="Q19" i="74" s="1"/>
  <c r="H17" i="70"/>
  <c r="Q54" i="70"/>
  <c r="L66" i="70"/>
  <c r="E17" i="71"/>
  <c r="M17" i="71"/>
  <c r="F18" i="71"/>
  <c r="F24" i="71"/>
  <c r="J79" i="72"/>
  <c r="J19" i="72"/>
  <c r="E21" i="72"/>
  <c r="E79" i="72" s="1"/>
  <c r="M21" i="72"/>
  <c r="M79" i="72" s="1"/>
  <c r="Q71" i="72"/>
  <c r="D79" i="72"/>
  <c r="Q48" i="73"/>
  <c r="Q73" i="73"/>
  <c r="F16" i="74"/>
  <c r="N16" i="74"/>
  <c r="O15" i="78"/>
  <c r="O23" i="78"/>
  <c r="Q47" i="70"/>
  <c r="Q52" i="70"/>
  <c r="N18" i="71"/>
  <c r="N24" i="71"/>
  <c r="K79" i="72"/>
  <c r="K19" i="72"/>
  <c r="Q55" i="72"/>
  <c r="Q21" i="72" s="1"/>
  <c r="Q79" i="72" s="1"/>
  <c r="Q65" i="72"/>
  <c r="Q74" i="72"/>
  <c r="L79" i="72"/>
  <c r="F83" i="73"/>
  <c r="F20" i="73"/>
  <c r="N83" i="73"/>
  <c r="N20" i="73"/>
  <c r="L20" i="73"/>
  <c r="Q33" i="73"/>
  <c r="Q46" i="73"/>
  <c r="M84" i="73"/>
  <c r="M84" i="75"/>
  <c r="M88" i="75"/>
  <c r="E15" i="77"/>
  <c r="E25" i="77"/>
  <c r="M15" i="77"/>
  <c r="M25" i="77"/>
  <c r="J17" i="70"/>
  <c r="Q45" i="70"/>
  <c r="G18" i="71"/>
  <c r="G24" i="71"/>
  <c r="O18" i="71"/>
  <c r="O24" i="71"/>
  <c r="I18" i="71"/>
  <c r="D10" i="73"/>
  <c r="D19" i="73" s="1"/>
  <c r="Q13" i="73"/>
  <c r="Q10" i="73" s="1"/>
  <c r="Q19" i="73" s="1"/>
  <c r="Q22" i="73"/>
  <c r="H17" i="74"/>
  <c r="H25" i="74"/>
  <c r="I24" i="78"/>
  <c r="I28" i="78"/>
  <c r="E20" i="73"/>
  <c r="M20" i="73"/>
  <c r="I83" i="75"/>
  <c r="I18" i="75"/>
  <c r="O83" i="75"/>
  <c r="Q62" i="75"/>
  <c r="Q74" i="75"/>
  <c r="F15" i="76"/>
  <c r="F68" i="76"/>
  <c r="N15" i="76"/>
  <c r="N68" i="76"/>
  <c r="E68" i="76"/>
  <c r="K17" i="76"/>
  <c r="Q50" i="76"/>
  <c r="K23" i="78"/>
  <c r="K15" i="78"/>
  <c r="Q18" i="75"/>
  <c r="Q46" i="75"/>
  <c r="G15" i="76"/>
  <c r="G68" i="76"/>
  <c r="F15" i="77"/>
  <c r="Q20" i="77"/>
  <c r="D15" i="78"/>
  <c r="L23" i="78"/>
  <c r="L15" i="78"/>
  <c r="G20" i="73"/>
  <c r="O20" i="73"/>
  <c r="I25" i="74"/>
  <c r="K18" i="75"/>
  <c r="K83" i="75"/>
  <c r="Q44" i="75"/>
  <c r="H68" i="76"/>
  <c r="H15" i="76"/>
  <c r="Q15" i="76"/>
  <c r="J69" i="76"/>
  <c r="J73" i="76"/>
  <c r="H25" i="77"/>
  <c r="H15" i="77"/>
  <c r="Q15" i="77"/>
  <c r="G30" i="77"/>
  <c r="G26" i="77"/>
  <c r="Q18" i="77"/>
  <c r="Q17" i="77" s="1"/>
  <c r="Q25" i="77" s="1"/>
  <c r="Q21" i="75"/>
  <c r="Q20" i="75" s="1"/>
  <c r="Q83" i="75" s="1"/>
  <c r="D20" i="75"/>
  <c r="D83" i="75" s="1"/>
  <c r="Q42" i="75"/>
  <c r="I68" i="76"/>
  <c r="I15" i="76"/>
  <c r="M68" i="76"/>
  <c r="F23" i="78"/>
  <c r="F15" i="78"/>
  <c r="N23" i="78"/>
  <c r="N15" i="78"/>
  <c r="Q11" i="74"/>
  <c r="Q10" i="74" s="1"/>
  <c r="Q16" i="74" s="1"/>
  <c r="D18" i="75"/>
  <c r="O15" i="76"/>
  <c r="O68" i="76"/>
  <c r="Q46" i="76"/>
  <c r="Q17" i="76" s="1"/>
  <c r="Q68" i="76" s="1"/>
  <c r="J25" i="77"/>
  <c r="J15" i="77"/>
  <c r="N15" i="77"/>
  <c r="F17" i="77"/>
  <c r="F25" i="77" s="1"/>
  <c r="N17" i="77"/>
  <c r="N25" i="77" s="1"/>
  <c r="J28" i="78"/>
  <c r="J24" i="78"/>
  <c r="G15" i="78"/>
  <c r="G23" i="78"/>
  <c r="Q18" i="78"/>
  <c r="Q17" i="78" s="1"/>
  <c r="F17" i="75"/>
  <c r="N17" i="75"/>
  <c r="G88" i="75"/>
  <c r="G84" i="75"/>
  <c r="K15" i="76"/>
  <c r="K68" i="76"/>
  <c r="K15" i="77"/>
  <c r="K25" i="77"/>
  <c r="O30" i="77"/>
  <c r="O26" i="77"/>
  <c r="F85" i="80"/>
  <c r="F18" i="80"/>
  <c r="N85" i="80"/>
  <c r="N18" i="80"/>
  <c r="F15" i="82"/>
  <c r="F23" i="82"/>
  <c r="N15" i="82"/>
  <c r="N23" i="82"/>
  <c r="J23" i="82"/>
  <c r="J15" i="82"/>
  <c r="H54" i="84"/>
  <c r="H58" i="84"/>
  <c r="J83" i="75"/>
  <c r="Q49" i="75"/>
  <c r="F20" i="75"/>
  <c r="N20" i="75"/>
  <c r="Q78" i="75"/>
  <c r="E83" i="75"/>
  <c r="D14" i="76"/>
  <c r="L14" i="76"/>
  <c r="F45" i="81"/>
  <c r="F15" i="81"/>
  <c r="N45" i="81"/>
  <c r="N15" i="81"/>
  <c r="I15" i="81"/>
  <c r="E23" i="78"/>
  <c r="M23" i="78"/>
  <c r="Q82" i="79"/>
  <c r="Q87" i="79"/>
  <c r="D18" i="80"/>
  <c r="L18" i="80"/>
  <c r="L85" i="80"/>
  <c r="K18" i="80"/>
  <c r="K85" i="80"/>
  <c r="J18" i="80"/>
  <c r="G85" i="80"/>
  <c r="L50" i="81"/>
  <c r="L46" i="81"/>
  <c r="G45" i="81"/>
  <c r="G15" i="81"/>
  <c r="O45" i="81"/>
  <c r="O15" i="81"/>
  <c r="I17" i="81"/>
  <c r="I45" i="81" s="1"/>
  <c r="Q27" i="81"/>
  <c r="Q40" i="81"/>
  <c r="D15" i="82"/>
  <c r="D23" i="82"/>
  <c r="L15" i="82"/>
  <c r="L23" i="82"/>
  <c r="F17" i="85"/>
  <c r="F83" i="85"/>
  <c r="D25" i="77"/>
  <c r="L25" i="77"/>
  <c r="D17" i="78"/>
  <c r="D23" i="78" s="1"/>
  <c r="J22" i="79"/>
  <c r="J92" i="79"/>
  <c r="Q25" i="79"/>
  <c r="D24" i="79"/>
  <c r="L24" i="79"/>
  <c r="L92" i="79" s="1"/>
  <c r="Q46" i="79"/>
  <c r="Q68" i="79"/>
  <c r="M86" i="80"/>
  <c r="M90" i="80"/>
  <c r="O85" i="80"/>
  <c r="E45" i="81"/>
  <c r="E15" i="81"/>
  <c r="M45" i="81"/>
  <c r="M15" i="81"/>
  <c r="E15" i="82"/>
  <c r="E23" i="82"/>
  <c r="M23" i="82"/>
  <c r="M15" i="82"/>
  <c r="H23" i="78"/>
  <c r="Q23" i="78"/>
  <c r="H24" i="79"/>
  <c r="H92" i="79" s="1"/>
  <c r="Q55" i="79"/>
  <c r="F24" i="79"/>
  <c r="F92" i="79" s="1"/>
  <c r="N24" i="79"/>
  <c r="Q18" i="81"/>
  <c r="G15" i="82"/>
  <c r="G23" i="82"/>
  <c r="O15" i="82"/>
  <c r="O23" i="82"/>
  <c r="E92" i="79"/>
  <c r="E22" i="79"/>
  <c r="M92" i="79"/>
  <c r="M22" i="79"/>
  <c r="D10" i="79"/>
  <c r="D21" i="79" s="1"/>
  <c r="Q12" i="79"/>
  <c r="Q10" i="79" s="1"/>
  <c r="I22" i="79"/>
  <c r="H18" i="80"/>
  <c r="H85" i="80"/>
  <c r="F20" i="80"/>
  <c r="Q49" i="80"/>
  <c r="Q20" i="80" s="1"/>
  <c r="Q85" i="80" s="1"/>
  <c r="N20" i="80"/>
  <c r="D15" i="81"/>
  <c r="H28" i="82"/>
  <c r="H24" i="82"/>
  <c r="Q23" i="82"/>
  <c r="Q15" i="82"/>
  <c r="H15" i="82"/>
  <c r="L16" i="83"/>
  <c r="L24" i="83"/>
  <c r="L17" i="84"/>
  <c r="E17" i="85"/>
  <c r="M17" i="85"/>
  <c r="M83" i="85"/>
  <c r="I89" i="86"/>
  <c r="I22" i="86"/>
  <c r="E15" i="78"/>
  <c r="M15" i="78"/>
  <c r="N92" i="79"/>
  <c r="K22" i="79"/>
  <c r="K92" i="79"/>
  <c r="I18" i="80"/>
  <c r="I85" i="80"/>
  <c r="Q18" i="80"/>
  <c r="I23" i="82"/>
  <c r="I15" i="82"/>
  <c r="Q20" i="85"/>
  <c r="E19" i="85"/>
  <c r="E83" i="85" s="1"/>
  <c r="Q31" i="85"/>
  <c r="D19" i="85"/>
  <c r="K27" i="88"/>
  <c r="K30" i="88" s="1"/>
  <c r="K31" i="88" s="1"/>
  <c r="G21" i="79"/>
  <c r="O21" i="79"/>
  <c r="Q16" i="79"/>
  <c r="I24" i="79"/>
  <c r="I92" i="79" s="1"/>
  <c r="Q52" i="79"/>
  <c r="J20" i="80"/>
  <c r="J85" i="80" s="1"/>
  <c r="Q50" i="79"/>
  <c r="E86" i="80"/>
  <c r="E90" i="80"/>
  <c r="Q73" i="80"/>
  <c r="K15" i="81"/>
  <c r="K45" i="81"/>
  <c r="H45" i="81"/>
  <c r="G53" i="84"/>
  <c r="G15" i="84"/>
  <c r="O53" i="84"/>
  <c r="O15" i="84"/>
  <c r="J53" i="84"/>
  <c r="J15" i="84"/>
  <c r="F15" i="84"/>
  <c r="I82" i="87"/>
  <c r="I17" i="87"/>
  <c r="D17" i="87"/>
  <c r="M15" i="84"/>
  <c r="Q43" i="84"/>
  <c r="I53" i="84"/>
  <c r="K83" i="85"/>
  <c r="K17" i="85"/>
  <c r="Q24" i="83"/>
  <c r="N15" i="84"/>
  <c r="D16" i="85"/>
  <c r="L16" i="85"/>
  <c r="H89" i="85"/>
  <c r="H92" i="85" s="1"/>
  <c r="H93" i="85" s="1"/>
  <c r="Q56" i="85"/>
  <c r="F89" i="86"/>
  <c r="F22" i="86"/>
  <c r="N89" i="86"/>
  <c r="N22" i="86"/>
  <c r="Q68" i="86"/>
  <c r="K15" i="82"/>
  <c r="K28" i="82"/>
  <c r="I24" i="83"/>
  <c r="I16" i="83"/>
  <c r="E16" i="83"/>
  <c r="E24" i="83"/>
  <c r="H16" i="83"/>
  <c r="Q39" i="84"/>
  <c r="J83" i="85"/>
  <c r="Q54" i="85"/>
  <c r="E87" i="87"/>
  <c r="E83" i="87"/>
  <c r="M87" i="87"/>
  <c r="M83" i="87"/>
  <c r="H22" i="88"/>
  <c r="H26" i="88"/>
  <c r="Q50" i="89"/>
  <c r="L75" i="89"/>
  <c r="L71" i="89"/>
  <c r="D20" i="80"/>
  <c r="D85" i="80" s="1"/>
  <c r="J24" i="83"/>
  <c r="J16" i="83"/>
  <c r="Q19" i="83"/>
  <c r="Q18" i="83" s="1"/>
  <c r="D18" i="83"/>
  <c r="D24" i="83" s="1"/>
  <c r="H29" i="83"/>
  <c r="K14" i="84"/>
  <c r="Q18" i="84"/>
  <c r="E17" i="84"/>
  <c r="E53" i="84" s="1"/>
  <c r="M17" i="84"/>
  <c r="M53" i="84" s="1"/>
  <c r="Q52" i="85"/>
  <c r="J16" i="89"/>
  <c r="J70" i="89"/>
  <c r="I71" i="89"/>
  <c r="I75" i="89"/>
  <c r="D17" i="81"/>
  <c r="D45" i="81" s="1"/>
  <c r="J50" i="81"/>
  <c r="K15" i="83"/>
  <c r="Q16" i="83"/>
  <c r="O33" i="83"/>
  <c r="O34" i="83" s="1"/>
  <c r="D15" i="84"/>
  <c r="L53" i="84"/>
  <c r="L15" i="84"/>
  <c r="F17" i="84"/>
  <c r="F53" i="84" s="1"/>
  <c r="N17" i="84"/>
  <c r="N53" i="84" s="1"/>
  <c r="N17" i="85"/>
  <c r="N83" i="85"/>
  <c r="J19" i="85"/>
  <c r="Q50" i="85"/>
  <c r="K16" i="89"/>
  <c r="K70" i="89"/>
  <c r="D17" i="84"/>
  <c r="D53" i="84" s="1"/>
  <c r="I19" i="85"/>
  <c r="I83" i="85" s="1"/>
  <c r="Q48" i="85"/>
  <c r="H84" i="85"/>
  <c r="E17" i="82"/>
  <c r="M16" i="83"/>
  <c r="M24" i="83"/>
  <c r="E15" i="84"/>
  <c r="Q46" i="85"/>
  <c r="G22" i="86"/>
  <c r="G89" i="86"/>
  <c r="H89" i="86"/>
  <c r="H22" i="86"/>
  <c r="J89" i="86"/>
  <c r="Q53" i="86"/>
  <c r="Q75" i="86"/>
  <c r="J17" i="87"/>
  <c r="J82" i="87"/>
  <c r="Q16" i="87"/>
  <c r="F19" i="87"/>
  <c r="F82" i="87" s="1"/>
  <c r="N19" i="87"/>
  <c r="N82" i="87" s="1"/>
  <c r="I21" i="88"/>
  <c r="I15" i="88"/>
  <c r="O21" i="88"/>
  <c r="O15" i="88"/>
  <c r="M16" i="89"/>
  <c r="Q48" i="89"/>
  <c r="F24" i="83"/>
  <c r="N24" i="83"/>
  <c r="G83" i="85"/>
  <c r="O83" i="85"/>
  <c r="D21" i="86"/>
  <c r="Q25" i="86"/>
  <c r="Q51" i="86"/>
  <c r="Q73" i="86"/>
  <c r="K16" i="87"/>
  <c r="H82" i="87"/>
  <c r="J22" i="88"/>
  <c r="J26" i="88"/>
  <c r="Q22" i="88"/>
  <c r="Q26" i="88"/>
  <c r="N71" i="89"/>
  <c r="N75" i="89"/>
  <c r="Q46" i="89"/>
  <c r="Q11" i="86"/>
  <c r="Q10" i="86" s="1"/>
  <c r="Q21" i="86" s="1"/>
  <c r="Q36" i="86"/>
  <c r="Q49" i="86"/>
  <c r="Q65" i="86"/>
  <c r="L82" i="87"/>
  <c r="L17" i="87"/>
  <c r="Q20" i="87"/>
  <c r="Q19" i="87" s="1"/>
  <c r="D19" i="87"/>
  <c r="D82" i="87" s="1"/>
  <c r="J15" i="88"/>
  <c r="F21" i="88"/>
  <c r="Q44" i="89"/>
  <c r="K89" i="86"/>
  <c r="K22" i="86"/>
  <c r="Q47" i="86"/>
  <c r="Q63" i="86"/>
  <c r="O89" i="86"/>
  <c r="Q31" i="87"/>
  <c r="D14" i="88"/>
  <c r="L14" i="88"/>
  <c r="N26" i="88"/>
  <c r="N22" i="88"/>
  <c r="G16" i="89"/>
  <c r="O70" i="89"/>
  <c r="O16" i="89"/>
  <c r="E16" i="89"/>
  <c r="G18" i="89"/>
  <c r="G70" i="89" s="1"/>
  <c r="Q58" i="89"/>
  <c r="L21" i="86"/>
  <c r="Q61" i="86"/>
  <c r="F17" i="87"/>
  <c r="N17" i="87"/>
  <c r="G17" i="87"/>
  <c r="Q77" i="87"/>
  <c r="E15" i="88"/>
  <c r="E21" i="88"/>
  <c r="M15" i="88"/>
  <c r="M21" i="88"/>
  <c r="F71" i="89"/>
  <c r="F75" i="89"/>
  <c r="Q40" i="89"/>
  <c r="E89" i="86"/>
  <c r="M89" i="86"/>
  <c r="Q59" i="86"/>
  <c r="G83" i="87"/>
  <c r="G87" i="87"/>
  <c r="O83" i="87"/>
  <c r="O87" i="87"/>
  <c r="Q75" i="87"/>
  <c r="G21" i="88"/>
  <c r="G15" i="88"/>
  <c r="D10" i="89"/>
  <c r="D15" i="89" s="1"/>
  <c r="Q11" i="89"/>
  <c r="Q10" i="89" s="1"/>
  <c r="Q15" i="89" s="1"/>
  <c r="H70" i="89"/>
  <c r="Q19" i="89"/>
  <c r="E18" i="89"/>
  <c r="E70" i="89" s="1"/>
  <c r="M18" i="89"/>
  <c r="M70" i="89" s="1"/>
  <c r="Q54" i="89"/>
  <c r="E25" i="90"/>
  <c r="H15" i="88"/>
  <c r="Q15" i="88"/>
  <c r="F16" i="89"/>
  <c r="N16" i="89"/>
  <c r="G17" i="13" l="1"/>
  <c r="D25" i="50"/>
  <c r="E17" i="17"/>
  <c r="G17" i="46"/>
  <c r="E17" i="91"/>
  <c r="D25" i="35"/>
  <c r="G17" i="47"/>
  <c r="D17" i="10"/>
  <c r="E17" i="37"/>
  <c r="D25" i="52"/>
  <c r="D26" i="52" s="1"/>
  <c r="D25" i="49"/>
  <c r="D30" i="49" s="1"/>
  <c r="D25" i="47"/>
  <c r="D30" i="47" s="1"/>
  <c r="D25" i="38"/>
  <c r="D30" i="38" s="1"/>
  <c r="G17" i="5"/>
  <c r="G17" i="52"/>
  <c r="D17" i="25"/>
  <c r="D17" i="44"/>
  <c r="G17" i="31"/>
  <c r="G17" i="40"/>
  <c r="G17" i="35"/>
  <c r="E17" i="43"/>
  <c r="D17" i="43"/>
  <c r="E17" i="11"/>
  <c r="D25" i="41"/>
  <c r="D26" i="41" s="1"/>
  <c r="E25" i="40"/>
  <c r="E26" i="40" s="1"/>
  <c r="E25" i="16"/>
  <c r="E26" i="16" s="1"/>
  <c r="G30" i="47"/>
  <c r="G31" i="47" s="1"/>
  <c r="G36" i="47" s="1"/>
  <c r="G37" i="47" s="1"/>
  <c r="D17" i="31"/>
  <c r="D17" i="7"/>
  <c r="E17" i="41"/>
  <c r="G17" i="50"/>
  <c r="D17" i="5"/>
  <c r="G26" i="14"/>
  <c r="E25" i="44"/>
  <c r="E26" i="44" s="1"/>
  <c r="G17" i="44"/>
  <c r="G17" i="10"/>
  <c r="G25" i="92"/>
  <c r="G30" i="92" s="1"/>
  <c r="D17" i="13"/>
  <c r="G30" i="10"/>
  <c r="G31" i="10" s="1"/>
  <c r="G17" i="14"/>
  <c r="D17" i="37"/>
  <c r="E17" i="23"/>
  <c r="D25" i="34"/>
  <c r="D30" i="34" s="1"/>
  <c r="D31" i="34" s="1"/>
  <c r="D36" i="34" s="1"/>
  <c r="D37" i="34" s="1"/>
  <c r="G26" i="44"/>
  <c r="D26" i="10"/>
  <c r="G17" i="53"/>
  <c r="G25" i="32"/>
  <c r="G26" i="32" s="1"/>
  <c r="D30" i="5"/>
  <c r="D31" i="5" s="1"/>
  <c r="D36" i="5" s="1"/>
  <c r="D37" i="5" s="1"/>
  <c r="D17" i="22"/>
  <c r="D17" i="28"/>
  <c r="G17" i="8"/>
  <c r="D30" i="22"/>
  <c r="D31" i="22" s="1"/>
  <c r="D36" i="22" s="1"/>
  <c r="D37" i="22" s="1"/>
  <c r="D26" i="22"/>
  <c r="E26" i="20"/>
  <c r="E25" i="13"/>
  <c r="E26" i="13" s="1"/>
  <c r="D25" i="92"/>
  <c r="D26" i="92" s="1"/>
  <c r="E17" i="20"/>
  <c r="E25" i="35"/>
  <c r="G30" i="46"/>
  <c r="G31" i="46" s="1"/>
  <c r="G36" i="46" s="1"/>
  <c r="G37" i="46" s="1"/>
  <c r="G26" i="46"/>
  <c r="D26" i="43"/>
  <c r="G17" i="22"/>
  <c r="G17" i="16"/>
  <c r="E30" i="11"/>
  <c r="E31" i="11" s="1"/>
  <c r="E36" i="11" s="1"/>
  <c r="E37" i="11" s="1"/>
  <c r="E17" i="53"/>
  <c r="G17" i="49"/>
  <c r="E17" i="49"/>
  <c r="D17" i="46"/>
  <c r="D17" i="20"/>
  <c r="D30" i="7"/>
  <c r="D31" i="7" s="1"/>
  <c r="D36" i="7" s="1"/>
  <c r="D37" i="7" s="1"/>
  <c r="E30" i="10"/>
  <c r="E31" i="10" s="1"/>
  <c r="E36" i="10" s="1"/>
  <c r="E37" i="10" s="1"/>
  <c r="E25" i="38"/>
  <c r="E26" i="38" s="1"/>
  <c r="E26" i="17"/>
  <c r="G25" i="38"/>
  <c r="G25" i="17"/>
  <c r="G26" i="17" s="1"/>
  <c r="E17" i="32"/>
  <c r="E25" i="29"/>
  <c r="E26" i="29" s="1"/>
  <c r="G25" i="91"/>
  <c r="G26" i="35"/>
  <c r="G30" i="35"/>
  <c r="G31" i="35" s="1"/>
  <c r="G36" i="35" s="1"/>
  <c r="G37" i="35" s="1"/>
  <c r="E30" i="40"/>
  <c r="E31" i="40" s="1"/>
  <c r="E36" i="40" s="1"/>
  <c r="E37" i="40" s="1"/>
  <c r="D17" i="11"/>
  <c r="G17" i="25"/>
  <c r="D30" i="11"/>
  <c r="D31" i="11" s="1"/>
  <c r="D36" i="11" s="1"/>
  <c r="D37" i="11" s="1"/>
  <c r="E25" i="31"/>
  <c r="G25" i="20"/>
  <c r="G26" i="20" s="1"/>
  <c r="E30" i="91"/>
  <c r="E31" i="91" s="1"/>
  <c r="E36" i="91" s="1"/>
  <c r="E37" i="91" s="1"/>
  <c r="E17" i="25"/>
  <c r="E17" i="10"/>
  <c r="E30" i="19"/>
  <c r="E31" i="19" s="1"/>
  <c r="E36" i="19" s="1"/>
  <c r="E37" i="19" s="1"/>
  <c r="E17" i="4"/>
  <c r="E17" i="22"/>
  <c r="E25" i="50"/>
  <c r="E26" i="50" s="1"/>
  <c r="G17" i="41"/>
  <c r="E25" i="47"/>
  <c r="E26" i="47" s="1"/>
  <c r="G25" i="43"/>
  <c r="G26" i="43" s="1"/>
  <c r="D17" i="23"/>
  <c r="G17" i="28"/>
  <c r="D25" i="32"/>
  <c r="E30" i="4"/>
  <c r="E31" i="4" s="1"/>
  <c r="E36" i="4" s="1"/>
  <c r="E37" i="4" s="1"/>
  <c r="G26" i="11"/>
  <c r="G17" i="7"/>
  <c r="D17" i="29"/>
  <c r="G17" i="90"/>
  <c r="G25" i="29"/>
  <c r="G30" i="29" s="1"/>
  <c r="G26" i="16"/>
  <c r="G25" i="26"/>
  <c r="I30" i="77"/>
  <c r="I34" i="77" s="1"/>
  <c r="I35" i="77" s="1"/>
  <c r="N61" i="60"/>
  <c r="N73" i="68"/>
  <c r="E17" i="46"/>
  <c r="G17" i="23"/>
  <c r="E17" i="28"/>
  <c r="D17" i="26"/>
  <c r="D17" i="90"/>
  <c r="F62" i="59"/>
  <c r="N78" i="56"/>
  <c r="D25" i="19"/>
  <c r="D26" i="19" s="1"/>
  <c r="D17" i="91"/>
  <c r="E79" i="69"/>
  <c r="E80" i="69" s="1"/>
  <c r="E83" i="69" s="1"/>
  <c r="E84" i="69" s="1"/>
  <c r="E17" i="26"/>
  <c r="D26" i="4"/>
  <c r="D30" i="4"/>
  <c r="E26" i="92"/>
  <c r="E30" i="92"/>
  <c r="E31" i="92" s="1"/>
  <c r="E36" i="92" s="1"/>
  <c r="E37" i="92" s="1"/>
  <c r="E17" i="19"/>
  <c r="E17" i="92"/>
  <c r="D17" i="4"/>
  <c r="G17" i="34"/>
  <c r="G25" i="34"/>
  <c r="G17" i="37"/>
  <c r="G25" i="37"/>
  <c r="E25" i="8"/>
  <c r="E30" i="8" s="1"/>
  <c r="G17" i="19"/>
  <c r="G25" i="19"/>
  <c r="I84" i="85"/>
  <c r="I88" i="85"/>
  <c r="H93" i="79"/>
  <c r="H97" i="79"/>
  <c r="I46" i="81"/>
  <c r="I50" i="81"/>
  <c r="D83" i="87"/>
  <c r="D87" i="87"/>
  <c r="M54" i="84"/>
  <c r="M58" i="84"/>
  <c r="G73" i="68"/>
  <c r="G69" i="68"/>
  <c r="Q113" i="36"/>
  <c r="Q117" i="36"/>
  <c r="J69" i="33"/>
  <c r="J73" i="33"/>
  <c r="F113" i="36"/>
  <c r="F117" i="36"/>
  <c r="G75" i="89"/>
  <c r="G71" i="89"/>
  <c r="E84" i="85"/>
  <c r="E88" i="85"/>
  <c r="M80" i="72"/>
  <c r="M84" i="72"/>
  <c r="K69" i="68"/>
  <c r="K73" i="68"/>
  <c r="O84" i="73"/>
  <c r="O88" i="73"/>
  <c r="J79" i="69"/>
  <c r="J75" i="69"/>
  <c r="L35" i="55"/>
  <c r="L31" i="55"/>
  <c r="E78" i="56"/>
  <c r="E74" i="56"/>
  <c r="I91" i="21"/>
  <c r="I87" i="21"/>
  <c r="Q143" i="18"/>
  <c r="Q47" i="18"/>
  <c r="M75" i="89"/>
  <c r="M71" i="89"/>
  <c r="N54" i="84"/>
  <c r="N58" i="84"/>
  <c r="L97" i="79"/>
  <c r="L93" i="79"/>
  <c r="D58" i="84"/>
  <c r="D54" i="84"/>
  <c r="D50" i="81"/>
  <c r="D46" i="81"/>
  <c r="J90" i="80"/>
  <c r="J86" i="80"/>
  <c r="Q75" i="58"/>
  <c r="Q79" i="58"/>
  <c r="I93" i="79"/>
  <c r="I97" i="79"/>
  <c r="N30" i="77"/>
  <c r="N26" i="77"/>
  <c r="Q84" i="72"/>
  <c r="Q80" i="72"/>
  <c r="Q68" i="68"/>
  <c r="Q19" i="68"/>
  <c r="O100" i="67"/>
  <c r="O96" i="67"/>
  <c r="K95" i="62"/>
  <c r="K91" i="62"/>
  <c r="O32" i="64"/>
  <c r="O28" i="64"/>
  <c r="Q56" i="61"/>
  <c r="Q52" i="61"/>
  <c r="Q79" i="51"/>
  <c r="Q75" i="51"/>
  <c r="K79" i="58"/>
  <c r="K75" i="58"/>
  <c r="H69" i="33"/>
  <c r="H73" i="33"/>
  <c r="J148" i="18"/>
  <c r="J144" i="18"/>
  <c r="G142" i="15"/>
  <c r="G138" i="15"/>
  <c r="F142" i="12"/>
  <c r="F146" i="12"/>
  <c r="E160" i="3"/>
  <c r="E164" i="3"/>
  <c r="N87" i="87"/>
  <c r="N83" i="87"/>
  <c r="L89" i="65"/>
  <c r="L85" i="65"/>
  <c r="Q32" i="64"/>
  <c r="Q28" i="64"/>
  <c r="Q31" i="55"/>
  <c r="Q35" i="55"/>
  <c r="F99" i="45"/>
  <c r="F95" i="45"/>
  <c r="J113" i="36"/>
  <c r="J117" i="36"/>
  <c r="D24" i="66"/>
  <c r="D28" i="66"/>
  <c r="I79" i="58"/>
  <c r="I75" i="58"/>
  <c r="Q71" i="48"/>
  <c r="Q75" i="48"/>
  <c r="K75" i="48"/>
  <c r="K71" i="48"/>
  <c r="L107" i="39"/>
  <c r="L111" i="39"/>
  <c r="L117" i="36"/>
  <c r="L113" i="36"/>
  <c r="L148" i="18"/>
  <c r="L144" i="18"/>
  <c r="D25" i="83"/>
  <c r="D29" i="83"/>
  <c r="F93" i="79"/>
  <c r="F97" i="79"/>
  <c r="Q88" i="75"/>
  <c r="Q84" i="75"/>
  <c r="Q24" i="66"/>
  <c r="Q28" i="66"/>
  <c r="Q74" i="56"/>
  <c r="Q78" i="56"/>
  <c r="H87" i="21"/>
  <c r="H91" i="21"/>
  <c r="Q86" i="80"/>
  <c r="Q90" i="80"/>
  <c r="D28" i="78"/>
  <c r="D24" i="78"/>
  <c r="D84" i="75"/>
  <c r="D88" i="75"/>
  <c r="G100" i="67"/>
  <c r="G96" i="67"/>
  <c r="J103" i="42"/>
  <c r="J107" i="42"/>
  <c r="Q30" i="77"/>
  <c r="Q26" i="77"/>
  <c r="D65" i="57"/>
  <c r="D69" i="57"/>
  <c r="G160" i="3"/>
  <c r="G164" i="3"/>
  <c r="Q69" i="76"/>
  <c r="Q73" i="76"/>
  <c r="O84" i="72"/>
  <c r="O80" i="72"/>
  <c r="J63" i="63"/>
  <c r="J67" i="63"/>
  <c r="Q91" i="62"/>
  <c r="Q95" i="62"/>
  <c r="L95" i="45"/>
  <c r="L99" i="45"/>
  <c r="N117" i="36"/>
  <c r="N113" i="36"/>
  <c r="Q87" i="21"/>
  <c r="Q91" i="21"/>
  <c r="I96" i="9"/>
  <c r="I99" i="9"/>
  <c r="O96" i="9"/>
  <c r="O99" i="9"/>
  <c r="D26" i="91"/>
  <c r="D30" i="91"/>
  <c r="L57" i="60"/>
  <c r="L61" i="60"/>
  <c r="I67" i="59"/>
  <c r="I70" i="59" s="1"/>
  <c r="I71" i="59" s="1"/>
  <c r="H80" i="58"/>
  <c r="H83" i="58" s="1"/>
  <c r="H84" i="58" s="1"/>
  <c r="G26" i="41"/>
  <c r="G30" i="41"/>
  <c r="E76" i="48"/>
  <c r="E79" i="48" s="1"/>
  <c r="E80" i="48" s="1"/>
  <c r="Q84" i="27"/>
  <c r="Q29" i="27"/>
  <c r="Q41" i="15"/>
  <c r="D26" i="28"/>
  <c r="D30" i="28"/>
  <c r="G109" i="30"/>
  <c r="G113" i="30"/>
  <c r="F67" i="24"/>
  <c r="F63" i="24"/>
  <c r="F62" i="60"/>
  <c r="F65" i="60" s="1"/>
  <c r="F66" i="60" s="1"/>
  <c r="Q63" i="24"/>
  <c r="Q67" i="24"/>
  <c r="H144" i="18"/>
  <c r="H148" i="18"/>
  <c r="E26" i="14"/>
  <c r="E30" i="14"/>
  <c r="E25" i="5"/>
  <c r="E17" i="5"/>
  <c r="D164" i="3"/>
  <c r="D160" i="3"/>
  <c r="H146" i="12"/>
  <c r="H142" i="12"/>
  <c r="G22" i="6"/>
  <c r="G25" i="6"/>
  <c r="D26" i="13"/>
  <c r="D30" i="13"/>
  <c r="D144" i="18"/>
  <c r="D148" i="18"/>
  <c r="D26" i="17"/>
  <c r="D30" i="17"/>
  <c r="D138" i="15"/>
  <c r="D142" i="15"/>
  <c r="M142" i="12"/>
  <c r="M146" i="12"/>
  <c r="E30" i="90"/>
  <c r="E26" i="90"/>
  <c r="M90" i="86"/>
  <c r="M94" i="86"/>
  <c r="E22" i="88"/>
  <c r="E26" i="88"/>
  <c r="L83" i="87"/>
  <c r="L87" i="87"/>
  <c r="Q27" i="88"/>
  <c r="Q30" i="88" s="1"/>
  <c r="Q31" i="88" s="1"/>
  <c r="Q24" i="86"/>
  <c r="Q89" i="86" s="1"/>
  <c r="I26" i="88"/>
  <c r="I22" i="88"/>
  <c r="J94" i="86"/>
  <c r="J90" i="86"/>
  <c r="J51" i="81"/>
  <c r="J54" i="81" s="1"/>
  <c r="J55" i="81" s="1"/>
  <c r="D17" i="85"/>
  <c r="D83" i="85"/>
  <c r="Q19" i="85"/>
  <c r="Q83" i="85" s="1"/>
  <c r="Q28" i="82"/>
  <c r="Q24" i="82"/>
  <c r="E93" i="79"/>
  <c r="E97" i="79"/>
  <c r="L26" i="77"/>
  <c r="L30" i="77"/>
  <c r="L51" i="81"/>
  <c r="L54" i="81"/>
  <c r="L55" i="81" s="1"/>
  <c r="E84" i="75"/>
  <c r="E88" i="75"/>
  <c r="J29" i="78"/>
  <c r="J32" i="78" s="1"/>
  <c r="J33" i="78" s="1"/>
  <c r="O73" i="76"/>
  <c r="O69" i="76"/>
  <c r="J74" i="76"/>
  <c r="J77" i="76" s="1"/>
  <c r="J78" i="76" s="1"/>
  <c r="N73" i="76"/>
  <c r="N69" i="76"/>
  <c r="I84" i="75"/>
  <c r="I88" i="75"/>
  <c r="Q83" i="73"/>
  <c r="Q20" i="73"/>
  <c r="J66" i="70"/>
  <c r="J18" i="70"/>
  <c r="M18" i="71"/>
  <c r="M24" i="71"/>
  <c r="F67" i="70"/>
  <c r="F71" i="70"/>
  <c r="D19" i="68"/>
  <c r="D68" i="68"/>
  <c r="L75" i="69"/>
  <c r="L79" i="69"/>
  <c r="F91" i="62"/>
  <c r="F95" i="62"/>
  <c r="G32" i="64"/>
  <c r="G28" i="64"/>
  <c r="H91" i="62"/>
  <c r="H95" i="62"/>
  <c r="D15" i="64"/>
  <c r="D27" i="64"/>
  <c r="E91" i="62"/>
  <c r="E95" i="62"/>
  <c r="J33" i="64"/>
  <c r="J36" i="64" s="1"/>
  <c r="J37" i="64" s="1"/>
  <c r="G57" i="60"/>
  <c r="G61" i="60"/>
  <c r="E52" i="61"/>
  <c r="E56" i="61"/>
  <c r="O75" i="58"/>
  <c r="O79" i="58"/>
  <c r="N69" i="57"/>
  <c r="N65" i="57"/>
  <c r="L27" i="54"/>
  <c r="L32" i="54" s="1"/>
  <c r="L33" i="54" s="1"/>
  <c r="K35" i="55"/>
  <c r="K31" i="55"/>
  <c r="L78" i="56"/>
  <c r="L74" i="56"/>
  <c r="Q27" i="54"/>
  <c r="Q32" i="54" s="1"/>
  <c r="Q33" i="54" s="1"/>
  <c r="N62" i="60"/>
  <c r="N65" i="60" s="1"/>
  <c r="N66" i="60" s="1"/>
  <c r="K57" i="60"/>
  <c r="K61" i="60"/>
  <c r="F26" i="54"/>
  <c r="F22" i="54"/>
  <c r="Q57" i="60"/>
  <c r="Q61" i="60"/>
  <c r="L65" i="57"/>
  <c r="L69" i="57"/>
  <c r="K62" i="59"/>
  <c r="K66" i="59"/>
  <c r="D30" i="37"/>
  <c r="D26" i="37"/>
  <c r="J75" i="51"/>
  <c r="J79" i="51"/>
  <c r="J95" i="45"/>
  <c r="J99" i="45"/>
  <c r="N75" i="48"/>
  <c r="N71" i="48"/>
  <c r="G113" i="36"/>
  <c r="G117" i="36"/>
  <c r="K100" i="45"/>
  <c r="K103" i="45" s="1"/>
  <c r="K104" i="45" s="1"/>
  <c r="L71" i="48"/>
  <c r="L75" i="48"/>
  <c r="N107" i="39"/>
  <c r="N111" i="39"/>
  <c r="D95" i="45"/>
  <c r="D99" i="45"/>
  <c r="E112" i="39"/>
  <c r="E115" i="39"/>
  <c r="E116" i="39" s="1"/>
  <c r="K74" i="33"/>
  <c r="K77" i="33" s="1"/>
  <c r="K78" i="33" s="1"/>
  <c r="G26" i="31"/>
  <c r="G30" i="31"/>
  <c r="G87" i="21"/>
  <c r="G91" i="21"/>
  <c r="Q19" i="33"/>
  <c r="D117" i="36"/>
  <c r="D113" i="36"/>
  <c r="E26" i="32"/>
  <c r="E30" i="32"/>
  <c r="N138" i="15"/>
  <c r="N142" i="15"/>
  <c r="F114" i="30"/>
  <c r="F117" i="30"/>
  <c r="F118" i="30" s="1"/>
  <c r="E31" i="20"/>
  <c r="E36" i="20" s="1"/>
  <c r="E37" i="20" s="1"/>
  <c r="L21" i="6"/>
  <c r="L15" i="6"/>
  <c r="Q44" i="12"/>
  <c r="Q53" i="3"/>
  <c r="E99" i="9"/>
  <c r="E96" i="9"/>
  <c r="L143" i="15"/>
  <c r="L146" i="15" s="1"/>
  <c r="L147" i="15" s="1"/>
  <c r="I25" i="6"/>
  <c r="I22" i="6"/>
  <c r="G25" i="4"/>
  <c r="G17" i="4"/>
  <c r="N142" i="12"/>
  <c r="N146" i="12"/>
  <c r="J96" i="9"/>
  <c r="J99" i="9"/>
  <c r="M160" i="3"/>
  <c r="M164" i="3"/>
  <c r="H86" i="80"/>
  <c r="H90" i="80"/>
  <c r="N86" i="80"/>
  <c r="N90" i="80"/>
  <c r="N28" i="78"/>
  <c r="N24" i="78"/>
  <c r="L80" i="72"/>
  <c r="L84" i="72"/>
  <c r="L84" i="75"/>
  <c r="L88" i="75"/>
  <c r="F80" i="72"/>
  <c r="F84" i="72"/>
  <c r="K52" i="61"/>
  <c r="K56" i="61"/>
  <c r="D35" i="55"/>
  <c r="D31" i="55"/>
  <c r="J111" i="39"/>
  <c r="J107" i="39"/>
  <c r="O113" i="36"/>
  <c r="O117" i="36"/>
  <c r="I75" i="48"/>
  <c r="I71" i="48"/>
  <c r="G63" i="24"/>
  <c r="G67" i="24"/>
  <c r="J85" i="27"/>
  <c r="J89" i="27"/>
  <c r="E54" i="84"/>
  <c r="E58" i="84"/>
  <c r="J54" i="84"/>
  <c r="J58" i="84"/>
  <c r="O92" i="79"/>
  <c r="O22" i="79"/>
  <c r="O28" i="82"/>
  <c r="O24" i="82"/>
  <c r="D26" i="77"/>
  <c r="D30" i="77"/>
  <c r="F86" i="80"/>
  <c r="F90" i="80"/>
  <c r="I30" i="74"/>
  <c r="I26" i="74"/>
  <c r="M26" i="77"/>
  <c r="M30" i="77"/>
  <c r="G84" i="73"/>
  <c r="G88" i="73"/>
  <c r="N74" i="68"/>
  <c r="N77" i="68" s="1"/>
  <c r="N78" i="68" s="1"/>
  <c r="E69" i="68"/>
  <c r="E73" i="68"/>
  <c r="F75" i="69"/>
  <c r="F79" i="69"/>
  <c r="I32" i="64"/>
  <c r="I28" i="64"/>
  <c r="N79" i="51"/>
  <c r="N75" i="51"/>
  <c r="H31" i="55"/>
  <c r="H35" i="55"/>
  <c r="E30" i="49"/>
  <c r="E26" i="49"/>
  <c r="L75" i="51"/>
  <c r="L79" i="51"/>
  <c r="O99" i="45"/>
  <c r="O95" i="45"/>
  <c r="G103" i="42"/>
  <c r="G107" i="42"/>
  <c r="D31" i="43"/>
  <c r="D36" i="43" s="1"/>
  <c r="D37" i="43" s="1"/>
  <c r="J80" i="58"/>
  <c r="J83" i="58"/>
  <c r="J84" i="58" s="1"/>
  <c r="D75" i="48"/>
  <c r="D71" i="48"/>
  <c r="E113" i="30"/>
  <c r="E109" i="30"/>
  <c r="E30" i="25"/>
  <c r="E26" i="25"/>
  <c r="D63" i="24"/>
  <c r="D67" i="24"/>
  <c r="M87" i="21"/>
  <c r="M91" i="21"/>
  <c r="K113" i="36"/>
  <c r="K117" i="36"/>
  <c r="K63" i="24"/>
  <c r="K67" i="24"/>
  <c r="Q95" i="45"/>
  <c r="Q99" i="45"/>
  <c r="F138" i="15"/>
  <c r="F142" i="15"/>
  <c r="G89" i="27"/>
  <c r="G85" i="27"/>
  <c r="I63" i="24"/>
  <c r="I67" i="24"/>
  <c r="G26" i="25"/>
  <c r="G30" i="25"/>
  <c r="H63" i="24"/>
  <c r="H67" i="24"/>
  <c r="M138" i="15"/>
  <c r="M142" i="15"/>
  <c r="J114" i="30"/>
  <c r="J117" i="30" s="1"/>
  <c r="J118" i="30" s="1"/>
  <c r="D25" i="16"/>
  <c r="D17" i="16"/>
  <c r="H96" i="9"/>
  <c r="H99" i="9"/>
  <c r="G31" i="11"/>
  <c r="G36" i="11" s="1"/>
  <c r="G37" i="11" s="1"/>
  <c r="D21" i="6"/>
  <c r="D15" i="6"/>
  <c r="F99" i="9"/>
  <c r="F96" i="9"/>
  <c r="F92" i="21"/>
  <c r="F95" i="21" s="1"/>
  <c r="F96" i="21" s="1"/>
  <c r="J142" i="12"/>
  <c r="J146" i="12"/>
  <c r="E25" i="7"/>
  <c r="E17" i="7"/>
  <c r="I165" i="3"/>
  <c r="I170" i="3" s="1"/>
  <c r="I171" i="3" s="1"/>
  <c r="H27" i="88"/>
  <c r="H30" i="88" s="1"/>
  <c r="H31" i="88" s="1"/>
  <c r="L25" i="71"/>
  <c r="L29" i="71"/>
  <c r="G84" i="72"/>
  <c r="G80" i="72"/>
  <c r="G75" i="69"/>
  <c r="G79" i="69"/>
  <c r="G91" i="62"/>
  <c r="G95" i="62"/>
  <c r="H74" i="56"/>
  <c r="H78" i="56"/>
  <c r="I56" i="61"/>
  <c r="I52" i="61"/>
  <c r="E29" i="51"/>
  <c r="E74" i="51"/>
  <c r="H95" i="45"/>
  <c r="H99" i="45"/>
  <c r="E95" i="45"/>
  <c r="E99" i="45"/>
  <c r="M107" i="42"/>
  <c r="M103" i="42"/>
  <c r="D107" i="39"/>
  <c r="D111" i="39"/>
  <c r="D92" i="21"/>
  <c r="D95" i="21" s="1"/>
  <c r="D96" i="21" s="1"/>
  <c r="E26" i="74"/>
  <c r="E30" i="74"/>
  <c r="H85" i="72"/>
  <c r="H88" i="72" s="1"/>
  <c r="H89" i="72" s="1"/>
  <c r="I84" i="73"/>
  <c r="I88" i="73"/>
  <c r="M80" i="69"/>
  <c r="M83" i="69" s="1"/>
  <c r="M84" i="69" s="1"/>
  <c r="E80" i="72"/>
  <c r="E84" i="72"/>
  <c r="H71" i="48"/>
  <c r="H75" i="48"/>
  <c r="I107" i="39"/>
  <c r="I111" i="39"/>
  <c r="E26" i="41"/>
  <c r="E30" i="41"/>
  <c r="E26" i="23"/>
  <c r="E30" i="23"/>
  <c r="J27" i="88"/>
  <c r="J30" i="88" s="1"/>
  <c r="J31" i="88" s="1"/>
  <c r="O88" i="85"/>
  <c r="O84" i="85"/>
  <c r="H94" i="86"/>
  <c r="H90" i="86"/>
  <c r="M25" i="83"/>
  <c r="M29" i="83"/>
  <c r="L58" i="84"/>
  <c r="L54" i="84"/>
  <c r="J25" i="83"/>
  <c r="J29" i="83"/>
  <c r="M88" i="87"/>
  <c r="M91" i="87" s="1"/>
  <c r="M92" i="87" s="1"/>
  <c r="E91" i="80"/>
  <c r="E94" i="80" s="1"/>
  <c r="E95" i="80" s="1"/>
  <c r="G92" i="79"/>
  <c r="G22" i="79"/>
  <c r="I24" i="82"/>
  <c r="I28" i="82"/>
  <c r="H29" i="82"/>
  <c r="H32" i="82"/>
  <c r="H33" i="82" s="1"/>
  <c r="Q24" i="78"/>
  <c r="Q28" i="78"/>
  <c r="M46" i="81"/>
  <c r="M50" i="81"/>
  <c r="F84" i="85"/>
  <c r="F88" i="85"/>
  <c r="G86" i="80"/>
  <c r="G90" i="80"/>
  <c r="N24" i="82"/>
  <c r="N28" i="82"/>
  <c r="N83" i="75"/>
  <c r="N18" i="75"/>
  <c r="M73" i="76"/>
  <c r="M69" i="76"/>
  <c r="K24" i="78"/>
  <c r="K28" i="78"/>
  <c r="F73" i="76"/>
  <c r="F69" i="76"/>
  <c r="L67" i="70"/>
  <c r="L71" i="70"/>
  <c r="D67" i="70"/>
  <c r="D71" i="70"/>
  <c r="H88" i="75"/>
  <c r="H84" i="75"/>
  <c r="O26" i="74"/>
  <c r="O30" i="74"/>
  <c r="J20" i="73"/>
  <c r="J83" i="73"/>
  <c r="J25" i="71"/>
  <c r="J29" i="71"/>
  <c r="I30" i="71"/>
  <c r="I33" i="71"/>
  <c r="I34" i="71" s="1"/>
  <c r="N75" i="69"/>
  <c r="N79" i="69"/>
  <c r="O29" i="66"/>
  <c r="O32" i="66" s="1"/>
  <c r="O33" i="66" s="1"/>
  <c r="K79" i="69"/>
  <c r="K75" i="69"/>
  <c r="H73" i="68"/>
  <c r="H69" i="68"/>
  <c r="H75" i="69"/>
  <c r="H79" i="69"/>
  <c r="H85" i="65"/>
  <c r="H89" i="65"/>
  <c r="J24" i="66"/>
  <c r="J28" i="66"/>
  <c r="D90" i="62"/>
  <c r="D15" i="62"/>
  <c r="O85" i="65"/>
  <c r="O89" i="65"/>
  <c r="E63" i="63"/>
  <c r="E67" i="63"/>
  <c r="H24" i="66"/>
  <c r="H28" i="66"/>
  <c r="J96" i="62"/>
  <c r="J99" i="62"/>
  <c r="J100" i="62" s="1"/>
  <c r="J52" i="61"/>
  <c r="J56" i="61"/>
  <c r="M24" i="66"/>
  <c r="M28" i="66"/>
  <c r="N75" i="58"/>
  <c r="N79" i="58"/>
  <c r="M57" i="60"/>
  <c r="M61" i="60"/>
  <c r="F69" i="57"/>
  <c r="F65" i="57"/>
  <c r="M78" i="56"/>
  <c r="M74" i="56"/>
  <c r="H79" i="51"/>
  <c r="H75" i="51"/>
  <c r="G61" i="59"/>
  <c r="G15" i="59"/>
  <c r="D78" i="56"/>
  <c r="D74" i="56"/>
  <c r="H27" i="54"/>
  <c r="H32" i="54" s="1"/>
  <c r="H33" i="54" s="1"/>
  <c r="I61" i="60"/>
  <c r="I57" i="60"/>
  <c r="O70" i="57"/>
  <c r="O73" i="57"/>
  <c r="O74" i="57" s="1"/>
  <c r="G30" i="53"/>
  <c r="G26" i="53"/>
  <c r="H57" i="60"/>
  <c r="H61" i="60"/>
  <c r="N31" i="55"/>
  <c r="N35" i="55"/>
  <c r="M68" i="63"/>
  <c r="M71" i="63" s="1"/>
  <c r="M72" i="63" s="1"/>
  <c r="I95" i="45"/>
  <c r="I99" i="45"/>
  <c r="M31" i="55"/>
  <c r="M35" i="55"/>
  <c r="E26" i="43"/>
  <c r="E30" i="43"/>
  <c r="F75" i="48"/>
  <c r="F71" i="48"/>
  <c r="D26" i="40"/>
  <c r="D30" i="40"/>
  <c r="F107" i="39"/>
  <c r="F111" i="39"/>
  <c r="D26" i="44"/>
  <c r="D30" i="44"/>
  <c r="J75" i="48"/>
  <c r="J71" i="48"/>
  <c r="L109" i="30"/>
  <c r="L113" i="30"/>
  <c r="L29" i="27"/>
  <c r="L84" i="27"/>
  <c r="Q42" i="12"/>
  <c r="Q141" i="12"/>
  <c r="Q21" i="33"/>
  <c r="Q68" i="33" s="1"/>
  <c r="N69" i="33"/>
  <c r="N73" i="33"/>
  <c r="Q34" i="30"/>
  <c r="G26" i="23"/>
  <c r="G30" i="23"/>
  <c r="Q17" i="57"/>
  <c r="Q64" i="57" s="1"/>
  <c r="D26" i="20"/>
  <c r="D30" i="20"/>
  <c r="E26" i="26"/>
  <c r="E30" i="26"/>
  <c r="J91" i="21"/>
  <c r="J87" i="21"/>
  <c r="L73" i="33"/>
  <c r="L69" i="33"/>
  <c r="N92" i="21"/>
  <c r="N95" i="21" s="1"/>
  <c r="N96" i="21" s="1"/>
  <c r="L142" i="12"/>
  <c r="L146" i="12"/>
  <c r="N22" i="6"/>
  <c r="N25" i="6"/>
  <c r="N144" i="18"/>
  <c r="N148" i="18"/>
  <c r="E138" i="15"/>
  <c r="E142" i="15"/>
  <c r="K147" i="12"/>
  <c r="K150" i="12" s="1"/>
  <c r="K151" i="12" s="1"/>
  <c r="F22" i="6"/>
  <c r="F25" i="6"/>
  <c r="J160" i="3"/>
  <c r="J164" i="3"/>
  <c r="F160" i="3"/>
  <c r="F164" i="3"/>
  <c r="G26" i="7"/>
  <c r="G30" i="7"/>
  <c r="E28" i="78"/>
  <c r="E24" i="78"/>
  <c r="H29" i="71"/>
  <c r="H25" i="71"/>
  <c r="N91" i="62"/>
  <c r="N95" i="62"/>
  <c r="L15" i="64"/>
  <c r="L27" i="64"/>
  <c r="M113" i="30"/>
  <c r="M109" i="30"/>
  <c r="G26" i="88"/>
  <c r="G22" i="88"/>
  <c r="O94" i="86"/>
  <c r="O90" i="86"/>
  <c r="O61" i="59"/>
  <c r="O15" i="59"/>
  <c r="J22" i="54"/>
  <c r="J26" i="54"/>
  <c r="E107" i="42"/>
  <c r="E103" i="42"/>
  <c r="O88" i="87"/>
  <c r="O91" i="87" s="1"/>
  <c r="O92" i="87" s="1"/>
  <c r="F26" i="88"/>
  <c r="F22" i="88"/>
  <c r="G88" i="85"/>
  <c r="G84" i="85"/>
  <c r="Q82" i="87"/>
  <c r="Q17" i="87"/>
  <c r="G94" i="86"/>
  <c r="G90" i="86"/>
  <c r="G26" i="90"/>
  <c r="G30" i="90"/>
  <c r="Q17" i="84"/>
  <c r="Q53" i="84" s="1"/>
  <c r="F90" i="86"/>
  <c r="F94" i="86"/>
  <c r="Q25" i="83"/>
  <c r="Q29" i="83"/>
  <c r="O54" i="84"/>
  <c r="O58" i="84"/>
  <c r="Q21" i="79"/>
  <c r="G28" i="82"/>
  <c r="G24" i="82"/>
  <c r="H24" i="78"/>
  <c r="H28" i="78"/>
  <c r="N46" i="81"/>
  <c r="N50" i="81"/>
  <c r="O31" i="77"/>
  <c r="O34" i="77"/>
  <c r="O35" i="77" s="1"/>
  <c r="F83" i="75"/>
  <c r="F18" i="75"/>
  <c r="G31" i="77"/>
  <c r="G34" i="77" s="1"/>
  <c r="G35" i="77" s="1"/>
  <c r="I31" i="77"/>
  <c r="I29" i="78"/>
  <c r="I32" i="78" s="1"/>
  <c r="I33" i="78" s="1"/>
  <c r="O25" i="71"/>
  <c r="O29" i="71"/>
  <c r="E26" i="77"/>
  <c r="E30" i="77"/>
  <c r="N17" i="74"/>
  <c r="N25" i="74"/>
  <c r="K25" i="71"/>
  <c r="K29" i="71"/>
  <c r="Q29" i="69"/>
  <c r="F77" i="68"/>
  <c r="F78" i="68" s="1"/>
  <c r="F74" i="68"/>
  <c r="Q36" i="67"/>
  <c r="Q95" i="67" s="1"/>
  <c r="D96" i="67"/>
  <c r="D100" i="67"/>
  <c r="K96" i="67"/>
  <c r="K100" i="67"/>
  <c r="I80" i="69"/>
  <c r="I83" i="69" s="1"/>
  <c r="I84" i="69" s="1"/>
  <c r="F85" i="65"/>
  <c r="F89" i="65"/>
  <c r="G26" i="74"/>
  <c r="G30" i="74"/>
  <c r="L74" i="68"/>
  <c r="L77" i="68" s="1"/>
  <c r="L78" i="68" s="1"/>
  <c r="M85" i="65"/>
  <c r="M89" i="65"/>
  <c r="O67" i="63"/>
  <c r="O63" i="63"/>
  <c r="N67" i="63"/>
  <c r="N63" i="63"/>
  <c r="F75" i="58"/>
  <c r="F79" i="58"/>
  <c r="E30" i="53"/>
  <c r="E26" i="53"/>
  <c r="L52" i="61"/>
  <c r="L56" i="61"/>
  <c r="J62" i="59"/>
  <c r="J66" i="59"/>
  <c r="D22" i="54"/>
  <c r="D26" i="54"/>
  <c r="I36" i="55"/>
  <c r="I39" i="55" s="1"/>
  <c r="I40" i="55" s="1"/>
  <c r="G80" i="51"/>
  <c r="G83" i="51" s="1"/>
  <c r="G84" i="51" s="1"/>
  <c r="F67" i="59"/>
  <c r="F70" i="59" s="1"/>
  <c r="F71" i="59" s="1"/>
  <c r="N79" i="56"/>
  <c r="N82" i="56" s="1"/>
  <c r="N83" i="56" s="1"/>
  <c r="F79" i="51"/>
  <c r="F75" i="51"/>
  <c r="M62" i="59"/>
  <c r="M66" i="59"/>
  <c r="E26" i="54"/>
  <c r="E22" i="54"/>
  <c r="H56" i="61"/>
  <c r="H52" i="61"/>
  <c r="L75" i="58"/>
  <c r="L79" i="58"/>
  <c r="I65" i="57"/>
  <c r="I69" i="57"/>
  <c r="O71" i="48"/>
  <c r="O75" i="48"/>
  <c r="G99" i="45"/>
  <c r="G95" i="45"/>
  <c r="K78" i="56"/>
  <c r="K74" i="56"/>
  <c r="N99" i="45"/>
  <c r="N95" i="45"/>
  <c r="N103" i="42"/>
  <c r="N107" i="42"/>
  <c r="E26" i="37"/>
  <c r="E30" i="37"/>
  <c r="G70" i="57"/>
  <c r="G73" i="57" s="1"/>
  <c r="G74" i="57" s="1"/>
  <c r="F103" i="42"/>
  <c r="F107" i="42"/>
  <c r="D26" i="23"/>
  <c r="D30" i="23"/>
  <c r="D29" i="27"/>
  <c r="D84" i="27"/>
  <c r="M148" i="18"/>
  <c r="M144" i="18"/>
  <c r="G31" i="44"/>
  <c r="G36" i="44" s="1"/>
  <c r="G37" i="44" s="1"/>
  <c r="E87" i="21"/>
  <c r="E91" i="21"/>
  <c r="K109" i="30"/>
  <c r="K113" i="30"/>
  <c r="M73" i="33"/>
  <c r="M69" i="33"/>
  <c r="I109" i="30"/>
  <c r="I113" i="30"/>
  <c r="E26" i="28"/>
  <c r="E30" i="28"/>
  <c r="D30" i="26"/>
  <c r="D26" i="26"/>
  <c r="H114" i="30"/>
  <c r="H117" i="30" s="1"/>
  <c r="H118" i="30" s="1"/>
  <c r="I85" i="27"/>
  <c r="I89" i="27"/>
  <c r="M67" i="24"/>
  <c r="M63" i="24"/>
  <c r="O144" i="18"/>
  <c r="O148" i="18"/>
  <c r="D141" i="12"/>
  <c r="D42" i="12"/>
  <c r="Q43" i="15"/>
  <c r="Q137" i="15" s="1"/>
  <c r="L99" i="9"/>
  <c r="L96" i="9"/>
  <c r="D15" i="88"/>
  <c r="D21" i="88"/>
  <c r="K16" i="83"/>
  <c r="K24" i="83"/>
  <c r="K50" i="81"/>
  <c r="K46" i="81"/>
  <c r="M84" i="85"/>
  <c r="M88" i="85"/>
  <c r="K84" i="75"/>
  <c r="K88" i="75"/>
  <c r="L84" i="73"/>
  <c r="L88" i="73"/>
  <c r="O75" i="69"/>
  <c r="O79" i="69"/>
  <c r="H32" i="64"/>
  <c r="H28" i="64"/>
  <c r="E25" i="52"/>
  <c r="E17" i="52"/>
  <c r="K65" i="57"/>
  <c r="K69" i="57"/>
  <c r="G26" i="40"/>
  <c r="G30" i="40"/>
  <c r="L63" i="24"/>
  <c r="L67" i="24"/>
  <c r="G69" i="33"/>
  <c r="G73" i="33"/>
  <c r="E90" i="86"/>
  <c r="E94" i="86"/>
  <c r="L89" i="86"/>
  <c r="L22" i="86"/>
  <c r="O75" i="89"/>
  <c r="O71" i="89"/>
  <c r="D89" i="86"/>
  <c r="D22" i="86"/>
  <c r="E25" i="83"/>
  <c r="E29" i="83"/>
  <c r="N93" i="79"/>
  <c r="N97" i="79"/>
  <c r="D86" i="80"/>
  <c r="D90" i="80"/>
  <c r="F30" i="77"/>
  <c r="F26" i="77"/>
  <c r="D83" i="73"/>
  <c r="D20" i="73"/>
  <c r="O28" i="78"/>
  <c r="O24" i="78"/>
  <c r="E18" i="71"/>
  <c r="E24" i="71"/>
  <c r="D25" i="71"/>
  <c r="D29" i="71"/>
  <c r="Q31" i="69"/>
  <c r="Q74" i="69" s="1"/>
  <c r="L90" i="62"/>
  <c r="L15" i="62"/>
  <c r="I95" i="62"/>
  <c r="I91" i="62"/>
  <c r="K90" i="65"/>
  <c r="K93" i="65"/>
  <c r="K94" i="65" s="1"/>
  <c r="D57" i="60"/>
  <c r="D61" i="60"/>
  <c r="Q18" i="89"/>
  <c r="Q70" i="89" s="1"/>
  <c r="F76" i="89"/>
  <c r="F79" i="89" s="1"/>
  <c r="F80" i="89" s="1"/>
  <c r="Q22" i="86"/>
  <c r="H87" i="87"/>
  <c r="H83" i="87"/>
  <c r="N29" i="83"/>
  <c r="N25" i="83"/>
  <c r="J83" i="87"/>
  <c r="J87" i="87"/>
  <c r="I76" i="89"/>
  <c r="I79" i="89" s="1"/>
  <c r="I80" i="89" s="1"/>
  <c r="K53" i="84"/>
  <c r="K15" i="84"/>
  <c r="E88" i="87"/>
  <c r="E91" i="87" s="1"/>
  <c r="E92" i="87" s="1"/>
  <c r="I25" i="83"/>
  <c r="I29" i="83"/>
  <c r="L25" i="83"/>
  <c r="L29" i="83"/>
  <c r="D92" i="79"/>
  <c r="D22" i="79"/>
  <c r="E46" i="81"/>
  <c r="E50" i="81"/>
  <c r="Q24" i="79"/>
  <c r="L28" i="82"/>
  <c r="L24" i="82"/>
  <c r="O46" i="81"/>
  <c r="O50" i="81"/>
  <c r="F24" i="82"/>
  <c r="F28" i="82"/>
  <c r="K26" i="77"/>
  <c r="K30" i="77"/>
  <c r="Q17" i="74"/>
  <c r="Q25" i="74"/>
  <c r="I69" i="76"/>
  <c r="I73" i="76"/>
  <c r="G73" i="76"/>
  <c r="G69" i="76"/>
  <c r="N88" i="73"/>
  <c r="N84" i="73"/>
  <c r="K80" i="72"/>
  <c r="K84" i="72"/>
  <c r="F17" i="74"/>
  <c r="F25" i="74"/>
  <c r="H66" i="70"/>
  <c r="H18" i="70"/>
  <c r="O71" i="70"/>
  <c r="O67" i="70"/>
  <c r="Q20" i="70"/>
  <c r="Q66" i="70" s="1"/>
  <c r="M67" i="70"/>
  <c r="M71" i="70"/>
  <c r="E89" i="73"/>
  <c r="E92" i="73" s="1"/>
  <c r="E93" i="73" s="1"/>
  <c r="D74" i="69"/>
  <c r="D29" i="69"/>
  <c r="N95" i="67"/>
  <c r="N34" i="67"/>
  <c r="G29" i="66"/>
  <c r="G32" i="66" s="1"/>
  <c r="G33" i="66" s="1"/>
  <c r="Q29" i="65"/>
  <c r="I96" i="67"/>
  <c r="I100" i="67"/>
  <c r="G85" i="65"/>
  <c r="G89" i="65"/>
  <c r="Q62" i="63"/>
  <c r="Q18" i="63"/>
  <c r="F36" i="64"/>
  <c r="F37" i="64" s="1"/>
  <c r="F33" i="64"/>
  <c r="N28" i="66"/>
  <c r="N24" i="66"/>
  <c r="D29" i="51"/>
  <c r="D74" i="51"/>
  <c r="E57" i="60"/>
  <c r="E61" i="60"/>
  <c r="O39" i="55"/>
  <c r="O40" i="55" s="1"/>
  <c r="O36" i="55"/>
  <c r="D30" i="50"/>
  <c r="D26" i="50"/>
  <c r="O74" i="56"/>
  <c r="O78" i="56"/>
  <c r="O26" i="54"/>
  <c r="O22" i="54"/>
  <c r="G26" i="49"/>
  <c r="G30" i="49"/>
  <c r="E67" i="59"/>
  <c r="E70" i="59" s="1"/>
  <c r="E71" i="59" s="1"/>
  <c r="M75" i="58"/>
  <c r="M79" i="58"/>
  <c r="J65" i="57"/>
  <c r="J69" i="57"/>
  <c r="G30" i="52"/>
  <c r="G26" i="52"/>
  <c r="L62" i="59"/>
  <c r="L66" i="59"/>
  <c r="O56" i="61"/>
  <c r="O52" i="61"/>
  <c r="F31" i="55"/>
  <c r="F35" i="55"/>
  <c r="E31" i="55"/>
  <c r="E35" i="55"/>
  <c r="K103" i="42"/>
  <c r="K107" i="42"/>
  <c r="O112" i="39"/>
  <c r="O115" i="39" s="1"/>
  <c r="O116" i="39" s="1"/>
  <c r="I113" i="36"/>
  <c r="I117" i="36"/>
  <c r="G112" i="39"/>
  <c r="G115" i="39" s="1"/>
  <c r="G116" i="39" s="1"/>
  <c r="G26" i="50"/>
  <c r="G30" i="50"/>
  <c r="M85" i="27"/>
  <c r="M89" i="27"/>
  <c r="D109" i="30"/>
  <c r="D113" i="30"/>
  <c r="D30" i="25"/>
  <c r="D26" i="25"/>
  <c r="E118" i="36"/>
  <c r="E121" i="36" s="1"/>
  <c r="E122" i="36" s="1"/>
  <c r="E148" i="18"/>
  <c r="E144" i="18"/>
  <c r="F69" i="33"/>
  <c r="F73" i="33"/>
  <c r="G26" i="22"/>
  <c r="G30" i="22"/>
  <c r="I144" i="18"/>
  <c r="I148" i="18"/>
  <c r="N93" i="27"/>
  <c r="N94" i="27" s="1"/>
  <c r="N90" i="27"/>
  <c r="G30" i="8"/>
  <c r="G26" i="8"/>
  <c r="K138" i="15"/>
  <c r="K142" i="15"/>
  <c r="M22" i="6"/>
  <c r="M25" i="6"/>
  <c r="J138" i="15"/>
  <c r="J142" i="15"/>
  <c r="O160" i="3"/>
  <c r="O164" i="3"/>
  <c r="F144" i="18"/>
  <c r="F148" i="18"/>
  <c r="N160" i="3"/>
  <c r="N164" i="3"/>
  <c r="O142" i="12"/>
  <c r="O146" i="12"/>
  <c r="Q17" i="9"/>
  <c r="Q95" i="9" s="1"/>
  <c r="E75" i="89"/>
  <c r="E71" i="89"/>
  <c r="L17" i="85"/>
  <c r="L83" i="85"/>
  <c r="F54" i="84"/>
  <c r="F58" i="84"/>
  <c r="K97" i="79"/>
  <c r="K93" i="79"/>
  <c r="L86" i="80"/>
  <c r="L90" i="80"/>
  <c r="D80" i="72"/>
  <c r="D84" i="72"/>
  <c r="E28" i="64"/>
  <c r="E32" i="64"/>
  <c r="M65" i="57"/>
  <c r="M69" i="57"/>
  <c r="O103" i="42"/>
  <c r="O107" i="42"/>
  <c r="D68" i="33"/>
  <c r="D19" i="33"/>
  <c r="D26" i="29"/>
  <c r="D30" i="29"/>
  <c r="O89" i="27"/>
  <c r="O85" i="27"/>
  <c r="D26" i="90"/>
  <c r="D30" i="90"/>
  <c r="K71" i="89"/>
  <c r="K75" i="89"/>
  <c r="N90" i="86"/>
  <c r="N94" i="86"/>
  <c r="J24" i="82"/>
  <c r="J28" i="82"/>
  <c r="G89" i="75"/>
  <c r="G92" i="75"/>
  <c r="G93" i="75" s="1"/>
  <c r="F28" i="78"/>
  <c r="F24" i="78"/>
  <c r="I67" i="70"/>
  <c r="I71" i="70"/>
  <c r="G71" i="70"/>
  <c r="G67" i="70"/>
  <c r="N90" i="65"/>
  <c r="N93" i="65"/>
  <c r="N94" i="65" s="1"/>
  <c r="I74" i="56"/>
  <c r="I78" i="56"/>
  <c r="O80" i="51"/>
  <c r="O83" i="51" s="1"/>
  <c r="O84" i="51" s="1"/>
  <c r="H71" i="89"/>
  <c r="H75" i="89"/>
  <c r="G88" i="87"/>
  <c r="G91" i="87" s="1"/>
  <c r="G92" i="87" s="1"/>
  <c r="N30" i="88"/>
  <c r="N31" i="88" s="1"/>
  <c r="N27" i="88"/>
  <c r="K90" i="86"/>
  <c r="K94" i="86"/>
  <c r="K17" i="87"/>
  <c r="K82" i="87"/>
  <c r="F29" i="83"/>
  <c r="F25" i="83"/>
  <c r="N84" i="85"/>
  <c r="N88" i="85"/>
  <c r="H30" i="83"/>
  <c r="H33" i="83" s="1"/>
  <c r="H34" i="83" s="1"/>
  <c r="L76" i="89"/>
  <c r="L79" i="89" s="1"/>
  <c r="L80" i="89" s="1"/>
  <c r="K29" i="82"/>
  <c r="K32" i="82"/>
  <c r="K33" i="82" s="1"/>
  <c r="K84" i="85"/>
  <c r="K88" i="85"/>
  <c r="I83" i="87"/>
  <c r="I87" i="87"/>
  <c r="G54" i="84"/>
  <c r="G58" i="84"/>
  <c r="I86" i="80"/>
  <c r="I90" i="80"/>
  <c r="Q17" i="81"/>
  <c r="Q45" i="81" s="1"/>
  <c r="M24" i="82"/>
  <c r="M28" i="82"/>
  <c r="O86" i="80"/>
  <c r="O90" i="80"/>
  <c r="J93" i="79"/>
  <c r="J97" i="79"/>
  <c r="K90" i="80"/>
  <c r="K86" i="80"/>
  <c r="F46" i="81"/>
  <c r="F50" i="81"/>
  <c r="J84" i="75"/>
  <c r="J88" i="75"/>
  <c r="G28" i="78"/>
  <c r="G24" i="78"/>
  <c r="H69" i="76"/>
  <c r="H73" i="76"/>
  <c r="L24" i="78"/>
  <c r="L28" i="78"/>
  <c r="H26" i="74"/>
  <c r="H30" i="74"/>
  <c r="G25" i="71"/>
  <c r="G29" i="71"/>
  <c r="M89" i="75"/>
  <c r="M92" i="75" s="1"/>
  <c r="M93" i="75" s="1"/>
  <c r="N25" i="71"/>
  <c r="N29" i="71"/>
  <c r="J80" i="72"/>
  <c r="J84" i="72"/>
  <c r="I80" i="72"/>
  <c r="I84" i="72"/>
  <c r="L26" i="74"/>
  <c r="L30" i="74"/>
  <c r="K30" i="74"/>
  <c r="K26" i="74"/>
  <c r="E66" i="70"/>
  <c r="E18" i="70"/>
  <c r="N80" i="72"/>
  <c r="N84" i="72"/>
  <c r="L96" i="67"/>
  <c r="L100" i="67"/>
  <c r="F95" i="67"/>
  <c r="F34" i="67"/>
  <c r="M96" i="67"/>
  <c r="M100" i="67"/>
  <c r="Q29" i="71"/>
  <c r="Q25" i="71"/>
  <c r="J96" i="67"/>
  <c r="J100" i="67"/>
  <c r="H100" i="67"/>
  <c r="H96" i="67"/>
  <c r="I69" i="68"/>
  <c r="I73" i="68"/>
  <c r="J89" i="65"/>
  <c r="J85" i="65"/>
  <c r="L63" i="63"/>
  <c r="L67" i="63"/>
  <c r="D84" i="65"/>
  <c r="D29" i="65"/>
  <c r="K24" i="66"/>
  <c r="K28" i="66"/>
  <c r="E85" i="65"/>
  <c r="E89" i="65"/>
  <c r="G67" i="63"/>
  <c r="G63" i="63"/>
  <c r="F67" i="63"/>
  <c r="F63" i="63"/>
  <c r="E28" i="66"/>
  <c r="E24" i="66"/>
  <c r="I75" i="51"/>
  <c r="I79" i="51"/>
  <c r="D52" i="61"/>
  <c r="D56" i="61"/>
  <c r="Q62" i="59"/>
  <c r="Q66" i="59"/>
  <c r="G75" i="58"/>
  <c r="G79" i="58"/>
  <c r="J35" i="55"/>
  <c r="J31" i="55"/>
  <c r="F79" i="56"/>
  <c r="F82" i="56" s="1"/>
  <c r="F83" i="56" s="1"/>
  <c r="N60" i="61"/>
  <c r="N61" i="61" s="1"/>
  <c r="N57" i="61"/>
  <c r="D75" i="58"/>
  <c r="D79" i="58"/>
  <c r="D25" i="53"/>
  <c r="D17" i="53"/>
  <c r="G75" i="48"/>
  <c r="G71" i="48"/>
  <c r="Q22" i="42"/>
  <c r="H113" i="36"/>
  <c r="H117" i="36"/>
  <c r="Q24" i="42"/>
  <c r="Q102" i="42" s="1"/>
  <c r="H107" i="39"/>
  <c r="H111" i="39"/>
  <c r="M95" i="45"/>
  <c r="M99" i="45"/>
  <c r="H103" i="42"/>
  <c r="H107" i="42"/>
  <c r="E30" i="46"/>
  <c r="E26" i="46"/>
  <c r="L107" i="42"/>
  <c r="L103" i="42"/>
  <c r="I108" i="42"/>
  <c r="I111" i="42" s="1"/>
  <c r="I112" i="42" s="1"/>
  <c r="O63" i="24"/>
  <c r="O67" i="24"/>
  <c r="K87" i="21"/>
  <c r="K91" i="21"/>
  <c r="K22" i="54"/>
  <c r="K26" i="54"/>
  <c r="O69" i="33"/>
  <c r="O73" i="33"/>
  <c r="K85" i="27"/>
  <c r="K89" i="27"/>
  <c r="L92" i="21"/>
  <c r="L95" i="21" s="1"/>
  <c r="L96" i="21" s="1"/>
  <c r="O142" i="15"/>
  <c r="O138" i="15"/>
  <c r="E73" i="33"/>
  <c r="E69" i="33"/>
  <c r="O109" i="30"/>
  <c r="O113" i="30"/>
  <c r="N67" i="24"/>
  <c r="N63" i="24"/>
  <c r="E67" i="24"/>
  <c r="E63" i="24"/>
  <c r="E142" i="12"/>
  <c r="E146" i="12"/>
  <c r="O31" i="6"/>
  <c r="O32" i="6" s="1"/>
  <c r="O26" i="6"/>
  <c r="N99" i="9"/>
  <c r="N96" i="9"/>
  <c r="G148" i="18"/>
  <c r="G144" i="18"/>
  <c r="I138" i="15"/>
  <c r="I142" i="15"/>
  <c r="K26" i="6"/>
  <c r="K31" i="6" s="1"/>
  <c r="K32" i="6" s="1"/>
  <c r="K164" i="3"/>
  <c r="K160" i="3"/>
  <c r="H143" i="15"/>
  <c r="H146" i="15"/>
  <c r="H147" i="15" s="1"/>
  <c r="G26" i="13"/>
  <c r="G30" i="13"/>
  <c r="D99" i="9"/>
  <c r="D96" i="9"/>
  <c r="D25" i="8"/>
  <c r="D17" i="8"/>
  <c r="Q55" i="3"/>
  <c r="Q159" i="3" s="1"/>
  <c r="H165" i="3"/>
  <c r="H170" i="3" s="1"/>
  <c r="H171" i="3" s="1"/>
  <c r="D16" i="89"/>
  <c r="D70" i="89"/>
  <c r="F87" i="87"/>
  <c r="F83" i="87"/>
  <c r="D15" i="76"/>
  <c r="D68" i="76"/>
  <c r="H30" i="77"/>
  <c r="H26" i="77"/>
  <c r="E73" i="76"/>
  <c r="E69" i="76"/>
  <c r="M26" i="74"/>
  <c r="M30" i="74"/>
  <c r="J31" i="74"/>
  <c r="J34" i="74" s="1"/>
  <c r="J35" i="74" s="1"/>
  <c r="M69" i="68"/>
  <c r="M73" i="68"/>
  <c r="E96" i="67"/>
  <c r="E100" i="67"/>
  <c r="D63" i="63"/>
  <c r="D67" i="63"/>
  <c r="O57" i="60"/>
  <c r="O61" i="60"/>
  <c r="H62" i="59"/>
  <c r="H66" i="59"/>
  <c r="J79" i="56"/>
  <c r="J82" i="56" s="1"/>
  <c r="J83" i="56" s="1"/>
  <c r="M26" i="54"/>
  <c r="M22" i="54"/>
  <c r="D26" i="46"/>
  <c r="D30" i="46"/>
  <c r="M71" i="48"/>
  <c r="M75" i="48"/>
  <c r="M107" i="39"/>
  <c r="M111" i="39"/>
  <c r="Q16" i="89"/>
  <c r="M22" i="88"/>
  <c r="M26" i="88"/>
  <c r="L15" i="88"/>
  <c r="L21" i="88"/>
  <c r="N76" i="89"/>
  <c r="N79" i="89" s="1"/>
  <c r="N80" i="89" s="1"/>
  <c r="O26" i="88"/>
  <c r="O22" i="88"/>
  <c r="J71" i="89"/>
  <c r="J75" i="89"/>
  <c r="J84" i="85"/>
  <c r="J88" i="85"/>
  <c r="I54" i="84"/>
  <c r="I58" i="84"/>
  <c r="H46" i="81"/>
  <c r="H50" i="81"/>
  <c r="I90" i="86"/>
  <c r="I94" i="86"/>
  <c r="M93" i="79"/>
  <c r="M97" i="79"/>
  <c r="E24" i="82"/>
  <c r="E28" i="82"/>
  <c r="M91" i="80"/>
  <c r="M94" i="80" s="1"/>
  <c r="M95" i="80" s="1"/>
  <c r="D28" i="82"/>
  <c r="D24" i="82"/>
  <c r="G46" i="81"/>
  <c r="G50" i="81"/>
  <c r="M28" i="78"/>
  <c r="M24" i="78"/>
  <c r="L15" i="76"/>
  <c r="L68" i="76"/>
  <c r="H59" i="84"/>
  <c r="H62" i="84" s="1"/>
  <c r="H63" i="84" s="1"/>
  <c r="K69" i="76"/>
  <c r="K73" i="76"/>
  <c r="J26" i="77"/>
  <c r="J30" i="77"/>
  <c r="O88" i="75"/>
  <c r="O84" i="75"/>
  <c r="F88" i="73"/>
  <c r="F84" i="73"/>
  <c r="F25" i="71"/>
  <c r="F29" i="71"/>
  <c r="K84" i="73"/>
  <c r="K88" i="73"/>
  <c r="N67" i="70"/>
  <c r="N71" i="70"/>
  <c r="H84" i="73"/>
  <c r="H88" i="73"/>
  <c r="J69" i="68"/>
  <c r="J73" i="68"/>
  <c r="K67" i="70"/>
  <c r="K71" i="70"/>
  <c r="M28" i="64"/>
  <c r="M32" i="64"/>
  <c r="O73" i="68"/>
  <c r="O69" i="68"/>
  <c r="I24" i="66"/>
  <c r="I28" i="66"/>
  <c r="I85" i="65"/>
  <c r="I89" i="65"/>
  <c r="K33" i="64"/>
  <c r="K36" i="64" s="1"/>
  <c r="K37" i="64" s="1"/>
  <c r="K63" i="63"/>
  <c r="K67" i="63"/>
  <c r="D26" i="74"/>
  <c r="D30" i="74"/>
  <c r="L24" i="66"/>
  <c r="L28" i="66"/>
  <c r="N28" i="64"/>
  <c r="N32" i="64"/>
  <c r="I63" i="63"/>
  <c r="I67" i="63"/>
  <c r="M91" i="62"/>
  <c r="M95" i="62"/>
  <c r="O91" i="62"/>
  <c r="O95" i="62"/>
  <c r="F29" i="66"/>
  <c r="F32" i="66" s="1"/>
  <c r="F33" i="66" s="1"/>
  <c r="Q31" i="65"/>
  <c r="Q84" i="65" s="1"/>
  <c r="M52" i="61"/>
  <c r="M56" i="61"/>
  <c r="N67" i="59"/>
  <c r="N70" i="59" s="1"/>
  <c r="N71" i="59" s="1"/>
  <c r="G36" i="55"/>
  <c r="G39" i="55" s="1"/>
  <c r="G40" i="55" s="1"/>
  <c r="I22" i="54"/>
  <c r="I26" i="54"/>
  <c r="G74" i="56"/>
  <c r="G78" i="56"/>
  <c r="G26" i="54"/>
  <c r="G22" i="54"/>
  <c r="E75" i="58"/>
  <c r="E79" i="58"/>
  <c r="N26" i="54"/>
  <c r="N22" i="54"/>
  <c r="M29" i="51"/>
  <c r="M74" i="51"/>
  <c r="J62" i="60"/>
  <c r="J65" i="60" s="1"/>
  <c r="J66" i="60" s="1"/>
  <c r="D62" i="59"/>
  <c r="D66" i="59"/>
  <c r="E73" i="57"/>
  <c r="E74" i="57" s="1"/>
  <c r="E70" i="57"/>
  <c r="G56" i="61"/>
  <c r="G52" i="61"/>
  <c r="K75" i="51"/>
  <c r="K79" i="51"/>
  <c r="Q22" i="39"/>
  <c r="Q106" i="39"/>
  <c r="D102" i="42"/>
  <c r="D22" i="42"/>
  <c r="Q36" i="30"/>
  <c r="Q108" i="30" s="1"/>
  <c r="E85" i="27"/>
  <c r="E89" i="27"/>
  <c r="O87" i="21"/>
  <c r="O91" i="21"/>
  <c r="D26" i="35"/>
  <c r="D30" i="35"/>
  <c r="G30" i="28"/>
  <c r="G26" i="28"/>
  <c r="D30" i="31"/>
  <c r="D26" i="31"/>
  <c r="E26" i="22"/>
  <c r="E30" i="22"/>
  <c r="K111" i="39"/>
  <c r="K107" i="39"/>
  <c r="H90" i="27"/>
  <c r="H93" i="27"/>
  <c r="H94" i="27" s="1"/>
  <c r="I69" i="33"/>
  <c r="I73" i="33"/>
  <c r="M118" i="36"/>
  <c r="M121" i="36" s="1"/>
  <c r="M122" i="36" s="1"/>
  <c r="F57" i="61"/>
  <c r="F60" i="61" s="1"/>
  <c r="F61" i="61" s="1"/>
  <c r="E26" i="34"/>
  <c r="E30" i="34"/>
  <c r="N114" i="30"/>
  <c r="N117" i="30"/>
  <c r="N118" i="30" s="1"/>
  <c r="F90" i="27"/>
  <c r="F93" i="27" s="1"/>
  <c r="F94" i="27" s="1"/>
  <c r="E22" i="6"/>
  <c r="E25" i="6"/>
  <c r="G96" i="9"/>
  <c r="G99" i="9"/>
  <c r="L164" i="3"/>
  <c r="L160" i="3"/>
  <c r="M99" i="9"/>
  <c r="M96" i="9"/>
  <c r="G26" i="5"/>
  <c r="G30" i="5"/>
  <c r="I146" i="12"/>
  <c r="I142" i="12"/>
  <c r="Q22" i="6"/>
  <c r="Q25" i="6"/>
  <c r="K149" i="18"/>
  <c r="K152" i="18" s="1"/>
  <c r="K153" i="18" s="1"/>
  <c r="G142" i="12"/>
  <c r="G146" i="12"/>
  <c r="K95" i="9"/>
  <c r="K15" i="9"/>
  <c r="H22" i="6"/>
  <c r="H25" i="6"/>
  <c r="J68" i="24"/>
  <c r="J71" i="24" s="1"/>
  <c r="J72" i="24" s="1"/>
  <c r="D25" i="14"/>
  <c r="D17" i="14"/>
  <c r="G30" i="43" l="1"/>
  <c r="D26" i="47"/>
  <c r="D26" i="49"/>
  <c r="G26" i="92"/>
  <c r="D26" i="38"/>
  <c r="E30" i="50"/>
  <c r="D30" i="52"/>
  <c r="D31" i="52" s="1"/>
  <c r="D36" i="52" s="1"/>
  <c r="D37" i="52" s="1"/>
  <c r="E30" i="29"/>
  <c r="E31" i="29" s="1"/>
  <c r="E36" i="29" s="1"/>
  <c r="E37" i="29" s="1"/>
  <c r="D26" i="34"/>
  <c r="G30" i="32"/>
  <c r="G31" i="32" s="1"/>
  <c r="G36" i="32" s="1"/>
  <c r="G37" i="32" s="1"/>
  <c r="G30" i="17"/>
  <c r="G31" i="17" s="1"/>
  <c r="G36" i="17" s="1"/>
  <c r="G37" i="17" s="1"/>
  <c r="E26" i="8"/>
  <c r="E30" i="13"/>
  <c r="E31" i="13" s="1"/>
  <c r="E36" i="13" s="1"/>
  <c r="E37" i="13" s="1"/>
  <c r="D30" i="41"/>
  <c r="D31" i="41" s="1"/>
  <c r="D36" i="41" s="1"/>
  <c r="D37" i="41" s="1"/>
  <c r="E30" i="16"/>
  <c r="E31" i="16" s="1"/>
  <c r="E36" i="16" s="1"/>
  <c r="E37" i="16" s="1"/>
  <c r="E30" i="44"/>
  <c r="E31" i="44" s="1"/>
  <c r="E36" i="44" s="1"/>
  <c r="E37" i="44" s="1"/>
  <c r="G36" i="10"/>
  <c r="G37" i="10" s="1"/>
  <c r="E30" i="47"/>
  <c r="E31" i="47" s="1"/>
  <c r="E36" i="47" s="1"/>
  <c r="E37" i="47" s="1"/>
  <c r="D30" i="92"/>
  <c r="D31" i="92" s="1"/>
  <c r="D36" i="92" s="1"/>
  <c r="D37" i="92" s="1"/>
  <c r="G30" i="20"/>
  <c r="G31" i="20" s="1"/>
  <c r="G36" i="20" s="1"/>
  <c r="G37" i="20" s="1"/>
  <c r="E30" i="35"/>
  <c r="E31" i="35" s="1"/>
  <c r="E36" i="35" s="1"/>
  <c r="E37" i="35" s="1"/>
  <c r="E26" i="35"/>
  <c r="G26" i="38"/>
  <c r="G30" i="38"/>
  <c r="G31" i="38" s="1"/>
  <c r="G36" i="38" s="1"/>
  <c r="G37" i="38" s="1"/>
  <c r="E30" i="38"/>
  <c r="E31" i="38" s="1"/>
  <c r="E36" i="38" s="1"/>
  <c r="E37" i="38" s="1"/>
  <c r="D30" i="19"/>
  <c r="D31" i="19" s="1"/>
  <c r="D36" i="19" s="1"/>
  <c r="D37" i="19" s="1"/>
  <c r="G26" i="91"/>
  <c r="G30" i="91"/>
  <c r="G31" i="91" s="1"/>
  <c r="G36" i="91" s="1"/>
  <c r="G37" i="91" s="1"/>
  <c r="G26" i="29"/>
  <c r="D26" i="32"/>
  <c r="D30" i="32"/>
  <c r="D31" i="32" s="1"/>
  <c r="D36" i="32" s="1"/>
  <c r="D37" i="32" s="1"/>
  <c r="E30" i="31"/>
  <c r="E31" i="31" s="1"/>
  <c r="E36" i="31" s="1"/>
  <c r="E37" i="31" s="1"/>
  <c r="E26" i="31"/>
  <c r="G26" i="26"/>
  <c r="G30" i="26"/>
  <c r="G31" i="26" s="1"/>
  <c r="G36" i="26" s="1"/>
  <c r="G37" i="26" s="1"/>
  <c r="D31" i="4"/>
  <c r="D36" i="4" s="1"/>
  <c r="D37" i="4" s="1"/>
  <c r="G30" i="34"/>
  <c r="G31" i="34" s="1"/>
  <c r="G36" i="34" s="1"/>
  <c r="G37" i="34" s="1"/>
  <c r="G26" i="34"/>
  <c r="G26" i="19"/>
  <c r="G30" i="19"/>
  <c r="G26" i="37"/>
  <c r="G30" i="37"/>
  <c r="G31" i="37" s="1"/>
  <c r="G36" i="37" s="1"/>
  <c r="G37" i="37" s="1"/>
  <c r="Q71" i="89"/>
  <c r="Q75" i="89"/>
  <c r="Q85" i="65"/>
  <c r="Q89" i="65"/>
  <c r="Q69" i="33"/>
  <c r="Q73" i="33"/>
  <c r="Q109" i="30"/>
  <c r="Q113" i="30"/>
  <c r="Q75" i="69"/>
  <c r="Q79" i="69"/>
  <c r="Q160" i="3"/>
  <c r="Q164" i="3"/>
  <c r="N27" i="54"/>
  <c r="N32" i="54"/>
  <c r="N33" i="54" s="1"/>
  <c r="H31" i="77"/>
  <c r="H34" i="77"/>
  <c r="H35" i="77" s="1"/>
  <c r="K90" i="27"/>
  <c r="K93" i="27" s="1"/>
  <c r="K94" i="27" s="1"/>
  <c r="K91" i="80"/>
  <c r="K94" i="80" s="1"/>
  <c r="K95" i="80" s="1"/>
  <c r="L80" i="58"/>
  <c r="L83" i="58" s="1"/>
  <c r="L84" i="58" s="1"/>
  <c r="M90" i="65"/>
  <c r="M93" i="65"/>
  <c r="M94" i="65" s="1"/>
  <c r="O89" i="85"/>
  <c r="O92" i="85" s="1"/>
  <c r="O93" i="85" s="1"/>
  <c r="E31" i="49"/>
  <c r="E36" i="49" s="1"/>
  <c r="E37" i="49" s="1"/>
  <c r="O29" i="82"/>
  <c r="O32" i="82"/>
  <c r="O33" i="82" s="1"/>
  <c r="E100" i="9"/>
  <c r="E103" i="9" s="1"/>
  <c r="E104" i="9" s="1"/>
  <c r="L76" i="48"/>
  <c r="L79" i="48" s="1"/>
  <c r="L80" i="48" s="1"/>
  <c r="J100" i="45"/>
  <c r="J103" i="45"/>
  <c r="J104" i="45" s="1"/>
  <c r="K67" i="59"/>
  <c r="K70" i="59" s="1"/>
  <c r="K71" i="59" s="1"/>
  <c r="K62" i="60"/>
  <c r="K65" i="60" s="1"/>
  <c r="K66" i="60" s="1"/>
  <c r="E60" i="61"/>
  <c r="E61" i="61" s="1"/>
  <c r="E57" i="61"/>
  <c r="D28" i="64"/>
  <c r="D32" i="64"/>
  <c r="L80" i="69"/>
  <c r="L83" i="69"/>
  <c r="L84" i="69" s="1"/>
  <c r="Q88" i="85"/>
  <c r="Q84" i="85"/>
  <c r="I27" i="88"/>
  <c r="I30" i="88" s="1"/>
  <c r="I31" i="88" s="1"/>
  <c r="E27" i="88"/>
  <c r="E30" i="88" s="1"/>
  <c r="E31" i="88" s="1"/>
  <c r="D143" i="15"/>
  <c r="D146" i="15" s="1"/>
  <c r="D147" i="15" s="1"/>
  <c r="D31" i="13"/>
  <c r="D36" i="13" s="1"/>
  <c r="D37" i="13" s="1"/>
  <c r="H149" i="18"/>
  <c r="H152" i="18" s="1"/>
  <c r="H153" i="18" s="1"/>
  <c r="I100" i="9"/>
  <c r="I103" i="9"/>
  <c r="I104" i="9" s="1"/>
  <c r="Q96" i="62"/>
  <c r="Q99" i="62" s="1"/>
  <c r="Q100" i="62" s="1"/>
  <c r="G165" i="3"/>
  <c r="G170" i="3" s="1"/>
  <c r="G171" i="3" s="1"/>
  <c r="H92" i="21"/>
  <c r="H95" i="21" s="1"/>
  <c r="H96" i="21" s="1"/>
  <c r="F98" i="79"/>
  <c r="F101" i="79"/>
  <c r="F102" i="79" s="1"/>
  <c r="L112" i="39"/>
  <c r="L115" i="39"/>
  <c r="L116" i="39" s="1"/>
  <c r="D32" i="66"/>
  <c r="D33" i="66" s="1"/>
  <c r="D29" i="66"/>
  <c r="F147" i="12"/>
  <c r="F150" i="12" s="1"/>
  <c r="F151" i="12" s="1"/>
  <c r="M85" i="72"/>
  <c r="M88" i="72" s="1"/>
  <c r="M89" i="72" s="1"/>
  <c r="J74" i="33"/>
  <c r="J77" i="33" s="1"/>
  <c r="J78" i="33" s="1"/>
  <c r="D88" i="87"/>
  <c r="D91" i="87" s="1"/>
  <c r="D92" i="87" s="1"/>
  <c r="E31" i="8"/>
  <c r="E36" i="8" s="1"/>
  <c r="E37" i="8" s="1"/>
  <c r="H26" i="6"/>
  <c r="H31" i="6"/>
  <c r="H32" i="6" s="1"/>
  <c r="Q26" i="6"/>
  <c r="Q31" i="6" s="1"/>
  <c r="Q32" i="6" s="1"/>
  <c r="E31" i="22"/>
  <c r="E36" i="22" s="1"/>
  <c r="E37" i="22" s="1"/>
  <c r="O92" i="21"/>
  <c r="O95" i="21" s="1"/>
  <c r="O96" i="21" s="1"/>
  <c r="N33" i="64"/>
  <c r="N36" i="64" s="1"/>
  <c r="N37" i="64" s="1"/>
  <c r="M33" i="64"/>
  <c r="M36" i="64" s="1"/>
  <c r="M37" i="64" s="1"/>
  <c r="N72" i="70"/>
  <c r="N75" i="70" s="1"/>
  <c r="N76" i="70" s="1"/>
  <c r="L69" i="76"/>
  <c r="L73" i="76"/>
  <c r="H51" i="81"/>
  <c r="H54" i="81" s="1"/>
  <c r="H55" i="81" s="1"/>
  <c r="M27" i="88"/>
  <c r="M30" i="88" s="1"/>
  <c r="M31" i="88" s="1"/>
  <c r="D31" i="46"/>
  <c r="D36" i="46" s="1"/>
  <c r="D37" i="46" s="1"/>
  <c r="O62" i="60"/>
  <c r="O65" i="60" s="1"/>
  <c r="O66" i="60" s="1"/>
  <c r="D69" i="76"/>
  <c r="D73" i="76"/>
  <c r="G149" i="18"/>
  <c r="G152" i="18" s="1"/>
  <c r="G153" i="18" s="1"/>
  <c r="E74" i="33"/>
  <c r="E77" i="33" s="1"/>
  <c r="E78" i="33" s="1"/>
  <c r="G83" i="58"/>
  <c r="G84" i="58" s="1"/>
  <c r="G80" i="58"/>
  <c r="K29" i="66"/>
  <c r="K32" i="66" s="1"/>
  <c r="K33" i="66" s="1"/>
  <c r="I74" i="68"/>
  <c r="I77" i="68"/>
  <c r="I78" i="68" s="1"/>
  <c r="N85" i="72"/>
  <c r="N88" i="72" s="1"/>
  <c r="N89" i="72" s="1"/>
  <c r="I85" i="72"/>
  <c r="I88" i="72" s="1"/>
  <c r="I89" i="72" s="1"/>
  <c r="G30" i="71"/>
  <c r="G33" i="71" s="1"/>
  <c r="G34" i="71" s="1"/>
  <c r="J98" i="79"/>
  <c r="J101" i="79" s="1"/>
  <c r="J102" i="79" s="1"/>
  <c r="F30" i="83"/>
  <c r="F33" i="83" s="1"/>
  <c r="F34" i="83" s="1"/>
  <c r="D73" i="33"/>
  <c r="D69" i="33"/>
  <c r="F149" i="18"/>
  <c r="F152" i="18"/>
  <c r="F153" i="18" s="1"/>
  <c r="G31" i="22"/>
  <c r="G36" i="22" s="1"/>
  <c r="G37" i="22" s="1"/>
  <c r="F36" i="55"/>
  <c r="F39" i="55" s="1"/>
  <c r="F40" i="55" s="1"/>
  <c r="J70" i="57"/>
  <c r="J73" i="57" s="1"/>
  <c r="J74" i="57" s="1"/>
  <c r="E62" i="60"/>
  <c r="E65" i="60"/>
  <c r="E66" i="60" s="1"/>
  <c r="M72" i="70"/>
  <c r="M75" i="70" s="1"/>
  <c r="M76" i="70" s="1"/>
  <c r="L33" i="83"/>
  <c r="L34" i="83" s="1"/>
  <c r="L30" i="83"/>
  <c r="E25" i="71"/>
  <c r="E29" i="71"/>
  <c r="D91" i="80"/>
  <c r="D94" i="80" s="1"/>
  <c r="D95" i="80" s="1"/>
  <c r="L68" i="24"/>
  <c r="L71" i="24" s="1"/>
  <c r="L72" i="24" s="1"/>
  <c r="M89" i="85"/>
  <c r="M92" i="85" s="1"/>
  <c r="M93" i="85" s="1"/>
  <c r="D31" i="26"/>
  <c r="D36" i="26" s="1"/>
  <c r="D37" i="26" s="1"/>
  <c r="M149" i="18"/>
  <c r="M152" i="18"/>
  <c r="M153" i="18" s="1"/>
  <c r="G100" i="45"/>
  <c r="G103" i="45" s="1"/>
  <c r="G104" i="45" s="1"/>
  <c r="F80" i="51"/>
  <c r="F83" i="51" s="1"/>
  <c r="F84" i="51" s="1"/>
  <c r="E31" i="53"/>
  <c r="E36" i="53" s="1"/>
  <c r="E37" i="53" s="1"/>
  <c r="O30" i="71"/>
  <c r="O33" i="71" s="1"/>
  <c r="O34" i="71" s="1"/>
  <c r="N96" i="62"/>
  <c r="N99" i="62" s="1"/>
  <c r="N100" i="62" s="1"/>
  <c r="F165" i="3"/>
  <c r="F170" i="3" s="1"/>
  <c r="F171" i="3" s="1"/>
  <c r="E143" i="15"/>
  <c r="E146" i="15" s="1"/>
  <c r="E147" i="15" s="1"/>
  <c r="L147" i="12"/>
  <c r="L150" i="12" s="1"/>
  <c r="L151" i="12" s="1"/>
  <c r="E31" i="26"/>
  <c r="E36" i="26" s="1"/>
  <c r="E37" i="26" s="1"/>
  <c r="F112" i="39"/>
  <c r="F115" i="39" s="1"/>
  <c r="F116" i="39" s="1"/>
  <c r="M36" i="55"/>
  <c r="M39" i="55"/>
  <c r="M40" i="55" s="1"/>
  <c r="H62" i="60"/>
  <c r="H65" i="60" s="1"/>
  <c r="H66" i="60" s="1"/>
  <c r="M32" i="66"/>
  <c r="M33" i="66" s="1"/>
  <c r="M29" i="66"/>
  <c r="E71" i="63"/>
  <c r="E72" i="63" s="1"/>
  <c r="E68" i="63"/>
  <c r="H90" i="65"/>
  <c r="H93" i="65" s="1"/>
  <c r="H94" i="65" s="1"/>
  <c r="J84" i="73"/>
  <c r="J88" i="73"/>
  <c r="L75" i="70"/>
  <c r="L76" i="70" s="1"/>
  <c r="L72" i="70"/>
  <c r="M51" i="81"/>
  <c r="M54" i="81" s="1"/>
  <c r="M55" i="81" s="1"/>
  <c r="E31" i="41"/>
  <c r="E36" i="41" s="1"/>
  <c r="E37" i="41" s="1"/>
  <c r="H100" i="45"/>
  <c r="H103" i="45"/>
  <c r="H104" i="45" s="1"/>
  <c r="G96" i="62"/>
  <c r="G99" i="62" s="1"/>
  <c r="G100" i="62" s="1"/>
  <c r="H100" i="9"/>
  <c r="H103" i="9" s="1"/>
  <c r="H104" i="9" s="1"/>
  <c r="H68" i="24"/>
  <c r="H71" i="24"/>
  <c r="H72" i="24" s="1"/>
  <c r="K68" i="24"/>
  <c r="K71" i="24" s="1"/>
  <c r="K72" i="24" s="1"/>
  <c r="D68" i="24"/>
  <c r="D71" i="24" s="1"/>
  <c r="D72" i="24" s="1"/>
  <c r="G108" i="42"/>
  <c r="G111" i="42" s="1"/>
  <c r="G112" i="42" s="1"/>
  <c r="H36" i="55"/>
  <c r="H39" i="55" s="1"/>
  <c r="H40" i="55" s="1"/>
  <c r="E74" i="68"/>
  <c r="E77" i="68" s="1"/>
  <c r="E78" i="68" s="1"/>
  <c r="G68" i="24"/>
  <c r="G71" i="24" s="1"/>
  <c r="G72" i="24" s="1"/>
  <c r="L85" i="72"/>
  <c r="L88" i="72" s="1"/>
  <c r="L89" i="72" s="1"/>
  <c r="M165" i="3"/>
  <c r="M170" i="3"/>
  <c r="M171" i="3" s="1"/>
  <c r="K36" i="55"/>
  <c r="K39" i="55"/>
  <c r="K40" i="55" s="1"/>
  <c r="J67" i="70"/>
  <c r="J71" i="70"/>
  <c r="D84" i="85"/>
  <c r="D88" i="85"/>
  <c r="F68" i="24"/>
  <c r="F71" i="24"/>
  <c r="F72" i="24" s="1"/>
  <c r="Q89" i="27"/>
  <c r="Q85" i="27"/>
  <c r="G101" i="67"/>
  <c r="G104" i="67" s="1"/>
  <c r="G105" i="67" s="1"/>
  <c r="Q33" i="64"/>
  <c r="Q36" i="64"/>
  <c r="Q37" i="64" s="1"/>
  <c r="K80" i="58"/>
  <c r="K83" i="58"/>
  <c r="K84" i="58" s="1"/>
  <c r="K96" i="62"/>
  <c r="K99" i="62" s="1"/>
  <c r="K100" i="62" s="1"/>
  <c r="N31" i="77"/>
  <c r="N34" i="77" s="1"/>
  <c r="N35" i="77" s="1"/>
  <c r="D51" i="81"/>
  <c r="D54" i="81" s="1"/>
  <c r="D55" i="81" s="1"/>
  <c r="M76" i="89"/>
  <c r="M79" i="89"/>
  <c r="M80" i="89" s="1"/>
  <c r="L36" i="55"/>
  <c r="L39" i="55" s="1"/>
  <c r="L40" i="55" s="1"/>
  <c r="I68" i="63"/>
  <c r="I71" i="63" s="1"/>
  <c r="I72" i="63" s="1"/>
  <c r="L22" i="88"/>
  <c r="L26" i="88"/>
  <c r="E147" i="12"/>
  <c r="E150" i="12" s="1"/>
  <c r="E151" i="12" s="1"/>
  <c r="Q30" i="71"/>
  <c r="Q33" i="71" s="1"/>
  <c r="Q34" i="71" s="1"/>
  <c r="G31" i="52"/>
  <c r="G36" i="52" s="1"/>
  <c r="G37" i="52" s="1"/>
  <c r="I74" i="76"/>
  <c r="I77" i="76" s="1"/>
  <c r="I78" i="76" s="1"/>
  <c r="D90" i="86"/>
  <c r="D94" i="86"/>
  <c r="K80" i="69"/>
  <c r="K83" i="69" s="1"/>
  <c r="K84" i="69" s="1"/>
  <c r="J112" i="39"/>
  <c r="J115" i="39" s="1"/>
  <c r="J116" i="39" s="1"/>
  <c r="O89" i="75"/>
  <c r="O92" i="75"/>
  <c r="O93" i="75" s="1"/>
  <c r="O27" i="88"/>
  <c r="O30" i="88"/>
  <c r="O31" i="88" s="1"/>
  <c r="Q103" i="42"/>
  <c r="Q107" i="42"/>
  <c r="G29" i="78"/>
  <c r="G32" i="78" s="1"/>
  <c r="G33" i="78" s="1"/>
  <c r="K83" i="87"/>
  <c r="K87" i="87"/>
  <c r="O27" i="54"/>
  <c r="O32" i="54"/>
  <c r="O33" i="54" s="1"/>
  <c r="O76" i="89"/>
  <c r="O79" i="89" s="1"/>
  <c r="O80" i="89" s="1"/>
  <c r="L100" i="9"/>
  <c r="L103" i="9" s="1"/>
  <c r="L104" i="9" s="1"/>
  <c r="K114" i="30"/>
  <c r="K117" i="30" s="1"/>
  <c r="K118" i="30" s="1"/>
  <c r="E31" i="37"/>
  <c r="E36" i="37" s="1"/>
  <c r="E37" i="37" s="1"/>
  <c r="D32" i="54"/>
  <c r="D33" i="54" s="1"/>
  <c r="D27" i="54"/>
  <c r="F83" i="58"/>
  <c r="F84" i="58" s="1"/>
  <c r="F80" i="58"/>
  <c r="K101" i="67"/>
  <c r="K104" i="67" s="1"/>
  <c r="K105" i="67" s="1"/>
  <c r="F88" i="75"/>
  <c r="F84" i="75"/>
  <c r="G29" i="82"/>
  <c r="G32" i="82" s="1"/>
  <c r="G33" i="82" s="1"/>
  <c r="G89" i="85"/>
  <c r="G92" i="85" s="1"/>
  <c r="G93" i="85" s="1"/>
  <c r="E108" i="42"/>
  <c r="E111" i="42"/>
  <c r="E112" i="42" s="1"/>
  <c r="M79" i="56"/>
  <c r="M82" i="56"/>
  <c r="M83" i="56" s="1"/>
  <c r="N88" i="75"/>
  <c r="N84" i="75"/>
  <c r="G93" i="79"/>
  <c r="G97" i="79"/>
  <c r="L59" i="84"/>
  <c r="L62" i="84"/>
  <c r="L63" i="84" s="1"/>
  <c r="G90" i="27"/>
  <c r="G93" i="27"/>
  <c r="G94" i="27" s="1"/>
  <c r="D76" i="48"/>
  <c r="D79" i="48" s="1"/>
  <c r="D80" i="48" s="1"/>
  <c r="I34" i="74"/>
  <c r="I35" i="74" s="1"/>
  <c r="I31" i="74"/>
  <c r="O93" i="79"/>
  <c r="O97" i="79"/>
  <c r="D36" i="55"/>
  <c r="D39" i="55" s="1"/>
  <c r="D40" i="55" s="1"/>
  <c r="N146" i="15"/>
  <c r="N147" i="15" s="1"/>
  <c r="N143" i="15"/>
  <c r="G92" i="21"/>
  <c r="G95" i="21" s="1"/>
  <c r="G96" i="21" s="1"/>
  <c r="D100" i="45"/>
  <c r="D103" i="45" s="1"/>
  <c r="D104" i="45" s="1"/>
  <c r="J80" i="51"/>
  <c r="J83" i="51"/>
  <c r="J84" i="51" s="1"/>
  <c r="L70" i="57"/>
  <c r="L73" i="57" s="1"/>
  <c r="L74" i="57" s="1"/>
  <c r="G65" i="60"/>
  <c r="G66" i="60" s="1"/>
  <c r="G62" i="60"/>
  <c r="H96" i="62"/>
  <c r="H99" i="62" s="1"/>
  <c r="H100" i="62" s="1"/>
  <c r="D69" i="68"/>
  <c r="D73" i="68"/>
  <c r="L34" i="77"/>
  <c r="L35" i="77" s="1"/>
  <c r="L31" i="77"/>
  <c r="M98" i="86"/>
  <c r="M99" i="86" s="1"/>
  <c r="M95" i="86"/>
  <c r="D31" i="17"/>
  <c r="D36" i="17" s="1"/>
  <c r="D37" i="17" s="1"/>
  <c r="G114" i="30"/>
  <c r="G117" i="30" s="1"/>
  <c r="G118" i="30" s="1"/>
  <c r="L62" i="60"/>
  <c r="L65" i="60" s="1"/>
  <c r="L66" i="60" s="1"/>
  <c r="Q92" i="21"/>
  <c r="Q95" i="21" s="1"/>
  <c r="Q96" i="21" s="1"/>
  <c r="J68" i="63"/>
  <c r="J71" i="63"/>
  <c r="J72" i="63" s="1"/>
  <c r="D73" i="57"/>
  <c r="D74" i="57" s="1"/>
  <c r="D70" i="57"/>
  <c r="D89" i="75"/>
  <c r="D92" i="75" s="1"/>
  <c r="D93" i="75" s="1"/>
  <c r="Q79" i="56"/>
  <c r="Q82" i="56" s="1"/>
  <c r="Q83" i="56" s="1"/>
  <c r="D30" i="83"/>
  <c r="D33" i="83" s="1"/>
  <c r="D34" i="83" s="1"/>
  <c r="J118" i="36"/>
  <c r="J121" i="36" s="1"/>
  <c r="J122" i="36" s="1"/>
  <c r="I101" i="79"/>
  <c r="I102" i="79" s="1"/>
  <c r="I98" i="79"/>
  <c r="E89" i="85"/>
  <c r="E92" i="85" s="1"/>
  <c r="E93" i="85" s="1"/>
  <c r="Q118" i="36"/>
  <c r="Q121" i="36" s="1"/>
  <c r="Q122" i="36" s="1"/>
  <c r="I54" i="81"/>
  <c r="I55" i="81" s="1"/>
  <c r="I51" i="81"/>
  <c r="E26" i="6"/>
  <c r="E31" i="6" s="1"/>
  <c r="E32" i="6" s="1"/>
  <c r="J76" i="89"/>
  <c r="J79" i="89" s="1"/>
  <c r="J80" i="89" s="1"/>
  <c r="M100" i="9"/>
  <c r="M103" i="9"/>
  <c r="M104" i="9" s="1"/>
  <c r="Q107" i="39"/>
  <c r="Q111" i="39"/>
  <c r="D29" i="82"/>
  <c r="D32" i="82" s="1"/>
  <c r="D33" i="82" s="1"/>
  <c r="H108" i="42"/>
  <c r="H111" i="42"/>
  <c r="H112" i="42" s="1"/>
  <c r="J90" i="65"/>
  <c r="J93" i="65" s="1"/>
  <c r="J94" i="65" s="1"/>
  <c r="L84" i="85"/>
  <c r="L88" i="85"/>
  <c r="F26" i="74"/>
  <c r="F30" i="74"/>
  <c r="H88" i="87"/>
  <c r="H91" i="87"/>
  <c r="H92" i="87" s="1"/>
  <c r="Q87" i="87"/>
  <c r="Q83" i="87"/>
  <c r="G31" i="23"/>
  <c r="G36" i="23" s="1"/>
  <c r="G37" i="23" s="1"/>
  <c r="H80" i="51"/>
  <c r="H83" i="51" s="1"/>
  <c r="H84" i="51" s="1"/>
  <c r="M74" i="76"/>
  <c r="M77" i="76" s="1"/>
  <c r="M78" i="76" s="1"/>
  <c r="M100" i="45"/>
  <c r="M103" i="45" s="1"/>
  <c r="M104" i="45" s="1"/>
  <c r="O108" i="42"/>
  <c r="O111" i="42" s="1"/>
  <c r="O112" i="42" s="1"/>
  <c r="Q30" i="74"/>
  <c r="Q26" i="74"/>
  <c r="H33" i="64"/>
  <c r="H36" i="64" s="1"/>
  <c r="H37" i="64" s="1"/>
  <c r="E31" i="28"/>
  <c r="E36" i="28" s="1"/>
  <c r="E37" i="28" s="1"/>
  <c r="D85" i="27"/>
  <c r="D89" i="27"/>
  <c r="G27" i="88"/>
  <c r="G30" i="88" s="1"/>
  <c r="G31" i="88" s="1"/>
  <c r="I74" i="33"/>
  <c r="I77" i="33" s="1"/>
  <c r="I78" i="33" s="1"/>
  <c r="E90" i="27"/>
  <c r="E93" i="27" s="1"/>
  <c r="E94" i="27" s="1"/>
  <c r="G27" i="54"/>
  <c r="G32" i="54" s="1"/>
  <c r="G33" i="54" s="1"/>
  <c r="L32" i="66"/>
  <c r="L33" i="66" s="1"/>
  <c r="L29" i="66"/>
  <c r="I90" i="65"/>
  <c r="I93" i="65" s="1"/>
  <c r="I94" i="65" s="1"/>
  <c r="K72" i="70"/>
  <c r="K75" i="70" s="1"/>
  <c r="K76" i="70" s="1"/>
  <c r="J31" i="77"/>
  <c r="J34" i="77" s="1"/>
  <c r="J35" i="77" s="1"/>
  <c r="E32" i="82"/>
  <c r="E33" i="82" s="1"/>
  <c r="E29" i="82"/>
  <c r="I59" i="84"/>
  <c r="I62" i="84" s="1"/>
  <c r="I63" i="84" s="1"/>
  <c r="D68" i="63"/>
  <c r="D71" i="63" s="1"/>
  <c r="D72" i="63" s="1"/>
  <c r="D26" i="8"/>
  <c r="D30" i="8"/>
  <c r="N100" i="9"/>
  <c r="N103" i="9" s="1"/>
  <c r="N104" i="9" s="1"/>
  <c r="E68" i="24"/>
  <c r="E71" i="24"/>
  <c r="E72" i="24" s="1"/>
  <c r="Q67" i="59"/>
  <c r="Q70" i="59" s="1"/>
  <c r="Q71" i="59" s="1"/>
  <c r="J85" i="72"/>
  <c r="J88" i="72" s="1"/>
  <c r="J89" i="72" s="1"/>
  <c r="H31" i="74"/>
  <c r="H34" i="74" s="1"/>
  <c r="H35" i="74" s="1"/>
  <c r="J89" i="75"/>
  <c r="J92" i="75" s="1"/>
  <c r="J93" i="75" s="1"/>
  <c r="O91" i="80"/>
  <c r="O94" i="80" s="1"/>
  <c r="O95" i="80" s="1"/>
  <c r="G72" i="70"/>
  <c r="G75" i="70" s="1"/>
  <c r="G76" i="70" s="1"/>
  <c r="O90" i="27"/>
  <c r="O93" i="27" s="1"/>
  <c r="O94" i="27" s="1"/>
  <c r="E76" i="89"/>
  <c r="E79" i="89"/>
  <c r="E80" i="89" s="1"/>
  <c r="O165" i="3"/>
  <c r="O170" i="3"/>
  <c r="O171" i="3" s="1"/>
  <c r="M26" i="6"/>
  <c r="M31" i="6" s="1"/>
  <c r="M32" i="6" s="1"/>
  <c r="D31" i="38"/>
  <c r="D36" i="38" s="1"/>
  <c r="D37" i="38" s="1"/>
  <c r="F74" i="33"/>
  <c r="F77" i="33"/>
  <c r="F78" i="33" s="1"/>
  <c r="G31" i="50"/>
  <c r="G36" i="50" s="1"/>
  <c r="G37" i="50" s="1"/>
  <c r="M80" i="58"/>
  <c r="M83" i="58" s="1"/>
  <c r="M84" i="58" s="1"/>
  <c r="O79" i="56"/>
  <c r="O82" i="56" s="1"/>
  <c r="O83" i="56" s="1"/>
  <c r="D75" i="51"/>
  <c r="D79" i="51"/>
  <c r="G90" i="65"/>
  <c r="G93" i="65" s="1"/>
  <c r="G94" i="65" s="1"/>
  <c r="Q71" i="70"/>
  <c r="Q67" i="70"/>
  <c r="L29" i="82"/>
  <c r="L32" i="82" s="1"/>
  <c r="L33" i="82" s="1"/>
  <c r="I30" i="83"/>
  <c r="I33" i="83"/>
  <c r="I34" i="83" s="1"/>
  <c r="J88" i="87"/>
  <c r="J91" i="87" s="1"/>
  <c r="J92" i="87" s="1"/>
  <c r="I96" i="62"/>
  <c r="I99" i="62" s="1"/>
  <c r="I100" i="62" s="1"/>
  <c r="N98" i="79"/>
  <c r="N101" i="79" s="1"/>
  <c r="N102" i="79" s="1"/>
  <c r="G31" i="40"/>
  <c r="G36" i="40" s="1"/>
  <c r="G37" i="40" s="1"/>
  <c r="O80" i="69"/>
  <c r="O83" i="69" s="1"/>
  <c r="O84" i="69" s="1"/>
  <c r="M68" i="24"/>
  <c r="M71" i="24" s="1"/>
  <c r="M72" i="24" s="1"/>
  <c r="N100" i="45"/>
  <c r="N103" i="45" s="1"/>
  <c r="N104" i="45" s="1"/>
  <c r="H57" i="61"/>
  <c r="H60" i="61"/>
  <c r="H61" i="61" s="1"/>
  <c r="K30" i="71"/>
  <c r="K33" i="71"/>
  <c r="K34" i="71" s="1"/>
  <c r="Q22" i="79"/>
  <c r="Q92" i="79"/>
  <c r="G31" i="90"/>
  <c r="G36" i="90" s="1"/>
  <c r="G37" i="90" s="1"/>
  <c r="J27" i="54"/>
  <c r="J32" i="54" s="1"/>
  <c r="J33" i="54" s="1"/>
  <c r="J165" i="3"/>
  <c r="J170" i="3" s="1"/>
  <c r="J171" i="3" s="1"/>
  <c r="N149" i="18"/>
  <c r="N152" i="18" s="1"/>
  <c r="N153" i="18" s="1"/>
  <c r="D31" i="20"/>
  <c r="D36" i="20" s="1"/>
  <c r="D37" i="20" s="1"/>
  <c r="Q146" i="12"/>
  <c r="Q142" i="12"/>
  <c r="D31" i="40"/>
  <c r="D36" i="40" s="1"/>
  <c r="D37" i="40" s="1"/>
  <c r="I100" i="45"/>
  <c r="I103" i="45" s="1"/>
  <c r="I104" i="45" s="1"/>
  <c r="J57" i="61"/>
  <c r="J60" i="61" s="1"/>
  <c r="J61" i="61" s="1"/>
  <c r="O90" i="65"/>
  <c r="O93" i="65" s="1"/>
  <c r="O94" i="65" s="1"/>
  <c r="H80" i="69"/>
  <c r="H83" i="69" s="1"/>
  <c r="H84" i="69" s="1"/>
  <c r="N80" i="69"/>
  <c r="N83" i="69" s="1"/>
  <c r="N84" i="69" s="1"/>
  <c r="O34" i="74"/>
  <c r="O35" i="74" s="1"/>
  <c r="O31" i="74"/>
  <c r="N29" i="82"/>
  <c r="N32" i="82" s="1"/>
  <c r="N33" i="82" s="1"/>
  <c r="Q29" i="78"/>
  <c r="Q32" i="78"/>
  <c r="Q33" i="78" s="1"/>
  <c r="M33" i="83"/>
  <c r="M34" i="83" s="1"/>
  <c r="M30" i="83"/>
  <c r="I112" i="39"/>
  <c r="I115" i="39" s="1"/>
  <c r="I116" i="39" s="1"/>
  <c r="I89" i="73"/>
  <c r="I92" i="73"/>
  <c r="I93" i="73" s="1"/>
  <c r="D112" i="39"/>
  <c r="D115" i="39"/>
  <c r="D116" i="39" s="1"/>
  <c r="E75" i="51"/>
  <c r="E79" i="51"/>
  <c r="G80" i="69"/>
  <c r="G83" i="69" s="1"/>
  <c r="G84" i="69" s="1"/>
  <c r="G31" i="25"/>
  <c r="G36" i="25" s="1"/>
  <c r="G37" i="25" s="1"/>
  <c r="K118" i="36"/>
  <c r="K121" i="36" s="1"/>
  <c r="K122" i="36" s="1"/>
  <c r="F91" i="80"/>
  <c r="F94" i="80" s="1"/>
  <c r="F95" i="80" s="1"/>
  <c r="J62" i="84"/>
  <c r="J63" i="84" s="1"/>
  <c r="J59" i="84"/>
  <c r="K57" i="61"/>
  <c r="K60" i="61" s="1"/>
  <c r="K61" i="61" s="1"/>
  <c r="J100" i="9"/>
  <c r="J103" i="9" s="1"/>
  <c r="J104" i="9" s="1"/>
  <c r="Q84" i="73"/>
  <c r="Q88" i="73"/>
  <c r="O74" i="76"/>
  <c r="O77" i="76" s="1"/>
  <c r="O78" i="76" s="1"/>
  <c r="D165" i="3"/>
  <c r="D170" i="3"/>
  <c r="D171" i="3" s="1"/>
  <c r="K76" i="48"/>
  <c r="K79" i="48" s="1"/>
  <c r="K80" i="48" s="1"/>
  <c r="L90" i="65"/>
  <c r="L93" i="65" s="1"/>
  <c r="L94" i="65" s="1"/>
  <c r="G143" i="15"/>
  <c r="G146" i="15" s="1"/>
  <c r="G147" i="15" s="1"/>
  <c r="Q80" i="51"/>
  <c r="Q83" i="51" s="1"/>
  <c r="Q84" i="51" s="1"/>
  <c r="O101" i="67"/>
  <c r="O104" i="67" s="1"/>
  <c r="O105" i="67" s="1"/>
  <c r="D59" i="84"/>
  <c r="D62" i="84" s="1"/>
  <c r="D63" i="84" s="1"/>
  <c r="Q144" i="18"/>
  <c r="Q148" i="18"/>
  <c r="J80" i="69"/>
  <c r="J83" i="69"/>
  <c r="J84" i="69" s="1"/>
  <c r="D107" i="42"/>
  <c r="D103" i="42"/>
  <c r="H89" i="73"/>
  <c r="H92" i="73" s="1"/>
  <c r="H93" i="73" s="1"/>
  <c r="I95" i="86"/>
  <c r="I98" i="86" s="1"/>
  <c r="I99" i="86" s="1"/>
  <c r="K112" i="39"/>
  <c r="K115" i="39" s="1"/>
  <c r="K116" i="39" s="1"/>
  <c r="E31" i="50"/>
  <c r="E36" i="50" s="1"/>
  <c r="E37" i="50" s="1"/>
  <c r="F89" i="73"/>
  <c r="F92" i="73" s="1"/>
  <c r="F93" i="73" s="1"/>
  <c r="I91" i="80"/>
  <c r="I94" i="80" s="1"/>
  <c r="I95" i="80" s="1"/>
  <c r="D31" i="90"/>
  <c r="D36" i="90" s="1"/>
  <c r="D37" i="90" s="1"/>
  <c r="K58" i="84"/>
  <c r="K54" i="84"/>
  <c r="E30" i="52"/>
  <c r="E26" i="52"/>
  <c r="O95" i="86"/>
  <c r="O98" i="86" s="1"/>
  <c r="O99" i="86" s="1"/>
  <c r="J92" i="21"/>
  <c r="J95" i="21" s="1"/>
  <c r="J96" i="21" s="1"/>
  <c r="I62" i="60"/>
  <c r="I65" i="60" s="1"/>
  <c r="I66" i="60" s="1"/>
  <c r="G26" i="4"/>
  <c r="G30" i="4"/>
  <c r="L165" i="3"/>
  <c r="L170" i="3"/>
  <c r="L171" i="3" s="1"/>
  <c r="K80" i="51"/>
  <c r="K83" i="51" s="1"/>
  <c r="K84" i="51" s="1"/>
  <c r="O74" i="33"/>
  <c r="O77" i="33" s="1"/>
  <c r="O78" i="33" s="1"/>
  <c r="E32" i="66"/>
  <c r="E33" i="66" s="1"/>
  <c r="E29" i="66"/>
  <c r="G59" i="84"/>
  <c r="G62" i="84" s="1"/>
  <c r="G63" i="84" s="1"/>
  <c r="H76" i="89"/>
  <c r="H79" i="89"/>
  <c r="H80" i="89" s="1"/>
  <c r="J29" i="82"/>
  <c r="J32" i="82" s="1"/>
  <c r="J33" i="82" s="1"/>
  <c r="L91" i="80"/>
  <c r="L94" i="80" s="1"/>
  <c r="L95" i="80" s="1"/>
  <c r="Q67" i="63"/>
  <c r="Q63" i="63"/>
  <c r="K85" i="72"/>
  <c r="K88" i="72" s="1"/>
  <c r="K89" i="72" s="1"/>
  <c r="Q94" i="86"/>
  <c r="Q90" i="86"/>
  <c r="Q54" i="84"/>
  <c r="Q58" i="84"/>
  <c r="G100" i="9"/>
  <c r="G103" i="9"/>
  <c r="G104" i="9" s="1"/>
  <c r="O96" i="62"/>
  <c r="O99" i="62" s="1"/>
  <c r="O100" i="62" s="1"/>
  <c r="K89" i="73"/>
  <c r="K92" i="73" s="1"/>
  <c r="K93" i="73" s="1"/>
  <c r="M31" i="74"/>
  <c r="M34" i="74" s="1"/>
  <c r="M35" i="74" s="1"/>
  <c r="K165" i="3"/>
  <c r="K170" i="3"/>
  <c r="K171" i="3" s="1"/>
  <c r="G31" i="29"/>
  <c r="G36" i="29" s="1"/>
  <c r="G37" i="29" s="1"/>
  <c r="M104" i="67"/>
  <c r="M105" i="67" s="1"/>
  <c r="M101" i="67"/>
  <c r="K96" i="9"/>
  <c r="K99" i="9"/>
  <c r="I147" i="12"/>
  <c r="I150" i="12" s="1"/>
  <c r="I151" i="12" s="1"/>
  <c r="D31" i="31"/>
  <c r="D36" i="31" s="1"/>
  <c r="D37" i="31" s="1"/>
  <c r="M75" i="51"/>
  <c r="M79" i="51"/>
  <c r="G79" i="56"/>
  <c r="G82" i="56" s="1"/>
  <c r="G83" i="56" s="1"/>
  <c r="M29" i="78"/>
  <c r="M32" i="78"/>
  <c r="M33" i="78" s="1"/>
  <c r="M27" i="54"/>
  <c r="M32" i="54"/>
  <c r="M33" i="54" s="1"/>
  <c r="F88" i="87"/>
  <c r="F91" i="87" s="1"/>
  <c r="F92" i="87" s="1"/>
  <c r="K27" i="54"/>
  <c r="K32" i="54" s="1"/>
  <c r="K33" i="54" s="1"/>
  <c r="H112" i="39"/>
  <c r="H115" i="39" s="1"/>
  <c r="H116" i="39" s="1"/>
  <c r="G76" i="48"/>
  <c r="G79" i="48" s="1"/>
  <c r="G80" i="48" s="1"/>
  <c r="F68" i="63"/>
  <c r="F71" i="63" s="1"/>
  <c r="F72" i="63" s="1"/>
  <c r="D89" i="65"/>
  <c r="D85" i="65"/>
  <c r="H101" i="67"/>
  <c r="H104" i="67" s="1"/>
  <c r="H105" i="67" s="1"/>
  <c r="E67" i="70"/>
  <c r="E71" i="70"/>
  <c r="I88" i="87"/>
  <c r="I91" i="87" s="1"/>
  <c r="I92" i="87" s="1"/>
  <c r="K95" i="86"/>
  <c r="K98" i="86" s="1"/>
  <c r="K99" i="86" s="1"/>
  <c r="I72" i="70"/>
  <c r="I75" i="70" s="1"/>
  <c r="I76" i="70" s="1"/>
  <c r="N95" i="86"/>
  <c r="N98" i="86" s="1"/>
  <c r="N99" i="86" s="1"/>
  <c r="M70" i="57"/>
  <c r="M73" i="57" s="1"/>
  <c r="M74" i="57" s="1"/>
  <c r="Q96" i="9"/>
  <c r="Q99" i="9"/>
  <c r="D31" i="25"/>
  <c r="D36" i="25" s="1"/>
  <c r="D37" i="25" s="1"/>
  <c r="D31" i="47"/>
  <c r="D36" i="47" s="1"/>
  <c r="D37" i="47" s="1"/>
  <c r="O57" i="61"/>
  <c r="O60" i="61" s="1"/>
  <c r="O61" i="61" s="1"/>
  <c r="N96" i="67"/>
  <c r="N100" i="67"/>
  <c r="K31" i="77"/>
  <c r="K34" i="77" s="1"/>
  <c r="K35" i="77" s="1"/>
  <c r="O29" i="78"/>
  <c r="O32" i="78" s="1"/>
  <c r="O33" i="78" s="1"/>
  <c r="L90" i="86"/>
  <c r="L94" i="86"/>
  <c r="K51" i="81"/>
  <c r="K54" i="81" s="1"/>
  <c r="K55" i="81" s="1"/>
  <c r="I90" i="27"/>
  <c r="I93" i="27"/>
  <c r="I94" i="27" s="1"/>
  <c r="I114" i="30"/>
  <c r="I117" i="30"/>
  <c r="I118" i="30" s="1"/>
  <c r="E92" i="21"/>
  <c r="E95" i="21" s="1"/>
  <c r="E96" i="21" s="1"/>
  <c r="D31" i="23"/>
  <c r="D36" i="23" s="1"/>
  <c r="D37" i="23" s="1"/>
  <c r="G31" i="43"/>
  <c r="G36" i="43" s="1"/>
  <c r="G37" i="43" s="1"/>
  <c r="O76" i="48"/>
  <c r="O79" i="48" s="1"/>
  <c r="O80" i="48" s="1"/>
  <c r="J67" i="59"/>
  <c r="J70" i="59" s="1"/>
  <c r="J71" i="59" s="1"/>
  <c r="G34" i="74"/>
  <c r="G35" i="74" s="1"/>
  <c r="G31" i="74"/>
  <c r="D101" i="67"/>
  <c r="D104" i="67" s="1"/>
  <c r="D105" i="67" s="1"/>
  <c r="O59" i="84"/>
  <c r="O62" i="84"/>
  <c r="O63" i="84" s="1"/>
  <c r="F30" i="88"/>
  <c r="F31" i="88" s="1"/>
  <c r="F27" i="88"/>
  <c r="H30" i="71"/>
  <c r="H33" i="71" s="1"/>
  <c r="H34" i="71" s="1"/>
  <c r="N74" i="33"/>
  <c r="N77" i="33"/>
  <c r="N78" i="33" s="1"/>
  <c r="J76" i="48"/>
  <c r="J79" i="48" s="1"/>
  <c r="J80" i="48" s="1"/>
  <c r="G31" i="53"/>
  <c r="G36" i="53" s="1"/>
  <c r="G37" i="53" s="1"/>
  <c r="D79" i="56"/>
  <c r="D82" i="56" s="1"/>
  <c r="D83" i="56" s="1"/>
  <c r="F70" i="57"/>
  <c r="F73" i="57" s="1"/>
  <c r="F74" i="57" s="1"/>
  <c r="F74" i="76"/>
  <c r="F77" i="76" s="1"/>
  <c r="F78" i="76" s="1"/>
  <c r="F100" i="9"/>
  <c r="F103" i="9" s="1"/>
  <c r="F104" i="9" s="1"/>
  <c r="D26" i="16"/>
  <c r="D30" i="16"/>
  <c r="E31" i="25"/>
  <c r="E36" i="25" s="1"/>
  <c r="E37" i="25" s="1"/>
  <c r="O100" i="45"/>
  <c r="O103" i="45" s="1"/>
  <c r="O104" i="45" s="1"/>
  <c r="N80" i="51"/>
  <c r="N83" i="51" s="1"/>
  <c r="N84" i="51" s="1"/>
  <c r="I76" i="48"/>
  <c r="I79" i="48" s="1"/>
  <c r="I80" i="48" s="1"/>
  <c r="N29" i="78"/>
  <c r="N32" i="78"/>
  <c r="N33" i="78" s="1"/>
  <c r="I26" i="6"/>
  <c r="I31" i="6" s="1"/>
  <c r="I32" i="6" s="1"/>
  <c r="E31" i="32"/>
  <c r="E36" i="32" s="1"/>
  <c r="E37" i="32" s="1"/>
  <c r="G31" i="31"/>
  <c r="G36" i="31" s="1"/>
  <c r="G37" i="31" s="1"/>
  <c r="G118" i="36"/>
  <c r="G121" i="36"/>
  <c r="G122" i="36" s="1"/>
  <c r="Q62" i="60"/>
  <c r="Q65" i="60" s="1"/>
  <c r="Q66" i="60" s="1"/>
  <c r="F75" i="70"/>
  <c r="F76" i="70" s="1"/>
  <c r="F72" i="70"/>
  <c r="I89" i="75"/>
  <c r="I92" i="75"/>
  <c r="I93" i="75" s="1"/>
  <c r="E98" i="79"/>
  <c r="E101" i="79"/>
  <c r="E102" i="79" s="1"/>
  <c r="G31" i="6"/>
  <c r="G32" i="6" s="1"/>
  <c r="G26" i="6"/>
  <c r="Q68" i="24"/>
  <c r="Q71" i="24" s="1"/>
  <c r="Q72" i="24" s="1"/>
  <c r="D31" i="28"/>
  <c r="D36" i="28" s="1"/>
  <c r="D37" i="28" s="1"/>
  <c r="G31" i="41"/>
  <c r="G36" i="41" s="1"/>
  <c r="G37" i="41" s="1"/>
  <c r="D31" i="91"/>
  <c r="D36" i="91" s="1"/>
  <c r="D37" i="91" s="1"/>
  <c r="Q29" i="66"/>
  <c r="Q32" i="66" s="1"/>
  <c r="Q33" i="66" s="1"/>
  <c r="Q76" i="48"/>
  <c r="Q79" i="48" s="1"/>
  <c r="Q80" i="48" s="1"/>
  <c r="Q80" i="58"/>
  <c r="Q83" i="58" s="1"/>
  <c r="Q84" i="58" s="1"/>
  <c r="O89" i="73"/>
  <c r="O92" i="73" s="1"/>
  <c r="O93" i="73" s="1"/>
  <c r="H98" i="79"/>
  <c r="H101" i="79" s="1"/>
  <c r="H102" i="79" s="1"/>
  <c r="D31" i="35"/>
  <c r="D36" i="35" s="1"/>
  <c r="D37" i="35" s="1"/>
  <c r="K68" i="63"/>
  <c r="K71" i="63" s="1"/>
  <c r="K72" i="63" s="1"/>
  <c r="M74" i="68"/>
  <c r="M77" i="68" s="1"/>
  <c r="M78" i="68" s="1"/>
  <c r="E80" i="58"/>
  <c r="E83" i="58" s="1"/>
  <c r="E84" i="58" s="1"/>
  <c r="J36" i="55"/>
  <c r="J39" i="55"/>
  <c r="J40" i="55" s="1"/>
  <c r="D85" i="72"/>
  <c r="D88" i="72" s="1"/>
  <c r="D89" i="72" s="1"/>
  <c r="G31" i="8"/>
  <c r="G36" i="8" s="1"/>
  <c r="G37" i="8" s="1"/>
  <c r="O51" i="81"/>
  <c r="O54" i="81" s="1"/>
  <c r="O55" i="81" s="1"/>
  <c r="N108" i="42"/>
  <c r="N111" i="42" s="1"/>
  <c r="N112" i="42" s="1"/>
  <c r="G31" i="5"/>
  <c r="G36" i="5" s="1"/>
  <c r="G37" i="5" s="1"/>
  <c r="E31" i="34"/>
  <c r="E36" i="34" s="1"/>
  <c r="E37" i="34" s="1"/>
  <c r="D31" i="74"/>
  <c r="D34" i="74" s="1"/>
  <c r="D35" i="74" s="1"/>
  <c r="F30" i="71"/>
  <c r="F33" i="71" s="1"/>
  <c r="F34" i="71" s="1"/>
  <c r="G51" i="81"/>
  <c r="G54" i="81" s="1"/>
  <c r="G55" i="81" s="1"/>
  <c r="J92" i="85"/>
  <c r="J93" i="85" s="1"/>
  <c r="J89" i="85"/>
  <c r="D100" i="9"/>
  <c r="D103" i="9" s="1"/>
  <c r="D104" i="9" s="1"/>
  <c r="O143" i="15"/>
  <c r="O146" i="15"/>
  <c r="O147" i="15" s="1"/>
  <c r="L108" i="42"/>
  <c r="L111" i="42" s="1"/>
  <c r="L112" i="42" s="1"/>
  <c r="D60" i="61"/>
  <c r="D61" i="61" s="1"/>
  <c r="D57" i="61"/>
  <c r="J101" i="67"/>
  <c r="J104" i="67" s="1"/>
  <c r="J105" i="67" s="1"/>
  <c r="F51" i="81"/>
  <c r="F54" i="81"/>
  <c r="F55" i="81" s="1"/>
  <c r="K111" i="42"/>
  <c r="K112" i="42" s="1"/>
  <c r="K108" i="42"/>
  <c r="L91" i="62"/>
  <c r="L95" i="62"/>
  <c r="E30" i="83"/>
  <c r="E33" i="83" s="1"/>
  <c r="E34" i="83" s="1"/>
  <c r="E95" i="86"/>
  <c r="E98" i="86" s="1"/>
  <c r="E99" i="86" s="1"/>
  <c r="K70" i="57"/>
  <c r="K73" i="57" s="1"/>
  <c r="K74" i="57" s="1"/>
  <c r="L92" i="73"/>
  <c r="L93" i="73" s="1"/>
  <c r="L89" i="73"/>
  <c r="K25" i="83"/>
  <c r="K29" i="83"/>
  <c r="D142" i="12"/>
  <c r="D146" i="12"/>
  <c r="K79" i="56"/>
  <c r="K82" i="56" s="1"/>
  <c r="K83" i="56" s="1"/>
  <c r="E27" i="54"/>
  <c r="E32" i="54" s="1"/>
  <c r="E33" i="54" s="1"/>
  <c r="N68" i="63"/>
  <c r="N71" i="63" s="1"/>
  <c r="N72" i="63" s="1"/>
  <c r="N30" i="74"/>
  <c r="N26" i="74"/>
  <c r="N51" i="81"/>
  <c r="N54" i="81" s="1"/>
  <c r="N55" i="81" s="1"/>
  <c r="F26" i="6"/>
  <c r="F31" i="6" s="1"/>
  <c r="F32" i="6" s="1"/>
  <c r="L85" i="27"/>
  <c r="L89" i="27"/>
  <c r="M62" i="60"/>
  <c r="M65" i="60" s="1"/>
  <c r="M66" i="60" s="1"/>
  <c r="K32" i="78"/>
  <c r="K33" i="78" s="1"/>
  <c r="K29" i="78"/>
  <c r="G94" i="80"/>
  <c r="G95" i="80" s="1"/>
  <c r="G91" i="80"/>
  <c r="H76" i="48"/>
  <c r="H79" i="48" s="1"/>
  <c r="H80" i="48" s="1"/>
  <c r="F143" i="15"/>
  <c r="F146" i="15" s="1"/>
  <c r="F147" i="15" s="1"/>
  <c r="M92" i="21"/>
  <c r="M95" i="21" s="1"/>
  <c r="M96" i="21" s="1"/>
  <c r="L80" i="51"/>
  <c r="L83" i="51" s="1"/>
  <c r="L84" i="51" s="1"/>
  <c r="G89" i="73"/>
  <c r="G92" i="73"/>
  <c r="G93" i="73" s="1"/>
  <c r="D31" i="77"/>
  <c r="D34" i="77" s="1"/>
  <c r="D35" i="77" s="1"/>
  <c r="E59" i="84"/>
  <c r="E62" i="84" s="1"/>
  <c r="E63" i="84" s="1"/>
  <c r="O118" i="36"/>
  <c r="O121" i="36" s="1"/>
  <c r="O122" i="36" s="1"/>
  <c r="F85" i="72"/>
  <c r="F88" i="72" s="1"/>
  <c r="F89" i="72" s="1"/>
  <c r="N91" i="80"/>
  <c r="N94" i="80"/>
  <c r="N95" i="80" s="1"/>
  <c r="N147" i="12"/>
  <c r="N150" i="12" s="1"/>
  <c r="N151" i="12" s="1"/>
  <c r="L22" i="6"/>
  <c r="L25" i="6"/>
  <c r="D31" i="49"/>
  <c r="D36" i="49" s="1"/>
  <c r="D37" i="49" s="1"/>
  <c r="D31" i="37"/>
  <c r="D36" i="37" s="1"/>
  <c r="D37" i="37" s="1"/>
  <c r="N70" i="57"/>
  <c r="N73" i="57" s="1"/>
  <c r="N74" i="57" s="1"/>
  <c r="G33" i="64"/>
  <c r="G36" i="64" s="1"/>
  <c r="G37" i="64" s="1"/>
  <c r="E31" i="90"/>
  <c r="E36" i="90" s="1"/>
  <c r="E37" i="90" s="1"/>
  <c r="E26" i="5"/>
  <c r="E30" i="5"/>
  <c r="N118" i="36"/>
  <c r="N121" i="36" s="1"/>
  <c r="N122" i="36" s="1"/>
  <c r="O85" i="72"/>
  <c r="O88" i="72" s="1"/>
  <c r="O89" i="72" s="1"/>
  <c r="Q31" i="77"/>
  <c r="Q34" i="77" s="1"/>
  <c r="Q35" i="77" s="1"/>
  <c r="D29" i="78"/>
  <c r="D32" i="78"/>
  <c r="D33" i="78" s="1"/>
  <c r="L152" i="18"/>
  <c r="L153" i="18" s="1"/>
  <c r="L149" i="18"/>
  <c r="F100" i="45"/>
  <c r="F103" i="45" s="1"/>
  <c r="F104" i="45" s="1"/>
  <c r="N88" i="87"/>
  <c r="N91" i="87"/>
  <c r="N92" i="87" s="1"/>
  <c r="J149" i="18"/>
  <c r="J152" i="18"/>
  <c r="J153" i="18" s="1"/>
  <c r="Q57" i="61"/>
  <c r="Q60" i="61" s="1"/>
  <c r="Q61" i="61" s="1"/>
  <c r="Q73" i="68"/>
  <c r="Q69" i="68"/>
  <c r="L98" i="79"/>
  <c r="L101" i="79"/>
  <c r="L102" i="79" s="1"/>
  <c r="I92" i="21"/>
  <c r="I95" i="21" s="1"/>
  <c r="I96" i="21" s="1"/>
  <c r="G76" i="89"/>
  <c r="G79" i="89" s="1"/>
  <c r="G80" i="89" s="1"/>
  <c r="G74" i="68"/>
  <c r="G77" i="68" s="1"/>
  <c r="G78" i="68" s="1"/>
  <c r="D67" i="59"/>
  <c r="D70" i="59" s="1"/>
  <c r="D71" i="59" s="1"/>
  <c r="O74" i="68"/>
  <c r="O77" i="68" s="1"/>
  <c r="O78" i="68" s="1"/>
  <c r="O68" i="24"/>
  <c r="O71" i="24" s="1"/>
  <c r="O72" i="24" s="1"/>
  <c r="D97" i="79"/>
  <c r="D93" i="79"/>
  <c r="F31" i="77"/>
  <c r="F34" i="77" s="1"/>
  <c r="F35" i="77" s="1"/>
  <c r="F95" i="86"/>
  <c r="F98" i="86" s="1"/>
  <c r="F99" i="86" s="1"/>
  <c r="G150" i="12"/>
  <c r="G151" i="12" s="1"/>
  <c r="G147" i="12"/>
  <c r="G57" i="61"/>
  <c r="G60" i="61" s="1"/>
  <c r="G61" i="61" s="1"/>
  <c r="M96" i="62"/>
  <c r="M99" i="62" s="1"/>
  <c r="M100" i="62" s="1"/>
  <c r="I29" i="66"/>
  <c r="I32" i="66"/>
  <c r="I33" i="66" s="1"/>
  <c r="J74" i="68"/>
  <c r="J77" i="68" s="1"/>
  <c r="J78" i="68" s="1"/>
  <c r="K77" i="76"/>
  <c r="K78" i="76" s="1"/>
  <c r="K74" i="76"/>
  <c r="M98" i="79"/>
  <c r="M101" i="79"/>
  <c r="M102" i="79" s="1"/>
  <c r="M112" i="39"/>
  <c r="M115" i="39"/>
  <c r="M116" i="39" s="1"/>
  <c r="E101" i="67"/>
  <c r="E104" i="67" s="1"/>
  <c r="E105" i="67" s="1"/>
  <c r="D75" i="89"/>
  <c r="D71" i="89"/>
  <c r="N68" i="24"/>
  <c r="N71" i="24"/>
  <c r="N72" i="24" s="1"/>
  <c r="L71" i="63"/>
  <c r="L72" i="63" s="1"/>
  <c r="L68" i="63"/>
  <c r="N33" i="71"/>
  <c r="N34" i="71" s="1"/>
  <c r="N30" i="71"/>
  <c r="L29" i="78"/>
  <c r="L32" i="78" s="1"/>
  <c r="L33" i="78" s="1"/>
  <c r="M29" i="82"/>
  <c r="M32" i="82" s="1"/>
  <c r="M33" i="82" s="1"/>
  <c r="K98" i="79"/>
  <c r="K101" i="79" s="1"/>
  <c r="K102" i="79" s="1"/>
  <c r="O147" i="12"/>
  <c r="O150" i="12" s="1"/>
  <c r="O151" i="12" s="1"/>
  <c r="K143" i="15"/>
  <c r="K146" i="15"/>
  <c r="K147" i="15" s="1"/>
  <c r="I149" i="18"/>
  <c r="I152" i="18" s="1"/>
  <c r="I153" i="18" s="1"/>
  <c r="D114" i="30"/>
  <c r="D117" i="30" s="1"/>
  <c r="D118" i="30" s="1"/>
  <c r="L70" i="59"/>
  <c r="L71" i="59" s="1"/>
  <c r="L67" i="59"/>
  <c r="I101" i="67"/>
  <c r="I104" i="67" s="1"/>
  <c r="I105" i="67" s="1"/>
  <c r="O72" i="70"/>
  <c r="O75" i="70" s="1"/>
  <c r="O76" i="70" s="1"/>
  <c r="N89" i="73"/>
  <c r="N92" i="73" s="1"/>
  <c r="N93" i="73" s="1"/>
  <c r="E51" i="81"/>
  <c r="E54" i="81" s="1"/>
  <c r="E55" i="81" s="1"/>
  <c r="D26" i="14"/>
  <c r="D30" i="14"/>
  <c r="G31" i="28"/>
  <c r="G36" i="28" s="1"/>
  <c r="G37" i="28" s="1"/>
  <c r="I27" i="54"/>
  <c r="I32" i="54" s="1"/>
  <c r="I33" i="54" s="1"/>
  <c r="M60" i="61"/>
  <c r="M61" i="61" s="1"/>
  <c r="M57" i="61"/>
  <c r="E74" i="76"/>
  <c r="E77" i="76"/>
  <c r="E78" i="76" s="1"/>
  <c r="G31" i="13"/>
  <c r="G36" i="13" s="1"/>
  <c r="G37" i="13" s="1"/>
  <c r="I143" i="15"/>
  <c r="I146" i="15" s="1"/>
  <c r="I147" i="15" s="1"/>
  <c r="O114" i="30"/>
  <c r="O117" i="30" s="1"/>
  <c r="O118" i="30" s="1"/>
  <c r="K92" i="21"/>
  <c r="K95" i="21"/>
  <c r="K96" i="21" s="1"/>
  <c r="D30" i="53"/>
  <c r="D26" i="53"/>
  <c r="G68" i="63"/>
  <c r="G71" i="63" s="1"/>
  <c r="G72" i="63" s="1"/>
  <c r="F96" i="67"/>
  <c r="F100" i="67"/>
  <c r="K31" i="74"/>
  <c r="K34" i="74"/>
  <c r="K35" i="74" s="1"/>
  <c r="K89" i="85"/>
  <c r="K92" i="85" s="1"/>
  <c r="K93" i="85" s="1"/>
  <c r="N89" i="85"/>
  <c r="N92" i="85" s="1"/>
  <c r="N93" i="85" s="1"/>
  <c r="I82" i="56"/>
  <c r="I83" i="56" s="1"/>
  <c r="I79" i="56"/>
  <c r="K76" i="89"/>
  <c r="K79" i="89" s="1"/>
  <c r="K80" i="89" s="1"/>
  <c r="D31" i="29"/>
  <c r="D36" i="29" s="1"/>
  <c r="D37" i="29" s="1"/>
  <c r="E36" i="64"/>
  <c r="E37" i="64" s="1"/>
  <c r="E33" i="64"/>
  <c r="F59" i="84"/>
  <c r="F62" i="84" s="1"/>
  <c r="F63" i="84" s="1"/>
  <c r="E149" i="18"/>
  <c r="E152" i="18"/>
  <c r="E153" i="18" s="1"/>
  <c r="D31" i="50"/>
  <c r="D36" i="50" s="1"/>
  <c r="D37" i="50" s="1"/>
  <c r="N29" i="66"/>
  <c r="N32" i="66" s="1"/>
  <c r="N33" i="66" s="1"/>
  <c r="D75" i="69"/>
  <c r="D79" i="69"/>
  <c r="F29" i="82"/>
  <c r="F32" i="82" s="1"/>
  <c r="F33" i="82" s="1"/>
  <c r="N30" i="83"/>
  <c r="N33" i="83"/>
  <c r="N34" i="83" s="1"/>
  <c r="D62" i="60"/>
  <c r="D65" i="60" s="1"/>
  <c r="D66" i="60" s="1"/>
  <c r="D84" i="73"/>
  <c r="D88" i="73"/>
  <c r="O149" i="18"/>
  <c r="O152" i="18"/>
  <c r="O153" i="18" s="1"/>
  <c r="F108" i="42"/>
  <c r="F111" i="42" s="1"/>
  <c r="F112" i="42" s="1"/>
  <c r="I70" i="57"/>
  <c r="I73" i="57" s="1"/>
  <c r="I74" i="57" s="1"/>
  <c r="M70" i="59"/>
  <c r="M71" i="59" s="1"/>
  <c r="M67" i="59"/>
  <c r="L57" i="61"/>
  <c r="L60" i="61" s="1"/>
  <c r="L61" i="61" s="1"/>
  <c r="F90" i="65"/>
  <c r="F93" i="65"/>
  <c r="F94" i="65" s="1"/>
  <c r="Q100" i="67"/>
  <c r="Q96" i="67"/>
  <c r="Q30" i="83"/>
  <c r="Q33" i="83" s="1"/>
  <c r="Q34" i="83" s="1"/>
  <c r="G95" i="86"/>
  <c r="G98" i="86" s="1"/>
  <c r="G99" i="86" s="1"/>
  <c r="G31" i="92"/>
  <c r="G36" i="92" s="1"/>
  <c r="G37" i="92" s="1"/>
  <c r="O66" i="59"/>
  <c r="O62" i="59"/>
  <c r="M114" i="30"/>
  <c r="M117" i="30" s="1"/>
  <c r="M118" i="30" s="1"/>
  <c r="E29" i="78"/>
  <c r="E32" i="78"/>
  <c r="E33" i="78" s="1"/>
  <c r="L74" i="33"/>
  <c r="L77" i="33"/>
  <c r="L78" i="33" s="1"/>
  <c r="F76" i="48"/>
  <c r="F79" i="48" s="1"/>
  <c r="F80" i="48" s="1"/>
  <c r="G66" i="59"/>
  <c r="G62" i="59"/>
  <c r="D91" i="62"/>
  <c r="D95" i="62"/>
  <c r="H74" i="68"/>
  <c r="H77" i="68"/>
  <c r="H78" i="68" s="1"/>
  <c r="H89" i="75"/>
  <c r="H92" i="75" s="1"/>
  <c r="H93" i="75" s="1"/>
  <c r="H95" i="86"/>
  <c r="H98" i="86" s="1"/>
  <c r="H99" i="86" s="1"/>
  <c r="M108" i="42"/>
  <c r="M111" i="42" s="1"/>
  <c r="M112" i="42" s="1"/>
  <c r="I57" i="61"/>
  <c r="I60" i="61" s="1"/>
  <c r="I61" i="61" s="1"/>
  <c r="G85" i="72"/>
  <c r="G88" i="72" s="1"/>
  <c r="G89" i="72" s="1"/>
  <c r="E26" i="7"/>
  <c r="E30" i="7"/>
  <c r="D22" i="6"/>
  <c r="D25" i="6"/>
  <c r="E114" i="30"/>
  <c r="E117" i="30"/>
  <c r="E118" i="30" s="1"/>
  <c r="I33" i="64"/>
  <c r="I36" i="64" s="1"/>
  <c r="I37" i="64" s="1"/>
  <c r="N112" i="39"/>
  <c r="N115" i="39" s="1"/>
  <c r="N116" i="39" s="1"/>
  <c r="O80" i="58"/>
  <c r="O83" i="58" s="1"/>
  <c r="O84" i="58" s="1"/>
  <c r="E96" i="62"/>
  <c r="E99" i="62" s="1"/>
  <c r="E100" i="62" s="1"/>
  <c r="F99" i="62"/>
  <c r="F100" i="62" s="1"/>
  <c r="F96" i="62"/>
  <c r="M25" i="71"/>
  <c r="M29" i="71"/>
  <c r="E89" i="75"/>
  <c r="E92" i="75" s="1"/>
  <c r="E93" i="75" s="1"/>
  <c r="J95" i="86"/>
  <c r="J98" i="86"/>
  <c r="J99" i="86" s="1"/>
  <c r="L88" i="87"/>
  <c r="L91" i="87" s="1"/>
  <c r="L92" i="87" s="1"/>
  <c r="M147" i="12"/>
  <c r="M150" i="12" s="1"/>
  <c r="M151" i="12" s="1"/>
  <c r="D149" i="18"/>
  <c r="D152" i="18" s="1"/>
  <c r="D153" i="18" s="1"/>
  <c r="E31" i="14"/>
  <c r="E36" i="14" s="1"/>
  <c r="E37" i="14" s="1"/>
  <c r="O100" i="9"/>
  <c r="O103" i="9" s="1"/>
  <c r="O104" i="9" s="1"/>
  <c r="L103" i="45"/>
  <c r="L104" i="45" s="1"/>
  <c r="L100" i="45"/>
  <c r="Q74" i="76"/>
  <c r="Q77" i="76" s="1"/>
  <c r="Q78" i="76" s="1"/>
  <c r="J108" i="42"/>
  <c r="J111" i="42" s="1"/>
  <c r="J112" i="42" s="1"/>
  <c r="Q94" i="80"/>
  <c r="Q95" i="80" s="1"/>
  <c r="Q91" i="80"/>
  <c r="Q36" i="55"/>
  <c r="Q39" i="55" s="1"/>
  <c r="Q40" i="55" s="1"/>
  <c r="E165" i="3"/>
  <c r="E170" i="3"/>
  <c r="E171" i="3" s="1"/>
  <c r="H74" i="33"/>
  <c r="H77" i="33"/>
  <c r="H78" i="33" s="1"/>
  <c r="N59" i="84"/>
  <c r="N62" i="84" s="1"/>
  <c r="N63" i="84" s="1"/>
  <c r="K74" i="68"/>
  <c r="K77" i="68" s="1"/>
  <c r="K78" i="68" s="1"/>
  <c r="F118" i="36"/>
  <c r="F121" i="36"/>
  <c r="F122" i="36" s="1"/>
  <c r="M59" i="84"/>
  <c r="M62" i="84"/>
  <c r="M63" i="84" s="1"/>
  <c r="I89" i="85"/>
  <c r="I92" i="85" s="1"/>
  <c r="I93" i="85" s="1"/>
  <c r="M76" i="48"/>
  <c r="M79" i="48" s="1"/>
  <c r="M80" i="48" s="1"/>
  <c r="H67" i="59"/>
  <c r="H70" i="59"/>
  <c r="H71" i="59" s="1"/>
  <c r="E31" i="46"/>
  <c r="E36" i="46" s="1"/>
  <c r="E37" i="46" s="1"/>
  <c r="H118" i="36"/>
  <c r="H121" i="36" s="1"/>
  <c r="H122" i="36" s="1"/>
  <c r="D80" i="58"/>
  <c r="D83" i="58" s="1"/>
  <c r="D84" i="58" s="1"/>
  <c r="I80" i="51"/>
  <c r="I83" i="51"/>
  <c r="I84" i="51" s="1"/>
  <c r="E90" i="65"/>
  <c r="E93" i="65" s="1"/>
  <c r="E94" i="65" s="1"/>
  <c r="L101" i="67"/>
  <c r="L104" i="67" s="1"/>
  <c r="L105" i="67" s="1"/>
  <c r="L34" i="74"/>
  <c r="L35" i="74" s="1"/>
  <c r="L31" i="74"/>
  <c r="H74" i="76"/>
  <c r="H77" i="76"/>
  <c r="H78" i="76" s="1"/>
  <c r="Q46" i="81"/>
  <c r="Q50" i="81"/>
  <c r="F29" i="78"/>
  <c r="F32" i="78" s="1"/>
  <c r="F33" i="78" s="1"/>
  <c r="N165" i="3"/>
  <c r="N170" i="3" s="1"/>
  <c r="N171" i="3" s="1"/>
  <c r="J143" i="15"/>
  <c r="J146" i="15"/>
  <c r="J147" i="15" s="1"/>
  <c r="M90" i="27"/>
  <c r="M93" i="27" s="1"/>
  <c r="M94" i="27" s="1"/>
  <c r="I121" i="36"/>
  <c r="I122" i="36" s="1"/>
  <c r="I118" i="36"/>
  <c r="E36" i="55"/>
  <c r="E39" i="55" s="1"/>
  <c r="E40" i="55" s="1"/>
  <c r="G31" i="49"/>
  <c r="G36" i="49" s="1"/>
  <c r="G37" i="49" s="1"/>
  <c r="H71" i="70"/>
  <c r="H67" i="70"/>
  <c r="G74" i="76"/>
  <c r="G77" i="76" s="1"/>
  <c r="G78" i="76" s="1"/>
  <c r="D30" i="71"/>
  <c r="D33" i="71" s="1"/>
  <c r="D34" i="71" s="1"/>
  <c r="G74" i="33"/>
  <c r="G77" i="33" s="1"/>
  <c r="G78" i="33" s="1"/>
  <c r="K89" i="75"/>
  <c r="K92" i="75" s="1"/>
  <c r="K93" i="75" s="1"/>
  <c r="D22" i="88"/>
  <c r="D26" i="88"/>
  <c r="M74" i="33"/>
  <c r="M77" i="33" s="1"/>
  <c r="M78" i="33" s="1"/>
  <c r="O68" i="63"/>
  <c r="O71" i="63" s="1"/>
  <c r="O72" i="63" s="1"/>
  <c r="E31" i="77"/>
  <c r="E34" i="77" s="1"/>
  <c r="E35" i="77" s="1"/>
  <c r="H29" i="78"/>
  <c r="H32" i="78" s="1"/>
  <c r="H33" i="78" s="1"/>
  <c r="L28" i="64"/>
  <c r="L32" i="64"/>
  <c r="G31" i="7"/>
  <c r="G36" i="7" s="1"/>
  <c r="G37" i="7" s="1"/>
  <c r="N26" i="6"/>
  <c r="N31" i="6"/>
  <c r="N32" i="6" s="1"/>
  <c r="Q69" i="57"/>
  <c r="Q65" i="57"/>
  <c r="L117" i="30"/>
  <c r="L118" i="30" s="1"/>
  <c r="L114" i="30"/>
  <c r="D31" i="44"/>
  <c r="D36" i="44" s="1"/>
  <c r="D37" i="44" s="1"/>
  <c r="E31" i="43"/>
  <c r="E36" i="43" s="1"/>
  <c r="E37" i="43" s="1"/>
  <c r="N36" i="55"/>
  <c r="N39" i="55" s="1"/>
  <c r="N40" i="55" s="1"/>
  <c r="N83" i="58"/>
  <c r="N84" i="58" s="1"/>
  <c r="N80" i="58"/>
  <c r="H29" i="66"/>
  <c r="H32" i="66"/>
  <c r="H33" i="66" s="1"/>
  <c r="J29" i="66"/>
  <c r="J32" i="66"/>
  <c r="J33" i="66" s="1"/>
  <c r="J30" i="71"/>
  <c r="J33" i="71" s="1"/>
  <c r="J34" i="71" s="1"/>
  <c r="D72" i="70"/>
  <c r="D75" i="70" s="1"/>
  <c r="D76" i="70" s="1"/>
  <c r="F89" i="85"/>
  <c r="F92" i="85" s="1"/>
  <c r="F93" i="85" s="1"/>
  <c r="I29" i="82"/>
  <c r="I32" i="82" s="1"/>
  <c r="I33" i="82" s="1"/>
  <c r="J30" i="83"/>
  <c r="J33" i="83" s="1"/>
  <c r="J34" i="83" s="1"/>
  <c r="E31" i="23"/>
  <c r="E36" i="23" s="1"/>
  <c r="E37" i="23" s="1"/>
  <c r="E85" i="72"/>
  <c r="E88" i="72" s="1"/>
  <c r="E89" i="72" s="1"/>
  <c r="E31" i="74"/>
  <c r="E34" i="74" s="1"/>
  <c r="E35" i="74" s="1"/>
  <c r="E100" i="45"/>
  <c r="E103" i="45" s="1"/>
  <c r="E104" i="45" s="1"/>
  <c r="H79" i="56"/>
  <c r="H82" i="56" s="1"/>
  <c r="H83" i="56" s="1"/>
  <c r="L30" i="71"/>
  <c r="L33" i="71"/>
  <c r="L34" i="71" s="1"/>
  <c r="J147" i="12"/>
  <c r="J150" i="12"/>
  <c r="J151" i="12" s="1"/>
  <c r="M143" i="15"/>
  <c r="M146" i="15" s="1"/>
  <c r="M147" i="15" s="1"/>
  <c r="I68" i="24"/>
  <c r="I71" i="24" s="1"/>
  <c r="I72" i="24" s="1"/>
  <c r="Q100" i="45"/>
  <c r="Q103" i="45" s="1"/>
  <c r="Q104" i="45" s="1"/>
  <c r="F80" i="69"/>
  <c r="F83" i="69"/>
  <c r="F84" i="69" s="1"/>
  <c r="M34" i="77"/>
  <c r="M35" i="77" s="1"/>
  <c r="M31" i="77"/>
  <c r="J90" i="27"/>
  <c r="J93" i="27" s="1"/>
  <c r="J94" i="27" s="1"/>
  <c r="L89" i="75"/>
  <c r="L92" i="75" s="1"/>
  <c r="L93" i="75" s="1"/>
  <c r="H91" i="80"/>
  <c r="H94" i="80" s="1"/>
  <c r="H95" i="80" s="1"/>
  <c r="D118" i="36"/>
  <c r="D121" i="36" s="1"/>
  <c r="D122" i="36" s="1"/>
  <c r="N76" i="48"/>
  <c r="N79" i="48" s="1"/>
  <c r="N80" i="48" s="1"/>
  <c r="F27" i="54"/>
  <c r="F32" i="54"/>
  <c r="F33" i="54" s="1"/>
  <c r="L79" i="56"/>
  <c r="L82" i="56"/>
  <c r="L83" i="56" s="1"/>
  <c r="N74" i="76"/>
  <c r="N77" i="76" s="1"/>
  <c r="N78" i="76" s="1"/>
  <c r="Q29" i="82"/>
  <c r="Q32" i="82" s="1"/>
  <c r="Q33" i="82" s="1"/>
  <c r="H147" i="12"/>
  <c r="H150" i="12" s="1"/>
  <c r="H151" i="12" s="1"/>
  <c r="Q142" i="15"/>
  <c r="Q138" i="15"/>
  <c r="Q89" i="75"/>
  <c r="Q92" i="75" s="1"/>
  <c r="Q93" i="75" s="1"/>
  <c r="L118" i="36"/>
  <c r="L121" i="36" s="1"/>
  <c r="L122" i="36" s="1"/>
  <c r="I80" i="58"/>
  <c r="I83" i="58"/>
  <c r="I84" i="58" s="1"/>
  <c r="O33" i="64"/>
  <c r="O36" i="64" s="1"/>
  <c r="O37" i="64" s="1"/>
  <c r="Q85" i="72"/>
  <c r="Q88" i="72" s="1"/>
  <c r="Q89" i="72" s="1"/>
  <c r="J91" i="80"/>
  <c r="J94" i="80" s="1"/>
  <c r="J95" i="80" s="1"/>
  <c r="E79" i="56"/>
  <c r="E82" i="56"/>
  <c r="E83" i="56" s="1"/>
  <c r="G31" i="19" l="1"/>
  <c r="G36" i="19" s="1"/>
  <c r="G37" i="19" s="1"/>
  <c r="D147" i="12"/>
  <c r="D150" i="12" s="1"/>
  <c r="D151" i="12" s="1"/>
  <c r="E75" i="70"/>
  <c r="E76" i="70" s="1"/>
  <c r="E72" i="70"/>
  <c r="D95" i="86"/>
  <c r="D98" i="86" s="1"/>
  <c r="D99" i="86" s="1"/>
  <c r="J89" i="73"/>
  <c r="J92" i="73" s="1"/>
  <c r="J93" i="73" s="1"/>
  <c r="Q114" i="30"/>
  <c r="Q117" i="30" s="1"/>
  <c r="Q118" i="30" s="1"/>
  <c r="Q143" i="15"/>
  <c r="Q146" i="15" s="1"/>
  <c r="Q147" i="15" s="1"/>
  <c r="H72" i="70"/>
  <c r="H75" i="70"/>
  <c r="H76" i="70" s="1"/>
  <c r="D31" i="53"/>
  <c r="D36" i="53" s="1"/>
  <c r="D37" i="53" s="1"/>
  <c r="N31" i="74"/>
  <c r="N34" i="74" s="1"/>
  <c r="N35" i="74" s="1"/>
  <c r="K59" i="84"/>
  <c r="K62" i="84" s="1"/>
  <c r="K63" i="84" s="1"/>
  <c r="D108" i="42"/>
  <c r="D111" i="42" s="1"/>
  <c r="D112" i="42" s="1"/>
  <c r="Q88" i="87"/>
  <c r="Q91" i="87"/>
  <c r="Q92" i="87" s="1"/>
  <c r="F89" i="75"/>
  <c r="F92" i="75" s="1"/>
  <c r="F93" i="75" s="1"/>
  <c r="D31" i="14"/>
  <c r="D36" i="14" s="1"/>
  <c r="D37" i="14" s="1"/>
  <c r="L90" i="27"/>
  <c r="L93" i="27" s="1"/>
  <c r="L94" i="27" s="1"/>
  <c r="K30" i="83"/>
  <c r="K33" i="83" s="1"/>
  <c r="K34" i="83" s="1"/>
  <c r="D83" i="51"/>
  <c r="D84" i="51" s="1"/>
  <c r="D80" i="51"/>
  <c r="O98" i="79"/>
  <c r="O101" i="79" s="1"/>
  <c r="O102" i="79" s="1"/>
  <c r="K88" i="87"/>
  <c r="K91" i="87" s="1"/>
  <c r="K92" i="87" s="1"/>
  <c r="L27" i="88"/>
  <c r="L30" i="88" s="1"/>
  <c r="L31" i="88" s="1"/>
  <c r="D77" i="76"/>
  <c r="D78" i="76" s="1"/>
  <c r="D74" i="76"/>
  <c r="D33" i="64"/>
  <c r="D36" i="64" s="1"/>
  <c r="D37" i="64" s="1"/>
  <c r="Q74" i="33"/>
  <c r="Q77" i="33"/>
  <c r="Q78" i="33" s="1"/>
  <c r="D96" i="62"/>
  <c r="D99" i="62"/>
  <c r="D100" i="62" s="1"/>
  <c r="Q68" i="63"/>
  <c r="Q71" i="63" s="1"/>
  <c r="Q72" i="63" s="1"/>
  <c r="Q147" i="12"/>
  <c r="Q150" i="12" s="1"/>
  <c r="Q151" i="12" s="1"/>
  <c r="E31" i="5"/>
  <c r="E36" i="5" s="1"/>
  <c r="E37" i="5" s="1"/>
  <c r="D74" i="68"/>
  <c r="D77" i="68" s="1"/>
  <c r="D78" i="68" s="1"/>
  <c r="D26" i="6"/>
  <c r="D31" i="6" s="1"/>
  <c r="D32" i="6" s="1"/>
  <c r="L33" i="64"/>
  <c r="L36" i="64" s="1"/>
  <c r="L37" i="64" s="1"/>
  <c r="M30" i="71"/>
  <c r="M33" i="71" s="1"/>
  <c r="M34" i="71" s="1"/>
  <c r="E31" i="7"/>
  <c r="E36" i="7" s="1"/>
  <c r="E37" i="7" s="1"/>
  <c r="D89" i="73"/>
  <c r="D92" i="73" s="1"/>
  <c r="D93" i="73" s="1"/>
  <c r="D80" i="69"/>
  <c r="D83" i="69" s="1"/>
  <c r="D84" i="69" s="1"/>
  <c r="F101" i="67"/>
  <c r="F104" i="67" s="1"/>
  <c r="F105" i="67" s="1"/>
  <c r="L26" i="6"/>
  <c r="L31" i="6"/>
  <c r="L32" i="6" s="1"/>
  <c r="L96" i="62"/>
  <c r="L99" i="62" s="1"/>
  <c r="L100" i="62" s="1"/>
  <c r="D31" i="16"/>
  <c r="D36" i="16" s="1"/>
  <c r="D37" i="16" s="1"/>
  <c r="N101" i="67"/>
  <c r="N104" i="67" s="1"/>
  <c r="N105" i="67" s="1"/>
  <c r="Q100" i="9"/>
  <c r="Q103" i="9" s="1"/>
  <c r="Q104" i="9" s="1"/>
  <c r="K103" i="9"/>
  <c r="K104" i="9" s="1"/>
  <c r="K100" i="9"/>
  <c r="Q59" i="84"/>
  <c r="Q62" i="84" s="1"/>
  <c r="Q63" i="84" s="1"/>
  <c r="G31" i="4"/>
  <c r="G36" i="4" s="1"/>
  <c r="G37" i="4" s="1"/>
  <c r="Q149" i="18"/>
  <c r="Q152" i="18" s="1"/>
  <c r="Q153" i="18" s="1"/>
  <c r="F31" i="74"/>
  <c r="F34" i="74" s="1"/>
  <c r="F35" i="74" s="1"/>
  <c r="G98" i="79"/>
  <c r="G101" i="79" s="1"/>
  <c r="G102" i="79" s="1"/>
  <c r="D89" i="85"/>
  <c r="D92" i="85" s="1"/>
  <c r="D93" i="85" s="1"/>
  <c r="E30" i="71"/>
  <c r="E33" i="71" s="1"/>
  <c r="E34" i="71" s="1"/>
  <c r="L74" i="76"/>
  <c r="L77" i="76" s="1"/>
  <c r="L78" i="76" s="1"/>
  <c r="Q165" i="3"/>
  <c r="Q170" i="3" s="1"/>
  <c r="Q171" i="3" s="1"/>
  <c r="Q90" i="65"/>
  <c r="Q93" i="65" s="1"/>
  <c r="Q94" i="65" s="1"/>
  <c r="Q51" i="81"/>
  <c r="Q54" i="81" s="1"/>
  <c r="Q55" i="81" s="1"/>
  <c r="D79" i="89"/>
  <c r="D80" i="89" s="1"/>
  <c r="D76" i="89"/>
  <c r="D98" i="79"/>
  <c r="D101" i="79" s="1"/>
  <c r="D102" i="79" s="1"/>
  <c r="Q74" i="68"/>
  <c r="Q77" i="68"/>
  <c r="Q78" i="68" s="1"/>
  <c r="D90" i="65"/>
  <c r="D93" i="65"/>
  <c r="D94" i="65" s="1"/>
  <c r="Q31" i="74"/>
  <c r="Q34" i="74" s="1"/>
  <c r="Q35" i="74" s="1"/>
  <c r="D74" i="33"/>
  <c r="D77" i="33" s="1"/>
  <c r="D78" i="33" s="1"/>
  <c r="G67" i="59"/>
  <c r="G70" i="59"/>
  <c r="G71" i="59" s="1"/>
  <c r="D27" i="88"/>
  <c r="D30" i="88" s="1"/>
  <c r="D31" i="88" s="1"/>
  <c r="L95" i="86"/>
  <c r="L98" i="86" s="1"/>
  <c r="L99" i="86" s="1"/>
  <c r="M83" i="51"/>
  <c r="M84" i="51" s="1"/>
  <c r="M80" i="51"/>
  <c r="Q89" i="73"/>
  <c r="Q92" i="73" s="1"/>
  <c r="Q93" i="73" s="1"/>
  <c r="E80" i="51"/>
  <c r="E83" i="51" s="1"/>
  <c r="E84" i="51" s="1"/>
  <c r="Q93" i="79"/>
  <c r="Q97" i="79"/>
  <c r="D31" i="8"/>
  <c r="D36" i="8" s="1"/>
  <c r="D37" i="8" s="1"/>
  <c r="D90" i="27"/>
  <c r="D93" i="27" s="1"/>
  <c r="D94" i="27" s="1"/>
  <c r="L89" i="85"/>
  <c r="L92" i="85"/>
  <c r="L93" i="85" s="1"/>
  <c r="Q112" i="39"/>
  <c r="Q115" i="39" s="1"/>
  <c r="Q116" i="39" s="1"/>
  <c r="Q108" i="42"/>
  <c r="Q111" i="42" s="1"/>
  <c r="Q112" i="42" s="1"/>
  <c r="J72" i="70"/>
  <c r="J75" i="70"/>
  <c r="J76" i="70" s="1"/>
  <c r="Q80" i="69"/>
  <c r="Q83" i="69" s="1"/>
  <c r="Q84" i="69" s="1"/>
  <c r="Q76" i="89"/>
  <c r="Q79" i="89" s="1"/>
  <c r="Q80" i="89" s="1"/>
  <c r="Q70" i="57"/>
  <c r="Q73" i="57" s="1"/>
  <c r="Q74" i="57" s="1"/>
  <c r="O67" i="59"/>
  <c r="O70" i="59"/>
  <c r="O71" i="59" s="1"/>
  <c r="Q101" i="67"/>
  <c r="Q104" i="67"/>
  <c r="Q105" i="67" s="1"/>
  <c r="Q95" i="86"/>
  <c r="Q98" i="86" s="1"/>
  <c r="Q99" i="86" s="1"/>
  <c r="E31" i="52"/>
  <c r="E36" i="52" s="1"/>
  <c r="E37" i="52" s="1"/>
  <c r="Q72" i="70"/>
  <c r="Q75" i="70"/>
  <c r="Q76" i="70" s="1"/>
  <c r="N89" i="75"/>
  <c r="N92" i="75"/>
  <c r="N93" i="75" s="1"/>
  <c r="Q90" i="27"/>
  <c r="Q93" i="27" s="1"/>
  <c r="Q94" i="27" s="1"/>
  <c r="Q89" i="85"/>
  <c r="Q92" i="85" s="1"/>
  <c r="Q93" i="85" s="1"/>
  <c r="Q98" i="79" l="1"/>
  <c r="Q101" i="79" s="1"/>
  <c r="Q102" i="79" s="1"/>
</calcChain>
</file>

<file path=xl/sharedStrings.xml><?xml version="1.0" encoding="utf-8"?>
<sst xmlns="http://schemas.openxmlformats.org/spreadsheetml/2006/main" count="2342" uniqueCount="314">
  <si>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</si>
  <si>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</si>
  <si>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</si>
  <si>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</si>
  <si>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</si>
  <si>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</si>
  <si>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</si>
  <si>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</si>
  <si>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</si>
  <si>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</si>
  <si>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</si>
  <si>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</si>
  <si>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</si>
  <si>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</si>
  <si>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</si>
  <si>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</si>
  <si>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</si>
  <si>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</si>
  <si>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</si>
  <si>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</si>
  <si>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</si>
  <si>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Division 308 - Combined Textbooks</t>
  </si>
  <si>
    <t>Division 331 - Combined 315 &amp; 326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</si>
  <si>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</si>
  <si>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</si>
  <si>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</si>
  <si>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</si>
  <si>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</si>
  <si>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</si>
  <si>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</si>
  <si>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</si>
  <si>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</si>
  <si>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</si>
  <si>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</si>
  <si>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</si>
  <si>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</si>
  <si>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</si>
  <si>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</si>
  <si>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</si>
  <si>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</si>
  <si>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</si>
  <si>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</si>
  <si>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</si>
  <si>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</si>
  <si>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</si>
  <si>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</si>
  <si>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</si>
  <si>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</si>
  <si>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</si>
  <si>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</si>
  <si>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</si>
  <si>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</si>
  <si>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</si>
  <si>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>Division 310 &amp; 491 - C-Stores &amp; Cash Food Operations</t>
  </si>
  <si>
    <t>Tess.Monzon@csulb.edu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</si>
  <si>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</si>
  <si>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</si>
  <si>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</si>
  <si>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</si>
  <si>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</si>
  <si>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</si>
  <si>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</si>
  <si>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</si>
  <si>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</si>
  <si>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</si>
  <si>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</si>
  <si>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</si>
  <si>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</si>
  <si>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</si>
  <si>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</si>
  <si>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</si>
  <si>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</si>
  <si>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</si>
  <si>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</si>
  <si>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</si>
  <si>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</si>
  <si>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</si>
  <si>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>Actual</t>
  </si>
  <si>
    <t>Division 330 - Combined 307 &amp; 314</t>
  </si>
  <si>
    <t>Interest Income/Other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</si>
  <si>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</si>
  <si>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</si>
  <si>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</si>
  <si>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</si>
  <si>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</si>
  <si>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</si>
  <si>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</si>
  <si>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</si>
  <si>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</si>
  <si>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</si>
  <si>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</si>
  <si>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</si>
  <si>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</si>
  <si>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</si>
  <si>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</si>
  <si>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</si>
  <si>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</si>
  <si>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</si>
  <si>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</si>
  <si>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</si>
  <si>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</si>
  <si>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</si>
  <si>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Division 3 - Bookstore &amp; C-Stores</t>
  </si>
  <si>
    <t>Division 491 - Cash Food Operations</t>
  </si>
  <si>
    <t>Division 5 - ID Card Services</t>
  </si>
  <si>
    <t>GROSS MARGIN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</si>
  <si>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</si>
  <si>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</si>
  <si>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</si>
  <si>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</si>
  <si>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</si>
  <si>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</si>
  <si>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</si>
  <si>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</si>
  <si>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</si>
  <si>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</si>
  <si>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</si>
  <si>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</si>
  <si>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</si>
  <si>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</si>
  <si>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</si>
  <si>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</si>
  <si>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>Operating Statement Forecast</t>
  </si>
  <si>
    <t>Division 332 - Combined 316, 320, &amp; 323</t>
  </si>
  <si>
    <t>OPERATING CONTRIBUTION</t>
  </si>
  <si>
    <t>G &amp; A Allocation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</si>
  <si>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</si>
  <si>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</si>
  <si>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</si>
  <si>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</si>
  <si>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</si>
  <si>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</si>
  <si>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</si>
  <si>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</si>
  <si>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</si>
  <si>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</si>
  <si>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>Combined Operating Statement Forecast</t>
  </si>
  <si>
    <t>Division 2 - Administration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</si>
  <si>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</si>
  <si>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</si>
  <si>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</si>
  <si>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</si>
  <si>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</si>
  <si>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</si>
  <si>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</si>
  <si>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</si>
  <si>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</si>
  <si>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</si>
  <si>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</si>
  <si>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</si>
  <si>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</si>
  <si>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</si>
  <si>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</si>
  <si>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</si>
  <si>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</si>
  <si>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</si>
  <si>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</si>
  <si>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</si>
  <si>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FY 21-22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</si>
  <si>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</si>
  <si>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</si>
  <si>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</si>
  <si>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</si>
  <si>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</si>
  <si>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</si>
  <si>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</si>
  <si>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</si>
  <si>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</si>
  <si>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</si>
  <si>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</si>
  <si>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</si>
  <si>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</si>
  <si>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</si>
  <si>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</si>
  <si>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</si>
  <si>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</si>
  <si>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</si>
  <si>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</si>
  <si>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</si>
  <si>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</si>
  <si>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</si>
  <si>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Division 492 - Residential Dining</t>
  </si>
  <si>
    <t>Gain/(Loss) on FMV of Investments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</si>
  <si>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</si>
  <si>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</si>
  <si>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</si>
  <si>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</si>
  <si>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</si>
  <si>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</si>
  <si>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</si>
  <si>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</si>
  <si>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</si>
  <si>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</si>
  <si>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</si>
  <si>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</si>
  <si>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</si>
  <si>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</si>
  <si>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Total</t>
  </si>
  <si>
    <t>Division 310 - C-Stores</t>
  </si>
  <si>
    <t>Division 4 - Food Services</t>
  </si>
  <si>
    <t>FY 20-21 Revised Budget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</si>
  <si>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</si>
  <si>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</si>
  <si>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</si>
  <si>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</si>
  <si>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</si>
  <si>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</si>
  <si>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</si>
  <si>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</si>
  <si>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</si>
  <si>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</si>
  <si>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</si>
  <si>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</si>
  <si>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</si>
  <si>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</si>
  <si>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</si>
  <si>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</si>
  <si>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</si>
  <si>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Total Cost of Goods Sold</t>
  </si>
  <si>
    <t>Division 1 - Corporate</t>
  </si>
  <si>
    <t>Division 6 - Computer Store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</si>
  <si>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</si>
  <si>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</si>
  <si>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</si>
  <si>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</si>
  <si>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</si>
  <si>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</si>
  <si>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</si>
  <si>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</si>
  <si>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</si>
  <si>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</si>
  <si>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</si>
  <si>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</si>
  <si>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</si>
  <si>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</si>
  <si>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</si>
  <si>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</si>
  <si>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</si>
  <si>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</si>
  <si>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</si>
  <si>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</si>
  <si>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</si>
  <si>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</si>
  <si>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</si>
  <si>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</si>
  <si>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</si>
  <si>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</si>
  <si>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</si>
  <si>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</si>
  <si>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</si>
  <si>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</si>
  <si>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</si>
  <si>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</si>
  <si>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</si>
  <si>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</si>
  <si>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Total Operating Expenses</t>
  </si>
  <si>
    <t>Division 300 - Bookstore</t>
  </si>
  <si>
    <t>Budget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</si>
  <si>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</si>
  <si>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</si>
  <si>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</si>
  <si>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</si>
  <si>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</si>
  <si>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</si>
  <si>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</si>
  <si>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</si>
  <si>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</si>
  <si>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</si>
  <si>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</si>
  <si>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</si>
  <si>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</si>
  <si>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</si>
  <si>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</si>
  <si>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</si>
  <si>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</si>
  <si>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</si>
  <si>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>OPERATING INCOME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</si>
  <si>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</si>
  <si>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</si>
  <si>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</si>
  <si>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</si>
  <si>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</si>
  <si>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</si>
  <si>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</si>
  <si>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</si>
  <si>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</si>
  <si>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</si>
  <si>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</si>
  <si>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</si>
  <si>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</si>
  <si>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</si>
  <si>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Sales</t>
  </si>
  <si>
    <t>Revised Budget</t>
  </si>
  <si>
    <t>Credits &amp; Revenues</t>
  </si>
  <si>
    <t>NET CONTRIBUTION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</si>
  <si>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</si>
  <si>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</si>
  <si>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</si>
  <si>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</si>
  <si>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</si>
  <si>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</si>
  <si>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</si>
  <si>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</si>
  <si>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</si>
  <si>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</si>
  <si>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</si>
  <si>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</si>
  <si>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</si>
  <si>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</si>
  <si>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</si>
  <si>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</si>
  <si>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</si>
  <si>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All Departments</t>
  </si>
  <si>
    <t>Division 300 &amp; 317 - Bookstore &amp; Computer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</si>
</sst>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/d/yy\ h:mm\ AM/PM;@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542222357860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5422223578601"/>
      <name val="Calibri"/>
      <family val="2"/>
      <scheme val="minor"/>
    </font>
    <font>
      <sz val="8"/>
      <color theme="0" tint="-0.4999542222357860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32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 applyFill="1" applyBorder="1"/>
    <xf numFmtId="164" fontId="1" fillId="0" borderId="0" xfId="1" applyNumberFormat="1" applyFont="1" applyFill="1"/>
    <xf numFmtId="164" fontId="0" fillId="0" borderId="0" xfId="1" applyNumberFormat="1" applyFont="1" applyFill="1"/>
    <xf numFmtId="10" fontId="2" fillId="0" borderId="0" xfId="3" applyNumberFormat="1" applyFont="1" applyFill="1"/>
    <xf numFmtId="0" fontId="0" fillId="0" borderId="0" xfId="0" applyFill="1"/>
    <xf numFmtId="0" fontId="3" fillId="0" borderId="0" xfId="0" applyFont="1" applyFill="1"/>
    <xf numFmtId="166" fontId="3" fillId="2" borderId="1" xfId="2" applyNumberFormat="1" applyFont="1" applyFill="1" applyBorder="1"/>
    <xf numFmtId="166" fontId="3" fillId="2" borderId="2" xfId="2" applyNumberFormat="1" applyFont="1" applyFill="1" applyBorder="1"/>
    <xf numFmtId="0" fontId="1" fillId="0" borderId="0" xfId="0" applyFont="1"/>
    <xf numFmtId="0" fontId="1" fillId="0" borderId="0" xfId="0" applyFont="1" applyFill="1" applyBorder="1"/>
    <xf numFmtId="164" fontId="0" fillId="0" borderId="0" xfId="1" applyNumberFormat="1" applyFont="1"/>
    <xf numFmtId="0" fontId="3" fillId="2" borderId="0" xfId="0" applyFont="1" applyFill="1" applyAlignment="1">
      <alignment horizontal="center"/>
    </xf>
    <xf numFmtId="164" fontId="3" fillId="0" borderId="0" xfId="1" applyNumberFormat="1" applyFont="1" applyFill="1" applyBorder="1"/>
    <xf numFmtId="0" fontId="0" fillId="0" borderId="0" xfId="0" applyFont="1" applyFill="1" applyBorder="1"/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0" fontId="0" fillId="0" borderId="0" xfId="0" applyNumberFormat="1"/>
    <xf numFmtId="0" fontId="0" fillId="3" borderId="3" xfId="0" applyFill="1" applyBorder="1" applyAlignment="1">
      <alignment horizontal="center" vertical="center" wrapText="1"/>
    </xf>
    <xf numFmtId="164" fontId="1" fillId="0" borderId="0" xfId="1" applyNumberFormat="1" applyFont="1" applyFill="1" applyBorder="1"/>
    <xf numFmtId="0" fontId="0" fillId="0" borderId="0" xfId="0" applyFill="1" applyBorder="1"/>
    <xf numFmtId="49" fontId="1" fillId="0" borderId="0" xfId="0" applyNumberFormat="1" applyFont="1" applyFill="1"/>
    <xf numFmtId="0" fontId="1" fillId="0" borderId="0" xfId="0" applyFont="1" applyFill="1"/>
    <xf numFmtId="0" fontId="0" fillId="0" borderId="0" xfId="0" applyFont="1"/>
    <xf numFmtId="49" fontId="3" fillId="0" borderId="0" xfId="0" applyNumberFormat="1" applyFont="1" applyFill="1"/>
    <xf numFmtId="0" fontId="4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Border="1"/>
    <xf numFmtId="0" fontId="5" fillId="0" borderId="0" xfId="0" applyFont="1"/>
    <xf numFmtId="16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quotePrefix="1" applyFont="1"/>
    <xf numFmtId="0" fontId="0" fillId="0" borderId="0" xfId="0" applyFont="1" applyBorder="1"/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49" fontId="0" fillId="3" borderId="3" xfId="0" applyNumberFormat="1" applyFill="1" applyBorder="1" applyAlignment="1">
      <alignment horizontal="center" vertical="center" wrapText="1"/>
    </xf>
    <xf numFmtId="49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4.4" x14ac:dyDescent="0.3"/>
  <cols>
    <col min="1" max="130" width="20.6640625" customWidth="1"/>
  </cols>
  <sheetData>
    <row r="1" spans="1:130" x14ac:dyDescent="0.3">
      <c r="B1">
        <v>4</v>
      </c>
    </row>
    <row r="3" spans="1:130" ht="28.8" x14ac:dyDescent="0.3">
      <c r="A3" s="19" t="s">
        <v>176</v>
      </c>
      <c r="B3" s="19" t="s">
        <v>194</v>
      </c>
      <c r="C3" s="19" t="s">
        <v>238</v>
      </c>
      <c r="D3" s="19" t="s">
        <v>96</v>
      </c>
      <c r="E3" s="19" t="s">
        <v>155</v>
      </c>
      <c r="F3" s="19" t="s">
        <v>0</v>
      </c>
      <c r="G3" s="19" t="s">
        <v>177</v>
      </c>
      <c r="H3" s="19" t="s">
        <v>51</v>
      </c>
      <c r="I3" s="19" t="s">
        <v>97</v>
      </c>
      <c r="J3" s="19" t="s">
        <v>214</v>
      </c>
      <c r="K3" s="19" t="s">
        <v>135</v>
      </c>
      <c r="L3" s="19" t="s">
        <v>215</v>
      </c>
      <c r="M3" s="19" t="s">
        <v>74</v>
      </c>
      <c r="N3" s="19" t="s">
        <v>75</v>
      </c>
      <c r="O3" s="19" t="s">
        <v>178</v>
      </c>
      <c r="P3" s="19" t="s">
        <v>195</v>
      </c>
      <c r="Q3" s="19" t="s">
        <v>17</v>
      </c>
      <c r="R3" s="19" t="s">
        <v>18</v>
      </c>
      <c r="S3" s="19" t="s">
        <v>52</v>
      </c>
      <c r="T3" s="19" t="s">
        <v>216</v>
      </c>
      <c r="U3" s="19" t="s">
        <v>270</v>
      </c>
      <c r="V3" s="19" t="s">
        <v>288</v>
      </c>
      <c r="W3" s="19" t="s">
        <v>179</v>
      </c>
      <c r="X3" s="19" t="s">
        <v>271</v>
      </c>
      <c r="Y3" s="19" t="s">
        <v>99</v>
      </c>
      <c r="Z3" s="19" t="s">
        <v>252</v>
      </c>
      <c r="AA3" s="19" t="s">
        <v>156</v>
      </c>
      <c r="AB3" s="19" t="s">
        <v>272</v>
      </c>
      <c r="AC3" s="19" t="s">
        <v>19</v>
      </c>
      <c r="AD3" s="19" t="s">
        <v>100</v>
      </c>
      <c r="AE3" s="19" t="s">
        <v>157</v>
      </c>
      <c r="AF3" s="19" t="s">
        <v>101</v>
      </c>
      <c r="AG3" s="19" t="s">
        <v>196</v>
      </c>
      <c r="AH3" s="19" t="s">
        <v>38</v>
      </c>
      <c r="AI3" s="19" t="s">
        <v>273</v>
      </c>
      <c r="AJ3" s="19" t="s">
        <v>274</v>
      </c>
      <c r="AK3" s="19" t="s">
        <v>76</v>
      </c>
      <c r="AL3" s="19" t="s">
        <v>253</v>
      </c>
      <c r="AM3" s="19" t="s">
        <v>254</v>
      </c>
      <c r="AN3" s="19" t="s">
        <v>236</v>
      </c>
      <c r="AO3" s="19" t="s">
        <v>310</v>
      </c>
      <c r="AP3" s="19" t="s">
        <v>311</v>
      </c>
      <c r="AQ3" s="19" t="s">
        <v>121</v>
      </c>
      <c r="AR3" s="19" t="s">
        <v>180</v>
      </c>
      <c r="AS3" s="19" t="s">
        <v>237</v>
      </c>
      <c r="AT3" s="19" t="s">
        <v>275</v>
      </c>
      <c r="AU3" s="19" t="s">
        <v>217</v>
      </c>
      <c r="AV3" s="19" t="s">
        <v>120</v>
      </c>
      <c r="AW3" s="19" t="s">
        <v>98</v>
      </c>
      <c r="AX3" s="19" t="s">
        <v>289</v>
      </c>
      <c r="AY3" s="19" t="s">
        <v>20</v>
      </c>
      <c r="AZ3" s="19" t="s">
        <v>290</v>
      </c>
      <c r="BA3" s="19" t="s">
        <v>277</v>
      </c>
      <c r="BB3" s="19" t="s">
        <v>107</v>
      </c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102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102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256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256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39997558519241921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313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313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198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198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78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78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4.4" x14ac:dyDescent="0.3"/>
  <cols>
    <col min="1" max="220" width="20.6640625" customWidth="1"/>
    <col min="221" max="221" width="20.6640625" style="38" customWidth="1"/>
    <col min="222" max="223" width="20.6640625" customWidth="1"/>
  </cols>
  <sheetData>
    <row r="1" spans="1:272" x14ac:dyDescent="0.3">
      <c r="D1">
        <v>4</v>
      </c>
    </row>
    <row r="2" spans="1:272" x14ac:dyDescent="0.3">
      <c r="JK2">
        <v>271</v>
      </c>
      <c r="JL2">
        <v>4</v>
      </c>
    </row>
    <row r="3" spans="1:272" ht="28.8" x14ac:dyDescent="0.3">
      <c r="A3" s="19" t="s">
        <v>238</v>
      </c>
      <c r="B3" s="19" t="s">
        <v>295</v>
      </c>
      <c r="C3" s="19" t="s">
        <v>0</v>
      </c>
      <c r="D3" s="19" t="s">
        <v>55</v>
      </c>
      <c r="E3" s="19" t="s">
        <v>80</v>
      </c>
      <c r="F3" s="19" t="s">
        <v>24</v>
      </c>
      <c r="G3" s="19" t="s">
        <v>126</v>
      </c>
      <c r="H3" s="19" t="s">
        <v>159</v>
      </c>
      <c r="I3" s="19" t="s">
        <v>106</v>
      </c>
      <c r="J3" s="19" t="s">
        <v>239</v>
      </c>
      <c r="K3" s="19" t="s">
        <v>127</v>
      </c>
      <c r="L3" s="19" t="s">
        <v>25</v>
      </c>
      <c r="M3" s="19" t="s">
        <v>56</v>
      </c>
      <c r="N3" s="19" t="s">
        <v>39</v>
      </c>
      <c r="O3" s="19" t="s">
        <v>57</v>
      </c>
      <c r="P3" s="19" t="s">
        <v>160</v>
      </c>
      <c r="Q3" s="19" t="s">
        <v>26</v>
      </c>
      <c r="R3" s="19" t="s">
        <v>183</v>
      </c>
      <c r="S3" s="19" t="s">
        <v>184</v>
      </c>
      <c r="T3" s="19" t="s">
        <v>201</v>
      </c>
      <c r="U3" s="19" t="s">
        <v>27</v>
      </c>
      <c r="V3" s="19" t="s">
        <v>240</v>
      </c>
      <c r="W3" s="19" t="s">
        <v>258</v>
      </c>
      <c r="X3" s="19" t="s">
        <v>202</v>
      </c>
      <c r="Y3" s="19" t="s">
        <v>185</v>
      </c>
      <c r="Z3" s="19" t="s">
        <v>1</v>
      </c>
      <c r="AA3" s="19" t="s">
        <v>278</v>
      </c>
      <c r="AB3" s="19" t="s">
        <v>128</v>
      </c>
      <c r="AC3" s="19" t="s">
        <v>108</v>
      </c>
      <c r="AD3" s="19" t="s">
        <v>40</v>
      </c>
      <c r="AE3" s="19" t="s">
        <v>81</v>
      </c>
      <c r="AF3" s="19" t="s">
        <v>41</v>
      </c>
      <c r="AG3" s="19" t="s">
        <v>221</v>
      </c>
      <c r="AH3" s="19" t="s">
        <v>161</v>
      </c>
      <c r="AI3" s="19" t="s">
        <v>203</v>
      </c>
      <c r="AJ3" s="19" t="s">
        <v>59</v>
      </c>
      <c r="AK3" s="19" t="s">
        <v>129</v>
      </c>
      <c r="AL3" s="19" t="s">
        <v>296</v>
      </c>
      <c r="AM3" s="19" t="s">
        <v>204</v>
      </c>
      <c r="AN3" s="19" t="s">
        <v>60</v>
      </c>
      <c r="AO3" s="19" t="s">
        <v>28</v>
      </c>
      <c r="AP3" s="19" t="s">
        <v>205</v>
      </c>
      <c r="AQ3" s="19" t="s">
        <v>61</v>
      </c>
      <c r="AR3" s="19" t="s">
        <v>259</v>
      </c>
      <c r="AS3" s="19" t="s">
        <v>222</v>
      </c>
      <c r="AT3" s="19" t="s">
        <v>3</v>
      </c>
      <c r="AU3" s="19" t="s">
        <v>279</v>
      </c>
      <c r="AV3" s="19" t="s">
        <v>138</v>
      </c>
      <c r="AW3" s="19" t="s">
        <v>4</v>
      </c>
      <c r="AX3" s="19" t="s">
        <v>82</v>
      </c>
      <c r="AY3" s="19" t="s">
        <v>297</v>
      </c>
      <c r="AZ3" s="19" t="s">
        <v>62</v>
      </c>
      <c r="BA3" s="19" t="s">
        <v>223</v>
      </c>
      <c r="BB3" s="19" t="s">
        <v>63</v>
      </c>
      <c r="BC3" s="19" t="s">
        <v>241</v>
      </c>
      <c r="BD3" s="19" t="s">
        <v>280</v>
      </c>
      <c r="BE3" s="19" t="s">
        <v>139</v>
      </c>
      <c r="BF3" s="19" t="s">
        <v>298</v>
      </c>
      <c r="BG3" s="19" t="s">
        <v>109</v>
      </c>
      <c r="BH3" s="19" t="s">
        <v>110</v>
      </c>
      <c r="BI3" s="19" t="s">
        <v>242</v>
      </c>
      <c r="BJ3" s="19" t="s">
        <v>224</v>
      </c>
      <c r="BK3" s="19" t="s">
        <v>64</v>
      </c>
      <c r="BL3" s="19" t="s">
        <v>162</v>
      </c>
      <c r="BM3" s="19" t="s">
        <v>281</v>
      </c>
      <c r="BN3" s="19" t="s">
        <v>225</v>
      </c>
      <c r="BO3" s="19" t="s">
        <v>299</v>
      </c>
      <c r="BP3" s="19" t="s">
        <v>140</v>
      </c>
      <c r="BQ3" s="19" t="s">
        <v>226</v>
      </c>
      <c r="BR3" s="19" t="s">
        <v>130</v>
      </c>
      <c r="BS3" s="19" t="s">
        <v>206</v>
      </c>
      <c r="BT3" s="19" t="s">
        <v>65</v>
      </c>
      <c r="BU3" s="19" t="s">
        <v>227</v>
      </c>
      <c r="BV3" s="19" t="s">
        <v>260</v>
      </c>
      <c r="BW3" s="19" t="s">
        <v>300</v>
      </c>
      <c r="BX3" s="19" t="s">
        <v>163</v>
      </c>
      <c r="BY3" s="19" t="s">
        <v>282</v>
      </c>
      <c r="BZ3" s="19" t="s">
        <v>141</v>
      </c>
      <c r="CA3" s="19" t="s">
        <v>5</v>
      </c>
      <c r="CB3" s="19" t="s">
        <v>111</v>
      </c>
      <c r="CC3" s="19" t="s">
        <v>207</v>
      </c>
      <c r="CD3" s="19" t="s">
        <v>42</v>
      </c>
      <c r="CE3" s="19" t="s">
        <v>228</v>
      </c>
      <c r="CF3" s="19" t="s">
        <v>43</v>
      </c>
      <c r="CG3" s="19" t="s">
        <v>283</v>
      </c>
      <c r="CH3" s="19" t="s">
        <v>186</v>
      </c>
      <c r="CI3" s="19" t="s">
        <v>131</v>
      </c>
      <c r="CJ3" s="19" t="s">
        <v>301</v>
      </c>
      <c r="CK3" s="19" t="s">
        <v>112</v>
      </c>
      <c r="CL3" s="19" t="s">
        <v>142</v>
      </c>
      <c r="CM3" s="19" t="s">
        <v>143</v>
      </c>
      <c r="CN3" s="19" t="s">
        <v>208</v>
      </c>
      <c r="CO3" s="19" t="s">
        <v>83</v>
      </c>
      <c r="CP3" s="19" t="s">
        <v>164</v>
      </c>
      <c r="CQ3" s="19" t="s">
        <v>302</v>
      </c>
      <c r="CR3" s="19" t="s">
        <v>132</v>
      </c>
      <c r="CS3" s="19" t="s">
        <v>284</v>
      </c>
      <c r="CT3" s="19" t="s">
        <v>165</v>
      </c>
      <c r="CU3" s="19" t="s">
        <v>229</v>
      </c>
      <c r="CV3" s="19" t="s">
        <v>166</v>
      </c>
      <c r="CW3" s="19" t="s">
        <v>113</v>
      </c>
      <c r="CX3" s="19" t="s">
        <v>44</v>
      </c>
      <c r="CY3" s="19" t="s">
        <v>243</v>
      </c>
      <c r="CZ3" s="19" t="s">
        <v>261</v>
      </c>
      <c r="DA3" s="19" t="s">
        <v>6</v>
      </c>
      <c r="DB3" s="19" t="s">
        <v>84</v>
      </c>
      <c r="DC3" s="19" t="s">
        <v>144</v>
      </c>
      <c r="DD3" s="19" t="s">
        <v>7</v>
      </c>
      <c r="DE3" s="19" t="s">
        <v>8</v>
      </c>
      <c r="DF3" s="19" t="s">
        <v>187</v>
      </c>
      <c r="DG3" s="19" t="s">
        <v>45</v>
      </c>
      <c r="DH3" s="19" t="s">
        <v>230</v>
      </c>
      <c r="DI3" s="19" t="s">
        <v>85</v>
      </c>
      <c r="DJ3" s="19" t="s">
        <v>66</v>
      </c>
      <c r="DK3" s="19" t="s">
        <v>29</v>
      </c>
      <c r="DL3" s="19" t="s">
        <v>30</v>
      </c>
      <c r="DM3" s="19" t="s">
        <v>303</v>
      </c>
      <c r="DN3" s="19" t="s">
        <v>167</v>
      </c>
      <c r="DO3" s="19" t="s">
        <v>133</v>
      </c>
      <c r="DP3" s="19" t="s">
        <v>209</v>
      </c>
      <c r="DQ3" s="19" t="s">
        <v>9</v>
      </c>
      <c r="DR3" s="19" t="s">
        <v>67</v>
      </c>
      <c r="DS3" s="19" t="s">
        <v>244</v>
      </c>
      <c r="DT3" s="19" t="s">
        <v>168</v>
      </c>
      <c r="DU3" s="19" t="s">
        <v>68</v>
      </c>
      <c r="DV3" s="19" t="s">
        <v>304</v>
      </c>
      <c r="DW3" s="19" t="s">
        <v>169</v>
      </c>
      <c r="DX3" s="19" t="s">
        <v>145</v>
      </c>
      <c r="DY3" s="19" t="s">
        <v>31</v>
      </c>
      <c r="DZ3" s="19" t="s">
        <v>32</v>
      </c>
      <c r="EA3" s="19" t="s">
        <v>46</v>
      </c>
      <c r="EB3" s="19" t="s">
        <v>245</v>
      </c>
      <c r="EC3" s="19" t="s">
        <v>231</v>
      </c>
      <c r="ED3" s="19" t="s">
        <v>86</v>
      </c>
      <c r="EE3" s="19" t="s">
        <v>188</v>
      </c>
      <c r="EF3" s="19" t="s">
        <v>33</v>
      </c>
      <c r="EG3" s="19" t="s">
        <v>10</v>
      </c>
      <c r="EH3" s="19" t="s">
        <v>305</v>
      </c>
      <c r="EI3" s="19" t="s">
        <v>146</v>
      </c>
      <c r="EJ3" s="19" t="s">
        <v>47</v>
      </c>
      <c r="EK3" s="19" t="s">
        <v>11</v>
      </c>
      <c r="EL3" s="19" t="s">
        <v>87</v>
      </c>
      <c r="EM3" s="19" t="s">
        <v>69</v>
      </c>
      <c r="EN3" s="19" t="s">
        <v>210</v>
      </c>
      <c r="EO3" s="19" t="s">
        <v>232</v>
      </c>
      <c r="EP3" s="19" t="s">
        <v>285</v>
      </c>
      <c r="EQ3" s="19" t="s">
        <v>170</v>
      </c>
      <c r="ER3" s="19" t="s">
        <v>147</v>
      </c>
      <c r="ES3" s="19" t="s">
        <v>246</v>
      </c>
      <c r="ET3" s="19" t="s">
        <v>70</v>
      </c>
      <c r="EU3" s="19" t="s">
        <v>262</v>
      </c>
      <c r="EV3" s="19" t="s">
        <v>263</v>
      </c>
      <c r="EW3" s="19" t="s">
        <v>233</v>
      </c>
      <c r="EX3" s="19" t="s">
        <v>306</v>
      </c>
      <c r="EY3" s="19" t="s">
        <v>247</v>
      </c>
      <c r="EZ3" s="19" t="s">
        <v>248</v>
      </c>
      <c r="FA3" s="19" t="s">
        <v>34</v>
      </c>
      <c r="FB3" s="19" t="s">
        <v>307</v>
      </c>
      <c r="FC3" s="19" t="s">
        <v>48</v>
      </c>
      <c r="FD3" s="19" t="s">
        <v>88</v>
      </c>
      <c r="FE3" s="19" t="s">
        <v>234</v>
      </c>
      <c r="FF3" s="19" t="s">
        <v>114</v>
      </c>
      <c r="FG3" s="19" t="s">
        <v>89</v>
      </c>
      <c r="FH3" s="19" t="s">
        <v>90</v>
      </c>
      <c r="FI3" s="19" t="s">
        <v>264</v>
      </c>
      <c r="FJ3" s="19" t="s">
        <v>189</v>
      </c>
      <c r="FK3" s="19" t="s">
        <v>190</v>
      </c>
      <c r="FL3" s="19" t="s">
        <v>171</v>
      </c>
      <c r="FM3" s="19" t="s">
        <v>148</v>
      </c>
      <c r="FN3" s="19" t="s">
        <v>115</v>
      </c>
      <c r="FO3" s="19" t="s">
        <v>172</v>
      </c>
      <c r="FP3" s="19" t="s">
        <v>265</v>
      </c>
      <c r="FQ3" s="19" t="s">
        <v>249</v>
      </c>
      <c r="FR3" s="19" t="s">
        <v>211</v>
      </c>
      <c r="FS3" s="19" t="s">
        <v>286</v>
      </c>
      <c r="FT3" s="19" t="s">
        <v>149</v>
      </c>
      <c r="FU3" s="19" t="s">
        <v>12</v>
      </c>
      <c r="FV3" s="19" t="s">
        <v>191</v>
      </c>
      <c r="FW3" s="19" t="s">
        <v>91</v>
      </c>
      <c r="FX3" s="19" t="s">
        <v>150</v>
      </c>
      <c r="FY3" s="19" t="s">
        <v>173</v>
      </c>
      <c r="FZ3" s="19" t="s">
        <v>92</v>
      </c>
      <c r="GA3" s="19" t="s">
        <v>266</v>
      </c>
      <c r="GB3" s="19" t="s">
        <v>35</v>
      </c>
      <c r="GC3" s="19" t="s">
        <v>36</v>
      </c>
      <c r="GD3" s="19" t="s">
        <v>287</v>
      </c>
      <c r="GE3" s="19" t="s">
        <v>116</v>
      </c>
      <c r="GF3" s="19" t="s">
        <v>235</v>
      </c>
      <c r="GG3" s="19" t="s">
        <v>192</v>
      </c>
      <c r="GH3" s="19" t="s">
        <v>193</v>
      </c>
      <c r="GI3" s="19" t="s">
        <v>267</v>
      </c>
      <c r="GJ3" s="19" t="s">
        <v>134</v>
      </c>
      <c r="GK3" s="19" t="s">
        <v>37</v>
      </c>
      <c r="GL3" s="19" t="s">
        <v>71</v>
      </c>
      <c r="GM3" s="19" t="s">
        <v>117</v>
      </c>
      <c r="GN3" s="19" t="s">
        <v>13</v>
      </c>
      <c r="GO3" s="19" t="s">
        <v>308</v>
      </c>
      <c r="GP3" s="19" t="s">
        <v>212</v>
      </c>
      <c r="GQ3" s="19" t="s">
        <v>72</v>
      </c>
      <c r="GR3" s="19" t="s">
        <v>174</v>
      </c>
      <c r="GS3" s="19" t="s">
        <v>151</v>
      </c>
      <c r="GT3" s="19" t="s">
        <v>118</v>
      </c>
      <c r="GU3" s="19" t="s">
        <v>250</v>
      </c>
      <c r="GV3" s="19" t="s">
        <v>49</v>
      </c>
      <c r="GW3" s="19" t="s">
        <v>14</v>
      </c>
      <c r="GX3" s="19" t="s">
        <v>309</v>
      </c>
      <c r="GY3" s="19" t="s">
        <v>93</v>
      </c>
      <c r="GZ3" s="19" t="s">
        <v>268</v>
      </c>
      <c r="HA3" s="19" t="s">
        <v>175</v>
      </c>
      <c r="HB3" s="19" t="s">
        <v>213</v>
      </c>
      <c r="HC3" s="19" t="s">
        <v>251</v>
      </c>
      <c r="HD3" s="19" t="s">
        <v>152</v>
      </c>
      <c r="HE3" s="19" t="s">
        <v>15</v>
      </c>
      <c r="HF3" s="19" t="s">
        <v>94</v>
      </c>
      <c r="HG3" s="19" t="s">
        <v>95</v>
      </c>
      <c r="HH3" s="19" t="s">
        <v>50</v>
      </c>
      <c r="HI3" s="19" t="s">
        <v>119</v>
      </c>
      <c r="HJ3" s="19" t="s">
        <v>269</v>
      </c>
      <c r="HK3" s="19"/>
      <c r="HL3" s="19" t="s">
        <v>2</v>
      </c>
      <c r="HM3" s="37"/>
      <c r="HN3" s="19" t="s">
        <v>277</v>
      </c>
      <c r="HO3" s="19" t="s">
        <v>107</v>
      </c>
      <c r="HP3" t="s">
        <v>58</v>
      </c>
      <c r="JK3" s="19" t="s">
        <v>16</v>
      </c>
      <c r="JL3" s="19" t="s">
        <v>153</v>
      </c>
    </row>
    <row r="10001" spans="271:272" x14ac:dyDescent="0.3">
      <c r="JK10001">
        <v>271</v>
      </c>
      <c r="JL10001">
        <v>10003</v>
      </c>
    </row>
    <row r="10002" spans="271:272" ht="43.2" x14ac:dyDescent="0.3">
      <c r="JK10002" s="19" t="s">
        <v>73</v>
      </c>
      <c r="JL10002" s="19" t="s">
        <v>154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21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21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22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22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123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123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199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199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 tint="0.39997558519241921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53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 tint="0.39997558519241921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53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outlinePr summaryBelow="0" summaryRight="0"/>
    <pageSetUpPr fitToPage="1"/>
  </sheetPr>
  <dimension ref="A2:R175"/>
  <sheetViews>
    <sheetView tabSelected="1"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C20" sqref="C20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136</v>
      </c>
    </row>
    <row r="4" spans="1:18" x14ac:dyDescent="0.3">
      <c r="B4" s="33" t="s">
        <v>158</v>
      </c>
    </row>
    <row r="5" spans="1:18" ht="15" customHeight="1" x14ac:dyDescent="0.3">
      <c r="A5" s="15"/>
      <c r="B5" s="15" t="s">
        <v>312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504149.17999999993</v>
      </c>
      <c r="E10" s="3">
        <f>SUM(OSRRefE11x_0)</f>
        <v>3635703</v>
      </c>
      <c r="F10" s="3">
        <f>SUM(OSRRefE11x_1)</f>
        <v>2385376</v>
      </c>
      <c r="G10" s="3">
        <f>SUM(OSRRefE11x_2)</f>
        <v>2154714</v>
      </c>
      <c r="H10" s="3">
        <f>SUM(OSRRefE11x_3)</f>
        <v>1334132</v>
      </c>
      <c r="I10" s="3">
        <f>SUM(OSRRefE11x_4)</f>
        <v>1508153</v>
      </c>
      <c r="J10" s="3">
        <f>SUM(OSRRefE11x_5)</f>
        <v>2849041</v>
      </c>
      <c r="K10" s="3">
        <f>SUM(OSRRefE11x_6)</f>
        <v>2310646</v>
      </c>
      <c r="L10" s="3">
        <f>SUM(OSRRefE11x_7)</f>
        <v>2063199</v>
      </c>
      <c r="M10" s="3">
        <f>SUM(OSRRefE11x_8)</f>
        <v>2160785</v>
      </c>
      <c r="N10" s="3">
        <f>SUM(OSRRefE11x_9)</f>
        <v>1696220</v>
      </c>
      <c r="O10" s="3">
        <f>SUM(OSRRefE11x_10)</f>
        <v>528176</v>
      </c>
      <c r="P10" s="24"/>
      <c r="Q10" s="3">
        <f>SUM(OSRRefG11x)</f>
        <v>23130294.18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--270004.59</f>
        <v>270004.59000000003</v>
      </c>
      <c r="E11" s="2">
        <v>3098792</v>
      </c>
      <c r="F11" s="2">
        <v>1050524</v>
      </c>
      <c r="G11" s="2">
        <v>492800</v>
      </c>
      <c r="H11" s="2">
        <v>379655</v>
      </c>
      <c r="I11" s="2">
        <v>477858</v>
      </c>
      <c r="J11" s="2">
        <v>2209503</v>
      </c>
      <c r="K11" s="2">
        <v>778133</v>
      </c>
      <c r="L11" s="2">
        <v>580429</v>
      </c>
      <c r="M11" s="2">
        <v>682299</v>
      </c>
      <c r="N11" s="2">
        <v>834282</v>
      </c>
      <c r="O11" s="2">
        <v>426998</v>
      </c>
      <c r="Q11" s="2">
        <f>SUM(OSRRefD11_0x)+IFERROR(SUM(OSRRefE11_0x),0)</f>
        <v>11281277.59</v>
      </c>
    </row>
    <row r="12" spans="1:18" s="9" customFormat="1" hidden="1" outlineLevel="1" x14ac:dyDescent="0.3">
      <c r="A12" s="22"/>
      <c r="B12" s="10" t="str">
        <f>CONCATENATE("          ","4051", " - ","TAXABLE SALES-FOOD")</f>
        <v xml:space="preserve">          4051 - TAXABLE SALES-FOOD</v>
      </c>
      <c r="C12" s="23"/>
      <c r="D12" s="2">
        <f>--10630.93</f>
        <v>10630.93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10630.93</v>
      </c>
    </row>
    <row r="13" spans="1:18" s="9" customFormat="1" hidden="1" outlineLevel="1" x14ac:dyDescent="0.3">
      <c r="A13" s="22"/>
      <c r="B13" s="10" t="str">
        <f>CONCATENATE("          ","4053", " - ","TAXABLE SALES-FOOD")</f>
        <v xml:space="preserve">          4053 - TAXABLE SALES-FOOD</v>
      </c>
      <c r="C13" s="23"/>
      <c r="D13" s="2">
        <f>--106.64</f>
        <v>106.64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106.64</v>
      </c>
    </row>
    <row r="14" spans="1:18" s="9" customFormat="1" hidden="1" outlineLevel="1" x14ac:dyDescent="0.3">
      <c r="A14" s="22"/>
      <c r="B14" s="10" t="str">
        <f>CONCATENATE("          ","4100", " - ","NON-TAXABLE SALES")</f>
        <v xml:space="preserve">          4100 - NON-TAXABLE SALES</v>
      </c>
      <c r="C14" s="23"/>
      <c r="D14" s="2">
        <f>--225721.52</f>
        <v>225721.52</v>
      </c>
      <c r="E14" s="2">
        <v>536911</v>
      </c>
      <c r="F14" s="2">
        <v>1334852</v>
      </c>
      <c r="G14" s="2">
        <v>1661914</v>
      </c>
      <c r="H14" s="2">
        <v>954477</v>
      </c>
      <c r="I14" s="2">
        <v>1030295</v>
      </c>
      <c r="J14" s="2">
        <v>639538</v>
      </c>
      <c r="K14" s="2">
        <v>1532513</v>
      </c>
      <c r="L14" s="2">
        <v>1482770</v>
      </c>
      <c r="M14" s="2">
        <v>1478486</v>
      </c>
      <c r="N14" s="2">
        <v>861938</v>
      </c>
      <c r="O14" s="2">
        <v>101178</v>
      </c>
      <c r="Q14" s="2">
        <f>SUM(OSRRefD11_3x)+IFERROR(SUM(OSRRefE11_3x),0)</f>
        <v>11840593.52</v>
      </c>
    </row>
    <row r="15" spans="1:18" s="9" customFormat="1" hidden="1" outlineLevel="1" x14ac:dyDescent="0.3">
      <c r="A15" s="22"/>
      <c r="B15" s="10" t="str">
        <f>CONCATENATE("          ","4146", " - ","NON-TAXABLE SALES-COIN OP MACH")</f>
        <v xml:space="preserve">          4146 - NON-TAXABLE SALES-COIN OP MACH</v>
      </c>
      <c r="C15" s="23"/>
      <c r="D15" s="2">
        <f>--20.2</f>
        <v>20.2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>
        <f>SUM(OSRRefD11_4x)+IFERROR(SUM(OSRRefE11_4x),0)</f>
        <v>20.2</v>
      </c>
    </row>
    <row r="16" spans="1:18" s="9" customFormat="1" hidden="1" outlineLevel="1" x14ac:dyDescent="0.3">
      <c r="A16" s="22"/>
      <c r="B16" s="10" t="str">
        <f>CONCATENATE("          ","4151", " - ","NON-TAXABLE SALES-FOOD")</f>
        <v xml:space="preserve">          4151 - NON-TAXABLE SALES-FOOD</v>
      </c>
      <c r="C16" s="23"/>
      <c r="D16" s="2">
        <f>--28671.38</f>
        <v>28671.38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>
        <f>SUM(OSRRefD11_5x)+IFERROR(SUM(OSRRefE11_5x),0)</f>
        <v>28671.38</v>
      </c>
    </row>
    <row r="17" spans="1:17" s="9" customFormat="1" hidden="1" outlineLevel="1" x14ac:dyDescent="0.3">
      <c r="A17" s="22"/>
      <c r="B17" s="10" t="str">
        <f>CONCATENATE("          ","4153", " - ","NON-TAXABLE SALES-FOOD")</f>
        <v xml:space="preserve">          4153 - NON-TAXABLE SALES-FOOD</v>
      </c>
      <c r="C17" s="23"/>
      <c r="D17" s="2">
        <f>--3280.71</f>
        <v>3280.71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>
        <f>SUM(OSRRefD11_6x)+IFERROR(SUM(OSRRefE11_6x),0)</f>
        <v>3280.71</v>
      </c>
    </row>
    <row r="18" spans="1:17" s="9" customFormat="1" hidden="1" outlineLevel="1" x14ac:dyDescent="0.3">
      <c r="A18" s="22"/>
      <c r="B18" s="10" t="str">
        <f>CONCATENATE("          ","4200", " - ","TAXABLE RETURNS")</f>
        <v xml:space="preserve">          4200 - TAXABLE RETURNS</v>
      </c>
      <c r="C18" s="23"/>
      <c r="D18" s="2">
        <f>-32785.21</f>
        <v>-32785.21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SUM(OSRRefD11_7x)+IFERROR(SUM(OSRRefE11_7x),0)</f>
        <v>-32785.21</v>
      </c>
    </row>
    <row r="19" spans="1:17" s="9" customFormat="1" hidden="1" outlineLevel="1" x14ac:dyDescent="0.3">
      <c r="A19" s="22"/>
      <c r="B19" s="10" t="str">
        <f>CONCATENATE("          ","4300", " - ","NON-TAX RETURNS")</f>
        <v xml:space="preserve">          4300 - NON-TAX RETURNS</v>
      </c>
      <c r="C19" s="23"/>
      <c r="D19" s="2">
        <f>-1501.58</f>
        <v>-1501.58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SUM(OSRRefD11_8x)+IFERROR(SUM(OSRRefE11_8x),0)</f>
        <v>-1501.58</v>
      </c>
    </row>
    <row r="20" spans="1:17" x14ac:dyDescent="0.3">
      <c r="A20" s="5"/>
      <c r="B20" s="6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4"/>
      <c r="Q20" s="3"/>
    </row>
    <row r="21" spans="1:17" s="9" customFormat="1" collapsed="1" x14ac:dyDescent="0.3">
      <c r="A21" s="22"/>
      <c r="B21" s="16" t="s">
        <v>218</v>
      </c>
      <c r="C21" s="23"/>
      <c r="D21" s="3">
        <f>SUM(OSRRefD14x_0)</f>
        <v>231981.13000000006</v>
      </c>
      <c r="E21" s="3">
        <f>SUM(OSRRefE14x_0)</f>
        <v>2359455</v>
      </c>
      <c r="F21" s="3">
        <f>SUM(OSRRefE14x_1)</f>
        <v>1085215</v>
      </c>
      <c r="G21" s="3">
        <f>SUM(OSRRefE14x_2)</f>
        <v>733882</v>
      </c>
      <c r="H21" s="3">
        <f>SUM(OSRRefE14x_3)</f>
        <v>495048</v>
      </c>
      <c r="I21" s="3">
        <f>SUM(OSRRefE14x_4)</f>
        <v>564114</v>
      </c>
      <c r="J21" s="3">
        <f>SUM(OSRRefE14x_5)</f>
        <v>1675649</v>
      </c>
      <c r="K21" s="3">
        <f>SUM(OSRRefE14x_6)</f>
        <v>865778</v>
      </c>
      <c r="L21" s="3">
        <f>SUM(OSRRefE14x_7)</f>
        <v>720357</v>
      </c>
      <c r="M21" s="3">
        <f>SUM(OSRRefE14x_8)</f>
        <v>807534</v>
      </c>
      <c r="N21" s="3">
        <f>SUM(OSRRefE14x_9)</f>
        <v>804888</v>
      </c>
      <c r="O21" s="3">
        <f>SUM(OSRRefE14x_10)</f>
        <v>279546</v>
      </c>
      <c r="Q21" s="3">
        <f>SUM(OSRRefG14x)</f>
        <v>10623447.130000003</v>
      </c>
    </row>
    <row r="22" spans="1:17" s="9" customFormat="1" hidden="1" outlineLevel="1" x14ac:dyDescent="0.3">
      <c r="A22" s="22"/>
      <c r="B22" s="10" t="str">
        <f>CONCATENATE("          ","5000", " - ","PURCHASES @ COST")</f>
        <v xml:space="preserve">          5000 - PURCHASES @ COST</v>
      </c>
      <c r="C22" s="23"/>
      <c r="D22" s="2">
        <v>442136.21</v>
      </c>
      <c r="E22" s="2">
        <v>2359455</v>
      </c>
      <c r="F22" s="2">
        <v>1085215</v>
      </c>
      <c r="G22" s="2">
        <v>733882</v>
      </c>
      <c r="H22" s="2">
        <v>495048</v>
      </c>
      <c r="I22" s="2">
        <v>564114</v>
      </c>
      <c r="J22" s="2">
        <v>1675649</v>
      </c>
      <c r="K22" s="2">
        <v>865778</v>
      </c>
      <c r="L22" s="2">
        <v>720357</v>
      </c>
      <c r="M22" s="2">
        <v>807534</v>
      </c>
      <c r="N22" s="2">
        <v>804888</v>
      </c>
      <c r="O22" s="2">
        <v>279546</v>
      </c>
      <c r="Q22" s="2">
        <f>SUM(OSRRefD14_0x)+IFERROR(SUM(OSRRefE14_0x),0)</f>
        <v>10833602.210000001</v>
      </c>
    </row>
    <row r="23" spans="1:17" s="9" customFormat="1" hidden="1" outlineLevel="1" x14ac:dyDescent="0.3">
      <c r="A23" s="22"/>
      <c r="B23" s="10" t="str">
        <f>CONCATENATE("          ","5001", " - ","PURCHASES @ COST-NEW TEXT")</f>
        <v xml:space="preserve">          5001 - PURCHASES @ COST-NEW TEXT</v>
      </c>
      <c r="C23" s="23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SUM(OSRRefD14_1x)+IFERROR(SUM(OSRRefE14_1x),0)</f>
        <v>0</v>
      </c>
    </row>
    <row r="24" spans="1:17" s="9" customFormat="1" hidden="1" outlineLevel="1" x14ac:dyDescent="0.3">
      <c r="A24" s="22"/>
      <c r="B24" s="10" t="str">
        <f>CONCATENATE("          ","5002", " - ","PURCHASES @ COST-USED TEXT")</f>
        <v xml:space="preserve">          5002 - PURCHASES @ COST-USED TEXT</v>
      </c>
      <c r="C24" s="23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SUM(OSRRefD14_2x)+IFERROR(SUM(OSRRefE14_2x),0)</f>
        <v>0</v>
      </c>
    </row>
    <row r="25" spans="1:17" s="9" customFormat="1" hidden="1" outlineLevel="1" x14ac:dyDescent="0.3">
      <c r="A25" s="22"/>
      <c r="B25" s="10" t="str">
        <f>CONCATENATE("          ","5004", " - ","PURCHASES @ COST-DIGITAL TEXT")</f>
        <v xml:space="preserve">          5004 - PURCHASES @ COST-DIGITAL TEXT</v>
      </c>
      <c r="C25" s="23"/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SUM(OSRRefD14_3x)+IFERROR(SUM(OSRRefE14_3x),0)</f>
        <v>0</v>
      </c>
    </row>
    <row r="26" spans="1:17" s="9" customFormat="1" hidden="1" outlineLevel="1" x14ac:dyDescent="0.3">
      <c r="A26" s="22"/>
      <c r="B26" s="10" t="str">
        <f>CONCATENATE("          ","5040", " - ","PURCHASES @ COST-LOGO CLOTHING")</f>
        <v xml:space="preserve">          5040 - PURCHASES @ COST-LOGO CLOTHING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SUM(OSRRefD14_4x)+IFERROR(SUM(OSRRefE14_4x),0)</f>
        <v>0</v>
      </c>
    </row>
    <row r="27" spans="1:17" s="9" customFormat="1" hidden="1" outlineLevel="1" x14ac:dyDescent="0.3">
      <c r="A27" s="22"/>
      <c r="B27" s="10" t="str">
        <f>CONCATENATE("          ","5041", " - ","PURCHASES @ COST-LOGO GIFTS")</f>
        <v xml:space="preserve">          5041 - PURCHASES @ COST-LOGO GIFTS</v>
      </c>
      <c r="C27" s="23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>
        <f>SUM(OSRRefD14_5x)+IFERROR(SUM(OSRRefE14_5x),0)</f>
        <v>0</v>
      </c>
    </row>
    <row r="28" spans="1:17" s="9" customFormat="1" hidden="1" outlineLevel="1" x14ac:dyDescent="0.3">
      <c r="A28" s="22"/>
      <c r="B28" s="10" t="str">
        <f>CONCATENATE("          ","5042", " - ","PURCHASES @ COST-EVERYDAY GIFT")</f>
        <v xml:space="preserve">          5042 - PURCHASES @ COST-EVERYDAY GIFT</v>
      </c>
      <c r="C28" s="23"/>
      <c r="D28" s="2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>
        <f>SUM(OSRRefD14_6x)+IFERROR(SUM(OSRRefE14_6x),0)</f>
        <v>0</v>
      </c>
    </row>
    <row r="29" spans="1:17" s="9" customFormat="1" hidden="1" outlineLevel="1" x14ac:dyDescent="0.3">
      <c r="A29" s="22"/>
      <c r="B29" s="10" t="str">
        <f>CONCATENATE("          ","5043", " - ","PURCHASES @ COST-CARDS")</f>
        <v xml:space="preserve">          5043 - PURCHASES @ COST-CARDS</v>
      </c>
      <c r="C29" s="23"/>
      <c r="D29" s="2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>
        <f>SUM(OSRRefD14_7x)+IFERROR(SUM(OSRRefE14_7x),0)</f>
        <v>0</v>
      </c>
    </row>
    <row r="30" spans="1:17" s="9" customFormat="1" hidden="1" outlineLevel="1" x14ac:dyDescent="0.3">
      <c r="A30" s="22"/>
      <c r="B30" s="10" t="str">
        <f>CONCATENATE("          ","5044", " - ","PURCHASES @ COST-ACCESSORIES")</f>
        <v xml:space="preserve">          5044 - PURCHASES @ COST-ACCESSORIES</v>
      </c>
      <c r="C30" s="23"/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>
        <f>SUM(OSRRefD14_8x)+IFERROR(SUM(OSRRefE14_8x),0)</f>
        <v>0</v>
      </c>
    </row>
    <row r="31" spans="1:17" s="9" customFormat="1" hidden="1" outlineLevel="1" x14ac:dyDescent="0.3">
      <c r="A31" s="22"/>
      <c r="B31" s="10" t="str">
        <f>CONCATENATE("          ","5045", " - ","PURCHASES @ COST-SPECIAL ORDER")</f>
        <v xml:space="preserve">          5045 - PURCHASES @ COST-SPECIAL ORDER</v>
      </c>
      <c r="C31" s="23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>
        <f>SUM(OSRRefD14_9x)+IFERROR(SUM(OSRRefE14_9x),0)</f>
        <v>0</v>
      </c>
    </row>
    <row r="32" spans="1:17" s="9" customFormat="1" hidden="1" outlineLevel="1" x14ac:dyDescent="0.3">
      <c r="A32" s="22"/>
      <c r="B32" s="10" t="str">
        <f>CONCATENATE("          ","5053", " - ","PURCHASES @ COST-FOOD")</f>
        <v xml:space="preserve">          5053 - PURCHASES @ COST-FOOD</v>
      </c>
      <c r="C32" s="23"/>
      <c r="D32" s="2">
        <v>26193.22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>
        <f>SUM(OSRRefD14_10x)+IFERROR(SUM(OSRRefE14_10x),0)</f>
        <v>26193.22</v>
      </c>
    </row>
    <row r="33" spans="1:17" s="9" customFormat="1" hidden="1" outlineLevel="1" x14ac:dyDescent="0.3">
      <c r="A33" s="22"/>
      <c r="B33" s="10" t="str">
        <f>CONCATENATE("          ","5059", " - ","PURCHASES @ COST-FOOD")</f>
        <v xml:space="preserve">          5059 - PURCHASES @ COST-FOOD</v>
      </c>
      <c r="C33" s="23"/>
      <c r="D33" s="2">
        <v>-4005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>
        <f>SUM(OSRRefD14_11x)+IFERROR(SUM(OSRRefE14_11x),0)</f>
        <v>-4005</v>
      </c>
    </row>
    <row r="34" spans="1:17" s="9" customFormat="1" hidden="1" outlineLevel="1" x14ac:dyDescent="0.3">
      <c r="A34" s="22"/>
      <c r="B34" s="10" t="str">
        <f>CONCATENATE("          ","5081", " - ","PURCHASES @ COST-ELECTRONICS")</f>
        <v xml:space="preserve">          5081 - PURCHASES @ COST-ELECTRONICS</v>
      </c>
      <c r="C34" s="23"/>
      <c r="D34" s="2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>
        <f>SUM(OSRRefD14_12x)+IFERROR(SUM(OSRRefE14_12x),0)</f>
        <v>0</v>
      </c>
    </row>
    <row r="35" spans="1:17" s="9" customFormat="1" hidden="1" outlineLevel="1" x14ac:dyDescent="0.3">
      <c r="A35" s="22"/>
      <c r="B35" s="10" t="str">
        <f>CONCATENATE("          ","5082", " - ","PURCHASES @ COST-COMPUTER HARD")</f>
        <v xml:space="preserve">          5082 - PURCHASES @ COST-COMPUTER HARD</v>
      </c>
      <c r="C35" s="23"/>
      <c r="D35" s="2">
        <v>-10902.62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>
        <f>SUM(OSRRefD14_13x)+IFERROR(SUM(OSRRefE14_13x),0)</f>
        <v>-10902.62</v>
      </c>
    </row>
    <row r="36" spans="1:17" s="9" customFormat="1" hidden="1" outlineLevel="1" x14ac:dyDescent="0.3">
      <c r="A36" s="22"/>
      <c r="B36" s="10" t="str">
        <f>CONCATENATE("          ","5083", " - ","PURCHASES @ COST-COMPUTER EQUI")</f>
        <v xml:space="preserve">          5083 - PURCHASES @ COST-COMPUTER EQUI</v>
      </c>
      <c r="C36" s="23"/>
      <c r="D36" s="2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>
        <f>SUM(OSRRefD14_14x)+IFERROR(SUM(OSRRefE14_14x),0)</f>
        <v>0</v>
      </c>
    </row>
    <row r="37" spans="1:17" s="9" customFormat="1" hidden="1" outlineLevel="1" x14ac:dyDescent="0.3">
      <c r="A37" s="22"/>
      <c r="B37" s="10" t="str">
        <f>CONCATENATE("          ","5085", " - ","PURCHASES @ COST-SOFTWARE")</f>
        <v xml:space="preserve">          5085 - PURCHASES @ COST-SOFTWARE</v>
      </c>
      <c r="C37" s="23"/>
      <c r="D37" s="2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>
        <f>SUM(OSRRefD14_15x)+IFERROR(SUM(OSRRefE14_15x),0)</f>
        <v>0</v>
      </c>
    </row>
    <row r="38" spans="1:17" s="9" customFormat="1" hidden="1" outlineLevel="1" x14ac:dyDescent="0.3">
      <c r="A38" s="22"/>
      <c r="B38" s="10" t="str">
        <f>CONCATENATE("          ","5086", " - ","PURCHASES @ COST-COMPUTER SUPP")</f>
        <v xml:space="preserve">          5086 - PURCHASES @ COST-COMPUTER SUPP</v>
      </c>
      <c r="C38" s="23"/>
      <c r="D38" s="2"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>
        <f>SUM(OSRRefD14_16x)+IFERROR(SUM(OSRRefE14_16x),0)</f>
        <v>0</v>
      </c>
    </row>
    <row r="39" spans="1:17" s="9" customFormat="1" hidden="1" outlineLevel="1" x14ac:dyDescent="0.3">
      <c r="A39" s="22"/>
      <c r="B39" s="10" t="str">
        <f>CONCATENATE("          ","5200", " - ","PURCHASES OFFSET")</f>
        <v xml:space="preserve">          5200 - PURCHASES OFFSET</v>
      </c>
      <c r="C39" s="23"/>
      <c r="D39" s="2">
        <v>-443731.32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>
        <f>SUM(OSRRefD14_17x)+IFERROR(SUM(OSRRefE14_17x),0)</f>
        <v>-443731.32</v>
      </c>
    </row>
    <row r="40" spans="1:17" s="9" customFormat="1" hidden="1" outlineLevel="1" x14ac:dyDescent="0.3">
      <c r="A40" s="22"/>
      <c r="B40" s="10" t="str">
        <f>CONCATENATE("          ","5300", " - ","COG$ OFFSET")</f>
        <v xml:space="preserve">          5300 - COG$ OFFSET</v>
      </c>
      <c r="C40" s="23"/>
      <c r="D40" s="2">
        <v>218685.5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>
        <f>SUM(OSRRefD14_18x)+IFERROR(SUM(OSRRefE14_18x),0)</f>
        <v>218685.5</v>
      </c>
    </row>
    <row r="41" spans="1:17" s="9" customFormat="1" hidden="1" outlineLevel="1" x14ac:dyDescent="0.3">
      <c r="A41" s="22"/>
      <c r="B41" s="10" t="str">
        <f>CONCATENATE("          ","5500", " - ","FREIGHT-IN")</f>
        <v xml:space="preserve">          5500 - FREIGHT-IN</v>
      </c>
      <c r="C41" s="23"/>
      <c r="D41" s="2">
        <v>3605.14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>
        <f>SUM(OSRRefD14_19x)+IFERROR(SUM(OSRRefE14_19x),0)</f>
        <v>3605.14</v>
      </c>
    </row>
    <row r="42" spans="1:17" s="9" customFormat="1" hidden="1" outlineLevel="1" x14ac:dyDescent="0.3">
      <c r="A42" s="22"/>
      <c r="B42" s="10" t="str">
        <f>CONCATENATE("          ","5501", " - ","FREIGHT-IN-NEW TEXT")</f>
        <v xml:space="preserve">          5501 - FREIGHT-IN-NEW TEXT</v>
      </c>
      <c r="C42" s="23"/>
      <c r="D42" s="2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>
        <f>SUM(OSRRefD14_20x)+IFERROR(SUM(OSRRefE14_20x),0)</f>
        <v>0</v>
      </c>
    </row>
    <row r="43" spans="1:17" s="9" customFormat="1" hidden="1" outlineLevel="1" x14ac:dyDescent="0.3">
      <c r="A43" s="22"/>
      <c r="B43" s="10" t="str">
        <f>CONCATENATE("          ","5502", " - ","FREIGHT-IN-USED TEXT")</f>
        <v xml:space="preserve">          5502 - FREIGHT-IN-USED TEXT</v>
      </c>
      <c r="C43" s="23"/>
      <c r="D43" s="2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>
        <f>SUM(OSRRefD14_21x)+IFERROR(SUM(OSRRefE14_21x),0)</f>
        <v>0</v>
      </c>
    </row>
    <row r="44" spans="1:17" s="9" customFormat="1" hidden="1" outlineLevel="1" x14ac:dyDescent="0.3">
      <c r="A44" s="22"/>
      <c r="B44" s="10" t="str">
        <f>CONCATENATE("          ","5518", " - ","FREIGHT-IN-STUDY GUIDES")</f>
        <v xml:space="preserve">          5518 - FREIGHT-IN-STUDY GUIDES</v>
      </c>
      <c r="C44" s="23"/>
      <c r="D44" s="2"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>
        <f>SUM(OSRRefD14_22x)+IFERROR(SUM(OSRRefE14_22x),0)</f>
        <v>0</v>
      </c>
    </row>
    <row r="45" spans="1:17" s="9" customFormat="1" hidden="1" outlineLevel="1" x14ac:dyDescent="0.3">
      <c r="A45" s="22"/>
      <c r="B45" s="10" t="str">
        <f>CONCATENATE("          ","5540", " - ","FREIGHT-IN-LOGO CLOTHING")</f>
        <v xml:space="preserve">          5540 - FREIGHT-IN-LOGO CLOTHING</v>
      </c>
      <c r="C45" s="23"/>
      <c r="D45" s="2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>
        <f>SUM(OSRRefD14_23x)+IFERROR(SUM(OSRRefE14_23x),0)</f>
        <v>0</v>
      </c>
    </row>
    <row r="46" spans="1:17" s="9" customFormat="1" hidden="1" outlineLevel="1" x14ac:dyDescent="0.3">
      <c r="A46" s="22"/>
      <c r="B46" s="10" t="str">
        <f>CONCATENATE("          ","5541", " - ","FREIGHT-IN-LOGO GIFTS")</f>
        <v xml:space="preserve">          5541 - FREIGHT-IN-LOGO GIFTS</v>
      </c>
      <c r="C46" s="23"/>
      <c r="D46" s="2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>
        <f>SUM(OSRRefD14_24x)+IFERROR(SUM(OSRRefE14_24x),0)</f>
        <v>0</v>
      </c>
    </row>
    <row r="47" spans="1:17" s="9" customFormat="1" hidden="1" outlineLevel="1" x14ac:dyDescent="0.3">
      <c r="A47" s="22"/>
      <c r="B47" s="10" t="str">
        <f>CONCATENATE("          ","5542", " - ","FREIGHT-IN-EVERYDAY GIFTS")</f>
        <v xml:space="preserve">          5542 - FREIGHT-IN-EVERYDAY GIFTS</v>
      </c>
      <c r="C47" s="23"/>
      <c r="D47" s="2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>
        <f>SUM(OSRRefD14_25x)+IFERROR(SUM(OSRRefE14_25x),0)</f>
        <v>0</v>
      </c>
    </row>
    <row r="48" spans="1:17" s="9" customFormat="1" hidden="1" outlineLevel="1" x14ac:dyDescent="0.3">
      <c r="A48" s="22"/>
      <c r="B48" s="10" t="str">
        <f>CONCATENATE("          ","5544", " - ","FREIGHT-IN-ACCESSORIES")</f>
        <v xml:space="preserve">          5544 - FREIGHT-IN-ACCESSORIES</v>
      </c>
      <c r="C48" s="23"/>
      <c r="D48" s="2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>
        <f>SUM(OSRRefD14_26x)+IFERROR(SUM(OSRRefE14_26x),0)</f>
        <v>0</v>
      </c>
    </row>
    <row r="49" spans="1:17" s="9" customFormat="1" hidden="1" outlineLevel="1" x14ac:dyDescent="0.3">
      <c r="A49" s="22"/>
      <c r="B49" s="10" t="str">
        <f>CONCATENATE("          ","5545", " - ","FREIGHT-IN-SPECIAL ORDERS")</f>
        <v xml:space="preserve">          5545 - FREIGHT-IN-SPECIAL ORDERS</v>
      </c>
      <c r="C49" s="23"/>
      <c r="D49" s="2"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>
        <f>SUM(OSRRefD14_27x)+IFERROR(SUM(OSRRefE14_27x),0)</f>
        <v>0</v>
      </c>
    </row>
    <row r="50" spans="1:17" s="9" customFormat="1" hidden="1" outlineLevel="1" x14ac:dyDescent="0.3">
      <c r="A50" s="22"/>
      <c r="B50" s="10" t="str">
        <f>CONCATENATE("          ","5583", " - ","FREIGHT-IN-COMPUTER EQUIPMENT")</f>
        <v xml:space="preserve">          5583 - FREIGHT-IN-COMPUTER EQUIPMENT</v>
      </c>
      <c r="C50" s="23"/>
      <c r="D50" s="2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>
        <f>SUM(OSRRefD14_28x)+IFERROR(SUM(OSRRefE14_28x),0)</f>
        <v>0</v>
      </c>
    </row>
    <row r="51" spans="1:17" x14ac:dyDescent="0.3">
      <c r="A51" s="5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</row>
    <row r="52" spans="1:17" s="15" customFormat="1" x14ac:dyDescent="0.3">
      <c r="A52" s="6"/>
      <c r="B52" s="17" t="s">
        <v>105</v>
      </c>
      <c r="C52" s="17"/>
      <c r="D52" s="8">
        <f t="shared" ref="D52:O52" si="0">IFERROR(+D10-D21, 0)</f>
        <v>272168.04999999987</v>
      </c>
      <c r="E52" s="8">
        <f t="shared" si="0"/>
        <v>1276248</v>
      </c>
      <c r="F52" s="8">
        <f t="shared" si="0"/>
        <v>1300161</v>
      </c>
      <c r="G52" s="8">
        <f t="shared" si="0"/>
        <v>1420832</v>
      </c>
      <c r="H52" s="8">
        <f t="shared" si="0"/>
        <v>839084</v>
      </c>
      <c r="I52" s="8">
        <f t="shared" si="0"/>
        <v>944039</v>
      </c>
      <c r="J52" s="8">
        <f t="shared" si="0"/>
        <v>1173392</v>
      </c>
      <c r="K52" s="8">
        <f t="shared" si="0"/>
        <v>1444868</v>
      </c>
      <c r="L52" s="8">
        <f t="shared" si="0"/>
        <v>1342842</v>
      </c>
      <c r="M52" s="8">
        <f t="shared" si="0"/>
        <v>1353251</v>
      </c>
      <c r="N52" s="8">
        <f t="shared" si="0"/>
        <v>891332</v>
      </c>
      <c r="O52" s="8">
        <f t="shared" si="0"/>
        <v>248630</v>
      </c>
      <c r="Q52" s="8">
        <f>IFERROR(+Q10-Q21, 0)</f>
        <v>12506847.049999997</v>
      </c>
    </row>
    <row r="53" spans="1:17" s="6" customFormat="1" x14ac:dyDescent="0.3">
      <c r="B53" s="16"/>
      <c r="C53" s="16"/>
      <c r="D53" s="4">
        <f t="shared" ref="D53:O53" si="1">IFERROR(D52/D10, 0)</f>
        <v>0.53985617907778782</v>
      </c>
      <c r="E53" s="4">
        <f t="shared" si="1"/>
        <v>0.35103197373382811</v>
      </c>
      <c r="F53" s="4">
        <f t="shared" si="1"/>
        <v>0.54505495150450078</v>
      </c>
      <c r="G53" s="4">
        <f t="shared" si="1"/>
        <v>0.65940630635898778</v>
      </c>
      <c r="H53" s="4">
        <f t="shared" si="1"/>
        <v>0.62893626717596163</v>
      </c>
      <c r="I53" s="4">
        <f t="shared" si="1"/>
        <v>0.62595704812442765</v>
      </c>
      <c r="J53" s="4">
        <f t="shared" si="1"/>
        <v>0.4118550768486659</v>
      </c>
      <c r="K53" s="4">
        <f t="shared" si="1"/>
        <v>0.62530911268969802</v>
      </c>
      <c r="L53" s="4">
        <f t="shared" si="1"/>
        <v>0.65085432864207471</v>
      </c>
      <c r="M53" s="4">
        <f t="shared" si="1"/>
        <v>0.62627748711695053</v>
      </c>
      <c r="N53" s="4">
        <f t="shared" si="1"/>
        <v>0.52548136444564975</v>
      </c>
      <c r="O53" s="4">
        <f t="shared" si="1"/>
        <v>0.47073324043500653</v>
      </c>
      <c r="P53" s="18"/>
      <c r="Q53" s="4">
        <f>IFERROR(Q52/Q10, 0)</f>
        <v>0.54071283973613504</v>
      </c>
    </row>
    <row r="54" spans="1:17" x14ac:dyDescent="0.3">
      <c r="A54" s="5"/>
      <c r="B54" s="6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</row>
    <row r="55" spans="1:17" s="15" customFormat="1" x14ac:dyDescent="0.3">
      <c r="A55" s="6"/>
      <c r="B55" s="16" t="s">
        <v>255</v>
      </c>
      <c r="C55" s="6"/>
      <c r="D55" s="13">
        <f>SUM(OSRRefD20x_0)</f>
        <v>878488.93999999971</v>
      </c>
      <c r="E55" s="13">
        <f>SUM(OSRRefE20x_0)</f>
        <v>1147668.3514493448</v>
      </c>
      <c r="F55" s="13">
        <f>SUM(OSRRefE20x_1)</f>
        <v>1136394.1301663958</v>
      </c>
      <c r="G55" s="13">
        <f>SUM(OSRRefE20x_2)</f>
        <v>1337000.9239134118</v>
      </c>
      <c r="H55" s="13">
        <f>SUM(OSRRefE20x_3)</f>
        <v>1034157.3372979946</v>
      </c>
      <c r="I55" s="13">
        <f>SUM(OSRRefE20x_4)</f>
        <v>1036659.2946369328</v>
      </c>
      <c r="J55" s="13">
        <f>SUM(OSRRefE20x_5)</f>
        <v>1240836.7287411988</v>
      </c>
      <c r="K55" s="13">
        <f>SUM(OSRRefE20x_6)</f>
        <v>1195430.2353423792</v>
      </c>
      <c r="L55" s="13">
        <f>SUM(OSRRefE20x_7)</f>
        <v>1139370.5611706516</v>
      </c>
      <c r="M55" s="13">
        <f>SUM(OSRRefE20x_8)</f>
        <v>1280451.8692051908</v>
      </c>
      <c r="N55" s="13">
        <f>SUM(OSRRefE20x_9)</f>
        <v>991100.01926988899</v>
      </c>
      <c r="O55" s="13">
        <f>SUM(OSRRefE20x_10)</f>
        <v>793229.76545218984</v>
      </c>
      <c r="Q55" s="13">
        <f>SUM(OSRRefG20x)</f>
        <v>13210788.156645579</v>
      </c>
    </row>
    <row r="56" spans="1:17" s="34" customFormat="1" collapsed="1" x14ac:dyDescent="0.3">
      <c r="A56" s="35"/>
      <c r="B56" s="14" t="str">
        <f>CONCATENATE("     ","*Benefits                                         ")</f>
        <v xml:space="preserve">     *Benefits                                         </v>
      </c>
      <c r="C56" s="14"/>
      <c r="D56" s="1">
        <f>SUM(OSRRefD21_0x_0)</f>
        <v>146522.37</v>
      </c>
      <c r="E56" s="1">
        <f>SUM(OSRRefE21_0x_0)</f>
        <v>196246.2452656297</v>
      </c>
      <c r="F56" s="1">
        <f>SUM(OSRRefE21_0x_1)</f>
        <v>192151.24210421875</v>
      </c>
      <c r="G56" s="1">
        <f>SUM(OSRRefE21_0x_2)</f>
        <v>225310.04921261402</v>
      </c>
      <c r="H56" s="1">
        <f>SUM(OSRRefE21_0x_3)</f>
        <v>184416.08599735648</v>
      </c>
      <c r="I56" s="1">
        <f>SUM(OSRRefE21_0x_4)</f>
        <v>183507.88379629469</v>
      </c>
      <c r="J56" s="1">
        <f>SUM(OSRRefE21_0x_5)</f>
        <v>223479.91882540099</v>
      </c>
      <c r="K56" s="1">
        <f>SUM(OSRRefE21_0x_6)</f>
        <v>194840.64955674118</v>
      </c>
      <c r="L56" s="1">
        <f>SUM(OSRRefE21_0x_7)</f>
        <v>192841.58364501339</v>
      </c>
      <c r="M56" s="1">
        <f>SUM(OSRRefE21_0x_8)</f>
        <v>227142.44528939298</v>
      </c>
      <c r="N56" s="1">
        <f>SUM(OSRRefE21_0x_9)</f>
        <v>186120.15636425081</v>
      </c>
      <c r="O56" s="1">
        <f>SUM(OSRRefE21_0x_10)</f>
        <v>178852.28590155178</v>
      </c>
      <c r="Q56" s="2">
        <f>SUM(OSRRefD20_0x)+IFERROR(SUM(OSRRefE20_0x),0)</f>
        <v>2331430.9159584646</v>
      </c>
    </row>
    <row r="57" spans="1:17" s="34" customFormat="1" hidden="1" outlineLevel="1" x14ac:dyDescent="0.3">
      <c r="A57" s="35"/>
      <c r="B57" s="10" t="str">
        <f>CONCATENATE("          ","6111", " - ","F.I.C.A.")</f>
        <v xml:space="preserve">          6111 - F.I.C.A.</v>
      </c>
      <c r="C57" s="14"/>
      <c r="D57" s="20">
        <v>21298.06</v>
      </c>
      <c r="E57" s="20">
        <v>31772.130967504399</v>
      </c>
      <c r="F57" s="20">
        <v>25724.0278138627</v>
      </c>
      <c r="G57" s="20">
        <v>31859.772029861299</v>
      </c>
      <c r="H57" s="20">
        <v>25014.374207385001</v>
      </c>
      <c r="I57" s="20">
        <v>24923.471735630999</v>
      </c>
      <c r="J57" s="20">
        <v>33100.191330917303</v>
      </c>
      <c r="K57" s="20">
        <v>26443.461509289002</v>
      </c>
      <c r="L57" s="20">
        <v>26081.272126215001</v>
      </c>
      <c r="M57" s="20">
        <v>32716.4553702173</v>
      </c>
      <c r="N57" s="20">
        <v>25338.151851836999</v>
      </c>
      <c r="O57" s="20">
        <v>24882.741535965</v>
      </c>
      <c r="P57" s="36"/>
      <c r="Q57" s="2">
        <f>SUM(OSRRefD21_0_0x)+IFERROR(SUM(OSRRefE21_0_0x),0)</f>
        <v>329154.11047868495</v>
      </c>
    </row>
    <row r="58" spans="1:17" s="34" customFormat="1" hidden="1" outlineLevel="1" x14ac:dyDescent="0.3">
      <c r="A58" s="35"/>
      <c r="B58" s="10" t="str">
        <f>CONCATENATE("          ","6112", " - ","COMPENSATION INSURANCE")</f>
        <v xml:space="preserve">          6112 - COMPENSATION INSURANCE</v>
      </c>
      <c r="C58" s="14"/>
      <c r="D58" s="20">
        <v>6528.35</v>
      </c>
      <c r="E58" s="20">
        <v>14957.8007394338</v>
      </c>
      <c r="F58" s="20">
        <v>17572.557126813801</v>
      </c>
      <c r="G58" s="20">
        <v>21343.386380542299</v>
      </c>
      <c r="H58" s="20">
        <v>15928.305613713799</v>
      </c>
      <c r="I58" s="20">
        <v>15641.059625493799</v>
      </c>
      <c r="J58" s="20">
        <v>19158.200620622301</v>
      </c>
      <c r="K58" s="20">
        <v>18701.186154933799</v>
      </c>
      <c r="L58" s="20">
        <v>18260.5605791138</v>
      </c>
      <c r="M58" s="20">
        <v>21251.878469622301</v>
      </c>
      <c r="N58" s="20">
        <v>14790.8378878238</v>
      </c>
      <c r="O58" s="20">
        <v>10602.281586113801</v>
      </c>
      <c r="P58" s="36"/>
      <c r="Q58" s="2">
        <f>SUM(OSRRefD21_0_1x)+IFERROR(SUM(OSRRefE21_0_1x),0)</f>
        <v>194736.40478422734</v>
      </c>
    </row>
    <row r="59" spans="1:17" s="34" customFormat="1" hidden="1" outlineLevel="1" x14ac:dyDescent="0.3">
      <c r="A59" s="35"/>
      <c r="B59" s="10" t="str">
        <f>CONCATENATE("          ","6113", " - ","GROUP INSURANCE")</f>
        <v xml:space="preserve">          6113 - GROUP INSURANCE</v>
      </c>
      <c r="C59" s="14"/>
      <c r="D59" s="20">
        <v>72477.48</v>
      </c>
      <c r="E59" s="20">
        <v>96991.076923076893</v>
      </c>
      <c r="F59" s="20">
        <v>95634.269230769205</v>
      </c>
      <c r="G59" s="20">
        <v>109917.846153846</v>
      </c>
      <c r="H59" s="20">
        <v>93102.996153846194</v>
      </c>
      <c r="I59" s="20">
        <v>92687.738461538407</v>
      </c>
      <c r="J59" s="20">
        <v>108818.476923077</v>
      </c>
      <c r="K59" s="20">
        <v>96396.076923076893</v>
      </c>
      <c r="L59" s="20">
        <v>95602.323076923101</v>
      </c>
      <c r="M59" s="20">
        <v>110469.769230769</v>
      </c>
      <c r="N59" s="20">
        <v>96122.3384615385</v>
      </c>
      <c r="O59" s="20">
        <v>97043.6615384615</v>
      </c>
      <c r="P59" s="36"/>
      <c r="Q59" s="2">
        <f>SUM(OSRRefD21_0_2x)+IFERROR(SUM(OSRRefE21_0_2x),0)</f>
        <v>1165264.0530769227</v>
      </c>
    </row>
    <row r="60" spans="1:17" s="34" customFormat="1" hidden="1" outlineLevel="1" x14ac:dyDescent="0.3">
      <c r="A60" s="35"/>
      <c r="B60" s="10" t="str">
        <f>CONCATENATE("          ","6114", " - ","STATE UNEMPLOYMENT INSURANCE")</f>
        <v xml:space="preserve">          6114 - STATE UNEMPLOYMENT INSURANCE</v>
      </c>
      <c r="C60" s="14"/>
      <c r="D60" s="20">
        <v>753.55</v>
      </c>
      <c r="E60" s="20">
        <v>1136.80069842231</v>
      </c>
      <c r="F60" s="20">
        <v>1226.4167701961501</v>
      </c>
      <c r="G60" s="20">
        <v>1448.3644384125</v>
      </c>
      <c r="H60" s="20">
        <v>1092.34619445</v>
      </c>
      <c r="I60" s="20">
        <v>1100.2977356700001</v>
      </c>
      <c r="J60" s="20">
        <v>1440.1324808325001</v>
      </c>
      <c r="K60" s="20">
        <v>1268.5062364800001</v>
      </c>
      <c r="L60" s="20">
        <v>1231.7590697999999</v>
      </c>
      <c r="M60" s="20">
        <v>1451.9661488325</v>
      </c>
      <c r="N60" s="20">
        <v>1044.8096250900001</v>
      </c>
      <c r="O60" s="20">
        <v>799.28587304999996</v>
      </c>
      <c r="P60" s="36"/>
      <c r="Q60" s="2">
        <f>SUM(OSRRefD21_0_3x)+IFERROR(SUM(OSRRefE21_0_3x),0)</f>
        <v>13994.235271235959</v>
      </c>
    </row>
    <row r="61" spans="1:17" s="34" customFormat="1" hidden="1" outlineLevel="1" x14ac:dyDescent="0.3">
      <c r="A61" s="35"/>
      <c r="B61" s="10" t="str">
        <f>CONCATENATE("          ","6115", " - ","P.E.R.S.")</f>
        <v xml:space="preserve">          6115 - P.E.R.S.</v>
      </c>
      <c r="C61" s="14"/>
      <c r="D61" s="20">
        <v>13543.27</v>
      </c>
      <c r="E61" s="20">
        <v>12234.3539727231</v>
      </c>
      <c r="F61" s="20">
        <v>11903.882434261501</v>
      </c>
      <c r="G61" s="20">
        <v>14466.76361975</v>
      </c>
      <c r="H61" s="20">
        <v>11573.4108958</v>
      </c>
      <c r="I61" s="20">
        <v>11573.4108958</v>
      </c>
      <c r="J61" s="20">
        <v>15061.18916975</v>
      </c>
      <c r="K61" s="20">
        <v>12048.9513358</v>
      </c>
      <c r="L61" s="20">
        <v>12048.9513358</v>
      </c>
      <c r="M61" s="20">
        <v>15061.18916975</v>
      </c>
      <c r="N61" s="20">
        <v>12048.9513358</v>
      </c>
      <c r="O61" s="20">
        <v>12048.9513358</v>
      </c>
      <c r="P61" s="36"/>
      <c r="Q61" s="2">
        <f>SUM(OSRRefD21_0_4x)+IFERROR(SUM(OSRRefE21_0_4x),0)</f>
        <v>153613.27550103457</v>
      </c>
    </row>
    <row r="62" spans="1:17" s="34" customFormat="1" hidden="1" outlineLevel="1" x14ac:dyDescent="0.3">
      <c r="A62" s="35"/>
      <c r="B62" s="10" t="str">
        <f>CONCATENATE("          ","6116", " - ","EDUCATIONAL BENEFITS")</f>
        <v xml:space="preserve">          6116 - EDUCATIONAL BENEFITS</v>
      </c>
      <c r="C62" s="14"/>
      <c r="D62" s="20"/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36"/>
      <c r="Q62" s="2">
        <f>SUM(OSRRefD21_0_5x)+IFERROR(SUM(OSRRefE21_0_5x),0)</f>
        <v>0</v>
      </c>
    </row>
    <row r="63" spans="1:17" s="34" customFormat="1" hidden="1" outlineLevel="1" x14ac:dyDescent="0.3">
      <c r="A63" s="35"/>
      <c r="B63" s="10" t="str">
        <f>CONCATENATE("          ","6117", " - ","RETIREMENT STAFF HOURLY")</f>
        <v xml:space="preserve">          6117 - RETIREMENT STAFF HOURLY</v>
      </c>
      <c r="C63" s="14"/>
      <c r="D63" s="20">
        <v>2099.73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36"/>
      <c r="Q63" s="2">
        <f>SUM(OSRRefD21_0_6x)+IFERROR(SUM(OSRRefE21_0_6x),0)</f>
        <v>2099.73</v>
      </c>
    </row>
    <row r="64" spans="1:17" s="34" customFormat="1" hidden="1" outlineLevel="1" x14ac:dyDescent="0.3">
      <c r="A64" s="35"/>
      <c r="B64" s="10" t="str">
        <f>CONCATENATE("          ","6118", " - ","VACATION")</f>
        <v xml:space="preserve">          6118 - VACATION</v>
      </c>
      <c r="C64" s="14"/>
      <c r="D64" s="20">
        <v>14867.33</v>
      </c>
      <c r="E64" s="20">
        <v>13140.914715746099</v>
      </c>
      <c r="F64" s="20">
        <v>12737.067100976899</v>
      </c>
      <c r="G64" s="20">
        <v>15465.4703177596</v>
      </c>
      <c r="H64" s="20">
        <v>12270.025950207701</v>
      </c>
      <c r="I64" s="20">
        <v>12247.595646207699</v>
      </c>
      <c r="J64" s="20">
        <v>15554.5319237596</v>
      </c>
      <c r="K64" s="20">
        <v>12553.4688542077</v>
      </c>
      <c r="L64" s="20">
        <v>12509.758230207701</v>
      </c>
      <c r="M64" s="20">
        <v>15645.6767237596</v>
      </c>
      <c r="N64" s="20">
        <v>12538.473702207701</v>
      </c>
      <c r="O64" s="20">
        <v>12589.631430207701</v>
      </c>
      <c r="P64" s="36"/>
      <c r="Q64" s="2">
        <f>SUM(OSRRefD21_0_7x)+IFERROR(SUM(OSRRefE21_0_7x),0)</f>
        <v>162119.944595248</v>
      </c>
    </row>
    <row r="65" spans="1:17" s="34" customFormat="1" hidden="1" outlineLevel="1" x14ac:dyDescent="0.3">
      <c r="A65" s="35"/>
      <c r="B65" s="10" t="str">
        <f>CONCATENATE("          ","6119", " - ","SICK LEAVE")</f>
        <v xml:space="preserve">          6119 - SICK LEAVE</v>
      </c>
      <c r="C65" s="14"/>
      <c r="D65" s="20">
        <v>10081.73</v>
      </c>
      <c r="E65" s="20">
        <v>17052.167248723101</v>
      </c>
      <c r="F65" s="20">
        <v>18232.021627338501</v>
      </c>
      <c r="G65" s="20">
        <v>21463.446272442299</v>
      </c>
      <c r="H65" s="20">
        <v>16313.626981953799</v>
      </c>
      <c r="I65" s="20">
        <v>16484.309695953802</v>
      </c>
      <c r="J65" s="20">
        <v>21377.196376442302</v>
      </c>
      <c r="K65" s="20">
        <v>18642.998542953799</v>
      </c>
      <c r="L65" s="20">
        <v>18160.959226953801</v>
      </c>
      <c r="M65" s="20">
        <v>21375.510176442302</v>
      </c>
      <c r="N65" s="20">
        <v>15450.5934999538</v>
      </c>
      <c r="O65" s="20">
        <v>12115.7326019538</v>
      </c>
      <c r="P65" s="36"/>
      <c r="Q65" s="2">
        <f>SUM(OSRRefD21_0_8x)+IFERROR(SUM(OSRRefE21_0_8x),0)</f>
        <v>206750.2922511113</v>
      </c>
    </row>
    <row r="66" spans="1:17" s="34" customFormat="1" hidden="1" outlineLevel="1" x14ac:dyDescent="0.3">
      <c r="A66" s="35"/>
      <c r="B66" s="10" t="str">
        <f>CONCATENATE("          ","6156", " - ","EMPLOYEE MEALS")</f>
        <v xml:space="preserve">          6156 - EMPLOYEE MEALS</v>
      </c>
      <c r="C66" s="14"/>
      <c r="D66" s="20">
        <v>4872.87</v>
      </c>
      <c r="E66" s="20">
        <v>8961</v>
      </c>
      <c r="F66" s="20">
        <v>9121</v>
      </c>
      <c r="G66" s="20">
        <v>9345</v>
      </c>
      <c r="H66" s="20">
        <v>9121</v>
      </c>
      <c r="I66" s="20">
        <v>8850</v>
      </c>
      <c r="J66" s="20">
        <v>8970</v>
      </c>
      <c r="K66" s="20">
        <v>8786</v>
      </c>
      <c r="L66" s="20">
        <v>8946</v>
      </c>
      <c r="M66" s="20">
        <v>9170</v>
      </c>
      <c r="N66" s="20">
        <v>8786</v>
      </c>
      <c r="O66" s="20">
        <v>8770</v>
      </c>
      <c r="P66" s="36"/>
      <c r="Q66" s="2">
        <f>SUM(OSRRefD21_0_9x)+IFERROR(SUM(OSRRefE21_0_9x),0)</f>
        <v>103698.87</v>
      </c>
    </row>
    <row r="67" spans="1:17" s="34" customFormat="1" collapsed="1" x14ac:dyDescent="0.3">
      <c r="A67" s="35"/>
      <c r="B67" s="14" t="str">
        <f>CONCATENATE("     ","*Payroll                                          ")</f>
        <v xml:space="preserve">     *Payroll                                          </v>
      </c>
      <c r="C67" s="14"/>
      <c r="D67" s="1">
        <f>SUM(OSRRefD21_1x_0)</f>
        <v>348552.56</v>
      </c>
      <c r="E67" s="1">
        <f>SUM(OSRRefE21_1x_0)</f>
        <v>517368.85618371511</v>
      </c>
      <c r="F67" s="1">
        <f>SUM(OSRRefE21_1x_1)</f>
        <v>558185.38806217699</v>
      </c>
      <c r="G67" s="1">
        <f>SUM(OSRRefE21_1x_2)</f>
        <v>657742.37470079784</v>
      </c>
      <c r="H67" s="1">
        <f>SUM(OSRRefE21_1x_3)</f>
        <v>495564.75130063813</v>
      </c>
      <c r="I67" s="1">
        <f>SUM(OSRRefE21_1x_4)</f>
        <v>499865.4108406381</v>
      </c>
      <c r="J67" s="1">
        <f>SUM(OSRRefE21_1x_5)</f>
        <v>657236.3099157979</v>
      </c>
      <c r="K67" s="1">
        <f>SUM(OSRRefE21_1x_6)</f>
        <v>577638.58578563808</v>
      </c>
      <c r="L67" s="1">
        <f>SUM(OSRRefE21_1x_7)</f>
        <v>560236.72752563818</v>
      </c>
      <c r="M67" s="1">
        <f>SUM(OSRRefE21_1x_8)</f>
        <v>659701.17391579773</v>
      </c>
      <c r="N67" s="1">
        <f>SUM(OSRRefE21_1x_9)</f>
        <v>473668.86290563812</v>
      </c>
      <c r="O67" s="1">
        <f>SUM(OSRRefE21_1x_10)</f>
        <v>358700.97955063812</v>
      </c>
      <c r="Q67" s="2">
        <f>SUM(OSRRefD20_1x)+IFERROR(SUM(OSRRefE20_1x),0)</f>
        <v>6364461.9806871144</v>
      </c>
    </row>
    <row r="68" spans="1:17" s="34" customFormat="1" hidden="1" outlineLevel="1" x14ac:dyDescent="0.3">
      <c r="A68" s="35"/>
      <c r="B68" s="10" t="str">
        <f>CONCATENATE("          ","6001", " - ","ADMINISTRATIVE SALARIES")</f>
        <v xml:space="preserve">          6001 - ADMINISTRATIVE SALARIES</v>
      </c>
      <c r="C68" s="14"/>
      <c r="D68" s="20">
        <v>36234.019999999997</v>
      </c>
      <c r="E68" s="20">
        <v>18547.9230769231</v>
      </c>
      <c r="F68" s="20">
        <v>18547.9230769231</v>
      </c>
      <c r="G68" s="20">
        <v>23184.9038461538</v>
      </c>
      <c r="H68" s="20">
        <v>18547.9230769231</v>
      </c>
      <c r="I68" s="20">
        <v>18547.9230769231</v>
      </c>
      <c r="J68" s="20">
        <v>23184.9038461538</v>
      </c>
      <c r="K68" s="20">
        <v>18547.9230769231</v>
      </c>
      <c r="L68" s="20">
        <v>18547.9230769231</v>
      </c>
      <c r="M68" s="20">
        <v>23184.9038461538</v>
      </c>
      <c r="N68" s="20">
        <v>18547.9230769231</v>
      </c>
      <c r="O68" s="20">
        <v>18547.9230769231</v>
      </c>
      <c r="P68" s="36"/>
      <c r="Q68" s="2">
        <f>SUM(OSRRefD21_1_0x)+IFERROR(SUM(OSRRefE21_1_0x),0)</f>
        <v>254172.11615384617</v>
      </c>
    </row>
    <row r="69" spans="1:17" s="34" customFormat="1" hidden="1" outlineLevel="1" x14ac:dyDescent="0.3">
      <c r="A69" s="35"/>
      <c r="B69" s="10" t="str">
        <f>CONCATENATE("          ","6002", " - ","STAFF SALARIES")</f>
        <v xml:space="preserve">          6002 - STAFF SALARIES</v>
      </c>
      <c r="C69" s="14"/>
      <c r="D69" s="20">
        <v>137611.74</v>
      </c>
      <c r="E69" s="20">
        <v>111995.292038792</v>
      </c>
      <c r="F69" s="20">
        <v>108729.003577254</v>
      </c>
      <c r="G69" s="20">
        <v>131828.39389464399</v>
      </c>
      <c r="H69" s="20">
        <v>105462.71511571499</v>
      </c>
      <c r="I69" s="20">
        <v>105462.71511571499</v>
      </c>
      <c r="J69" s="20">
        <v>138394.722644644</v>
      </c>
      <c r="K69" s="20">
        <v>110715.778115715</v>
      </c>
      <c r="L69" s="20">
        <v>110715.778115715</v>
      </c>
      <c r="M69" s="20">
        <v>138394.722644644</v>
      </c>
      <c r="N69" s="20">
        <v>110715.778115715</v>
      </c>
      <c r="O69" s="20">
        <v>110715.778115715</v>
      </c>
      <c r="P69" s="36"/>
      <c r="Q69" s="2">
        <f>SUM(OSRRefD21_1_1x)+IFERROR(SUM(OSRRefE21_1_1x),0)</f>
        <v>1420742.4174942677</v>
      </c>
    </row>
    <row r="70" spans="1:17" s="34" customFormat="1" hidden="1" outlineLevel="1" x14ac:dyDescent="0.3">
      <c r="A70" s="35"/>
      <c r="B70" s="10" t="str">
        <f>CONCATENATE("          ","6003", " - ","STAFF HOURLY-9 MONTH")</f>
        <v xml:space="preserve">          6003 - STAFF HOURLY-9 MONTH</v>
      </c>
      <c r="C70" s="14"/>
      <c r="D70" s="20"/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36"/>
      <c r="Q70" s="2">
        <f>SUM(OSRRefD21_1_2x)+IFERROR(SUM(OSRRefE21_1_2x),0)</f>
        <v>0</v>
      </c>
    </row>
    <row r="71" spans="1:17" s="34" customFormat="1" hidden="1" outlineLevel="1" x14ac:dyDescent="0.3">
      <c r="A71" s="35"/>
      <c r="B71" s="10" t="str">
        <f>CONCATENATE("          ","6004", " - ","STAFF HOURLY")</f>
        <v xml:space="preserve">          6004 - STAFF HOURLY</v>
      </c>
      <c r="C71" s="14"/>
      <c r="D71" s="20">
        <v>64891.03</v>
      </c>
      <c r="E71" s="20">
        <v>147165.34856799999</v>
      </c>
      <c r="F71" s="20">
        <v>157191.16640799999</v>
      </c>
      <c r="G71" s="20">
        <v>197806.42946000001</v>
      </c>
      <c r="H71" s="20">
        <v>152546.70560799999</v>
      </c>
      <c r="I71" s="20">
        <v>151829.23764800001</v>
      </c>
      <c r="J71" s="20">
        <v>192161.61665000001</v>
      </c>
      <c r="K71" s="20">
        <v>162593.33336799999</v>
      </c>
      <c r="L71" s="20">
        <v>158381.75435800001</v>
      </c>
      <c r="M71" s="20">
        <v>200020.31015</v>
      </c>
      <c r="N71" s="20">
        <v>148185.039388</v>
      </c>
      <c r="O71" s="20">
        <v>135592.91810800001</v>
      </c>
      <c r="P71" s="36"/>
      <c r="Q71" s="2">
        <f>SUM(OSRRefD21_1_3x)+IFERROR(SUM(OSRRefE21_1_3x),0)</f>
        <v>1868364.8897140003</v>
      </c>
    </row>
    <row r="72" spans="1:17" s="34" customFormat="1" hidden="1" outlineLevel="1" x14ac:dyDescent="0.3">
      <c r="A72" s="35"/>
      <c r="B72" s="10" t="str">
        <f>CONCATENATE("          ","6005", " - ","TEMPORARY WAGES-HOURLY")</f>
        <v xml:space="preserve">          6005 - TEMPORARY WAGES-HOURLY</v>
      </c>
      <c r="C72" s="14"/>
      <c r="D72" s="20">
        <v>23606.71</v>
      </c>
      <c r="E72" s="20">
        <v>29754.080000000002</v>
      </c>
      <c r="F72" s="20">
        <v>40747.620000000003</v>
      </c>
      <c r="G72" s="20">
        <v>52080.315000000002</v>
      </c>
      <c r="H72" s="20">
        <v>34968.264999999999</v>
      </c>
      <c r="I72" s="20">
        <v>33127.764999999999</v>
      </c>
      <c r="J72" s="20">
        <v>29538.7333</v>
      </c>
      <c r="K72" s="20">
        <v>40844.490299999998</v>
      </c>
      <c r="L72" s="20">
        <v>39896.368649999997</v>
      </c>
      <c r="M72" s="20">
        <v>40844.433599999997</v>
      </c>
      <c r="N72" s="20">
        <v>25539.595549999998</v>
      </c>
      <c r="O72" s="20">
        <v>18529.9231</v>
      </c>
      <c r="P72" s="36"/>
      <c r="Q72" s="2">
        <f>SUM(OSRRefD21_1_4x)+IFERROR(SUM(OSRRefE21_1_4x),0)</f>
        <v>409478.29950000002</v>
      </c>
    </row>
    <row r="73" spans="1:17" s="34" customFormat="1" hidden="1" outlineLevel="1" x14ac:dyDescent="0.3">
      <c r="A73" s="35"/>
      <c r="B73" s="10" t="str">
        <f>CONCATENATE("          ","6006", " - ","TEMPORARY PART TIME")</f>
        <v xml:space="preserve">          6006 - TEMPORARY PART TIME</v>
      </c>
      <c r="C73" s="14"/>
      <c r="D73" s="20">
        <v>2864.4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36"/>
      <c r="Q73" s="2">
        <f>SUM(OSRRefD21_1_5x)+IFERROR(SUM(OSRRefE21_1_5x),0)</f>
        <v>2864.4</v>
      </c>
    </row>
    <row r="74" spans="1:17" s="34" customFormat="1" hidden="1" outlineLevel="1" x14ac:dyDescent="0.3">
      <c r="A74" s="35"/>
      <c r="B74" s="10" t="str">
        <f>CONCATENATE("          ","6007", " - ","STUDENT HOURLY")</f>
        <v xml:space="preserve">          6007 - STUDENT HOURLY</v>
      </c>
      <c r="C74" s="14"/>
      <c r="D74" s="20">
        <v>73560.31</v>
      </c>
      <c r="E74" s="20">
        <v>114029.5775</v>
      </c>
      <c r="F74" s="20">
        <v>30076.68</v>
      </c>
      <c r="G74" s="20">
        <v>37163.25</v>
      </c>
      <c r="H74" s="20">
        <v>29457.51</v>
      </c>
      <c r="I74" s="20">
        <v>28928.31</v>
      </c>
      <c r="J74" s="20">
        <v>52414.3056</v>
      </c>
      <c r="K74" s="20">
        <v>32349.319599999999</v>
      </c>
      <c r="L74" s="20">
        <v>31882.1116</v>
      </c>
      <c r="M74" s="20">
        <v>39265.111599999997</v>
      </c>
      <c r="N74" s="20">
        <v>32361.471600000001</v>
      </c>
      <c r="O74" s="20">
        <v>38999.771350000003</v>
      </c>
      <c r="P74" s="36"/>
      <c r="Q74" s="2">
        <f>SUM(OSRRefD21_1_6x)+IFERROR(SUM(OSRRefE21_1_6x),0)</f>
        <v>540487.72885000007</v>
      </c>
    </row>
    <row r="75" spans="1:17" s="34" customFormat="1" hidden="1" outlineLevel="1" x14ac:dyDescent="0.3">
      <c r="A75" s="35"/>
      <c r="B75" s="10" t="str">
        <f>CONCATENATE("          ","6008", " - ","STUDENT HOURLY-FICA EXEMPT")</f>
        <v xml:space="preserve">          6008 - STUDENT HOURLY-FICA EXEMPT</v>
      </c>
      <c r="C75" s="14"/>
      <c r="D75" s="20">
        <v>9784.35</v>
      </c>
      <c r="E75" s="20">
        <v>95876.634999999995</v>
      </c>
      <c r="F75" s="20">
        <v>202892.995</v>
      </c>
      <c r="G75" s="20">
        <v>215679.08249999999</v>
      </c>
      <c r="H75" s="20">
        <v>154581.63250000001</v>
      </c>
      <c r="I75" s="20">
        <v>161969.46</v>
      </c>
      <c r="J75" s="20">
        <v>221542.027875</v>
      </c>
      <c r="K75" s="20">
        <v>212587.74132500001</v>
      </c>
      <c r="L75" s="20">
        <v>200812.79172499999</v>
      </c>
      <c r="M75" s="20">
        <v>217991.692075</v>
      </c>
      <c r="N75" s="20">
        <v>138319.05517499999</v>
      </c>
      <c r="O75" s="20">
        <v>36314.665800000002</v>
      </c>
      <c r="P75" s="36"/>
      <c r="Q75" s="2">
        <f>SUM(OSRRefD21_1_7x)+IFERROR(SUM(OSRRefE21_1_7x),0)</f>
        <v>1868352.1289749998</v>
      </c>
    </row>
    <row r="76" spans="1:17" s="34" customFormat="1" hidden="1" outlineLevel="1" x14ac:dyDescent="0.3">
      <c r="A76" s="35"/>
      <c r="B76" s="10" t="str">
        <f>CONCATENATE("          ","6009", " - ","TEMPORARY-SEASONAL")</f>
        <v xml:space="preserve">          6009 - TEMPORARY-SEASONAL</v>
      </c>
      <c r="C76" s="14"/>
      <c r="D76" s="20"/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36"/>
      <c r="Q76" s="2">
        <f>SUM(OSRRefD21_1_8x)+IFERROR(SUM(OSRRefE21_1_8x),0)</f>
        <v>0</v>
      </c>
    </row>
    <row r="77" spans="1:17" s="34" customFormat="1" hidden="1" outlineLevel="1" x14ac:dyDescent="0.3">
      <c r="A77" s="35"/>
      <c r="B77" s="10" t="str">
        <f>CONCATENATE("          ","6010", " - ","GRATUITY")</f>
        <v xml:space="preserve">          6010 - GRATUITY</v>
      </c>
      <c r="C77" s="14"/>
      <c r="D77" s="20"/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36"/>
      <c r="Q77" s="2">
        <f>SUM(OSRRefD21_1_9x)+IFERROR(SUM(OSRRefE21_1_9x),0)</f>
        <v>0</v>
      </c>
    </row>
    <row r="78" spans="1:17" s="34" customFormat="1" collapsed="1" x14ac:dyDescent="0.3">
      <c r="A78" s="35"/>
      <c r="B78" s="14" t="str">
        <f>CONCATENATE("     ","Advertising/Promo                                 ")</f>
        <v xml:space="preserve">     Advertising/Promo                                 </v>
      </c>
      <c r="C78" s="14"/>
      <c r="D78" s="1">
        <f>SUM(OSRRefD21_2x_0)</f>
        <v>1084.78</v>
      </c>
      <c r="E78" s="1">
        <f>SUM(OSRRefE21_2x_0)</f>
        <v>2588</v>
      </c>
      <c r="F78" s="1">
        <f>SUM(OSRRefE21_2x_1)</f>
        <v>1919</v>
      </c>
      <c r="G78" s="1">
        <f>SUM(OSRRefE21_2x_2)</f>
        <v>1919</v>
      </c>
      <c r="H78" s="1">
        <f>SUM(OSRRefE21_2x_3)</f>
        <v>1919</v>
      </c>
      <c r="I78" s="1">
        <f>SUM(OSRRefE21_2x_4)</f>
        <v>2019</v>
      </c>
      <c r="J78" s="1">
        <f>SUM(OSRRefE21_2x_5)</f>
        <v>2219</v>
      </c>
      <c r="K78" s="1">
        <f>SUM(OSRRefE21_2x_6)</f>
        <v>1919</v>
      </c>
      <c r="L78" s="1">
        <f>SUM(OSRRefE21_2x_7)</f>
        <v>1919</v>
      </c>
      <c r="M78" s="1">
        <f>SUM(OSRRefE21_2x_8)</f>
        <v>1919</v>
      </c>
      <c r="N78" s="1">
        <f>SUM(OSRRefE21_2x_9)</f>
        <v>2019</v>
      </c>
      <c r="O78" s="1">
        <f>SUM(OSRRefE21_2x_10)</f>
        <v>1569</v>
      </c>
      <c r="Q78" s="2">
        <f>SUM(OSRRefD20_2x)+IFERROR(SUM(OSRRefE20_2x),0)</f>
        <v>23012.78</v>
      </c>
    </row>
    <row r="79" spans="1:17" s="34" customFormat="1" hidden="1" outlineLevel="1" x14ac:dyDescent="0.3">
      <c r="A79" s="35"/>
      <c r="B79" s="10" t="str">
        <f>CONCATENATE("          ","6362", " - ","ADVERTISING EXPENSE")</f>
        <v xml:space="preserve">          6362 - ADVERTISING EXPENSE</v>
      </c>
      <c r="C79" s="14"/>
      <c r="D79" s="20">
        <v>1084.78</v>
      </c>
      <c r="E79" s="20">
        <v>2588</v>
      </c>
      <c r="F79" s="20">
        <v>1919</v>
      </c>
      <c r="G79" s="20">
        <v>1919</v>
      </c>
      <c r="H79" s="20">
        <v>1919</v>
      </c>
      <c r="I79" s="20">
        <v>2019</v>
      </c>
      <c r="J79" s="20">
        <v>2219</v>
      </c>
      <c r="K79" s="20">
        <v>1919</v>
      </c>
      <c r="L79" s="20">
        <v>1919</v>
      </c>
      <c r="M79" s="20">
        <v>1919</v>
      </c>
      <c r="N79" s="20">
        <v>2019</v>
      </c>
      <c r="O79" s="20">
        <v>1569</v>
      </c>
      <c r="P79" s="36"/>
      <c r="Q79" s="2">
        <f>SUM(OSRRefD21_2_0x)+IFERROR(SUM(OSRRefE21_2_0x),0)</f>
        <v>23012.78</v>
      </c>
    </row>
    <row r="80" spans="1:17" s="34" customFormat="1" collapsed="1" x14ac:dyDescent="0.3">
      <c r="A80" s="35"/>
      <c r="B80" s="14" t="str">
        <f>CONCATENATE("     ","Bad Debts/Over/Short                              ")</f>
        <v xml:space="preserve">     Bad Debts/Over/Short                              </v>
      </c>
      <c r="C80" s="14"/>
      <c r="D80" s="1">
        <f>SUM(OSRRefD21_3x_0)</f>
        <v>-17.75</v>
      </c>
      <c r="E80" s="1">
        <f>SUM(OSRRefE21_3x_0)</f>
        <v>278</v>
      </c>
      <c r="F80" s="1">
        <f>SUM(OSRRefE21_3x_1)</f>
        <v>278</v>
      </c>
      <c r="G80" s="1">
        <f>SUM(OSRRefE21_3x_2)</f>
        <v>278</v>
      </c>
      <c r="H80" s="1">
        <f>SUM(OSRRefE21_3x_3)</f>
        <v>268</v>
      </c>
      <c r="I80" s="1">
        <f>SUM(OSRRefE21_3x_4)</f>
        <v>278</v>
      </c>
      <c r="J80" s="1">
        <f>SUM(OSRRefE21_3x_5)</f>
        <v>268</v>
      </c>
      <c r="K80" s="1">
        <f>SUM(OSRRefE21_3x_6)</f>
        <v>278</v>
      </c>
      <c r="L80" s="1">
        <f>SUM(OSRRefE21_3x_7)</f>
        <v>268</v>
      </c>
      <c r="M80" s="1">
        <f>SUM(OSRRefE21_3x_8)</f>
        <v>278</v>
      </c>
      <c r="N80" s="1">
        <f>SUM(OSRRefE21_3x_9)</f>
        <v>268</v>
      </c>
      <c r="O80" s="1">
        <f>SUM(OSRRefE21_3x_10)</f>
        <v>260</v>
      </c>
      <c r="Q80" s="2">
        <f>SUM(OSRRefD20_3x)+IFERROR(SUM(OSRRefE20_3x),0)</f>
        <v>2982.25</v>
      </c>
    </row>
    <row r="81" spans="1:17" s="34" customFormat="1" hidden="1" outlineLevel="1" x14ac:dyDescent="0.3">
      <c r="A81" s="35"/>
      <c r="B81" s="10" t="str">
        <f>CONCATENATE("          ","6272", " - ","CASH (OVER/SHORT)")</f>
        <v xml:space="preserve">          6272 - CASH (OVER/SHORT)</v>
      </c>
      <c r="C81" s="14"/>
      <c r="D81" s="20">
        <v>-17.75</v>
      </c>
      <c r="E81" s="20">
        <v>278</v>
      </c>
      <c r="F81" s="20">
        <v>278</v>
      </c>
      <c r="G81" s="20">
        <v>278</v>
      </c>
      <c r="H81" s="20">
        <v>268</v>
      </c>
      <c r="I81" s="20">
        <v>278</v>
      </c>
      <c r="J81" s="20">
        <v>268</v>
      </c>
      <c r="K81" s="20">
        <v>278</v>
      </c>
      <c r="L81" s="20">
        <v>268</v>
      </c>
      <c r="M81" s="20">
        <v>278</v>
      </c>
      <c r="N81" s="20">
        <v>268</v>
      </c>
      <c r="O81" s="20">
        <v>260</v>
      </c>
      <c r="P81" s="36"/>
      <c r="Q81" s="2">
        <f>SUM(OSRRefD21_3_0x)+IFERROR(SUM(OSRRefE21_3_0x),0)</f>
        <v>2982.25</v>
      </c>
    </row>
    <row r="82" spans="1:17" s="34" customFormat="1" collapsed="1" x14ac:dyDescent="0.3">
      <c r="A82" s="35"/>
      <c r="B82" s="14" t="str">
        <f>CONCATENATE("     ","Bank/card Fees                                    ")</f>
        <v xml:space="preserve">     Bank/card Fees                                    </v>
      </c>
      <c r="C82" s="14"/>
      <c r="D82" s="1">
        <f>SUM(OSRRefD21_4x_0)</f>
        <v>5091.76</v>
      </c>
      <c r="E82" s="1">
        <f>SUM(OSRRefE21_4x_0)</f>
        <v>53395.25</v>
      </c>
      <c r="F82" s="1">
        <f>SUM(OSRRefE21_4x_1)</f>
        <v>26207.5</v>
      </c>
      <c r="G82" s="1">
        <f>SUM(OSRRefE21_4x_2)</f>
        <v>20432.5</v>
      </c>
      <c r="H82" s="1">
        <f>SUM(OSRRefE21_4x_3)</f>
        <v>14129.5</v>
      </c>
      <c r="I82" s="1">
        <f>SUM(OSRRefE21_4x_4)</f>
        <v>15462</v>
      </c>
      <c r="J82" s="1">
        <f>SUM(OSRRefE21_4x_5)</f>
        <v>45897.5</v>
      </c>
      <c r="K82" s="1">
        <f>SUM(OSRRefE21_4x_6)</f>
        <v>33547</v>
      </c>
      <c r="L82" s="1">
        <f>SUM(OSRRefE21_4x_7)</f>
        <v>30749.25</v>
      </c>
      <c r="M82" s="1">
        <f>SUM(OSRRefE21_4x_8)</f>
        <v>32961.25</v>
      </c>
      <c r="N82" s="1">
        <f>SUM(OSRRefE21_4x_9)</f>
        <v>29226</v>
      </c>
      <c r="O82" s="1">
        <f>SUM(OSRRefE21_4x_10)</f>
        <v>13924.5</v>
      </c>
      <c r="Q82" s="2">
        <f>SUM(OSRRefD20_4x)+IFERROR(SUM(OSRRefE20_4x),0)</f>
        <v>321024.01</v>
      </c>
    </row>
    <row r="83" spans="1:17" s="34" customFormat="1" hidden="1" outlineLevel="1" x14ac:dyDescent="0.3">
      <c r="A83" s="35"/>
      <c r="B83" s="10" t="str">
        <f>CONCATENATE("          ","6381", " - ","BANK/CREDIT CARD FEES")</f>
        <v xml:space="preserve">          6381 - BANK/CREDIT CARD FEES</v>
      </c>
      <c r="C83" s="14"/>
      <c r="D83" s="20">
        <v>5091.76</v>
      </c>
      <c r="E83" s="20">
        <v>53395.25</v>
      </c>
      <c r="F83" s="20">
        <v>26207.5</v>
      </c>
      <c r="G83" s="20">
        <v>20432.5</v>
      </c>
      <c r="H83" s="20">
        <v>14129.5</v>
      </c>
      <c r="I83" s="20">
        <v>15462</v>
      </c>
      <c r="J83" s="20">
        <v>45897.5</v>
      </c>
      <c r="K83" s="20">
        <v>33547</v>
      </c>
      <c r="L83" s="20">
        <v>30749.25</v>
      </c>
      <c r="M83" s="20">
        <v>32961.25</v>
      </c>
      <c r="N83" s="20">
        <v>29226</v>
      </c>
      <c r="O83" s="20">
        <v>13924.5</v>
      </c>
      <c r="P83" s="36"/>
      <c r="Q83" s="2">
        <f>SUM(OSRRefD21_4_0x)+IFERROR(SUM(OSRRefE21_4_0x),0)</f>
        <v>321024.01</v>
      </c>
    </row>
    <row r="84" spans="1:17" s="34" customFormat="1" collapsed="1" x14ac:dyDescent="0.3">
      <c r="A84" s="35"/>
      <c r="B84" s="14" t="str">
        <f>CONCATENATE("     ","Depreciation                                      ")</f>
        <v xml:space="preserve">     Depreciation                                      </v>
      </c>
      <c r="C84" s="14"/>
      <c r="D84" s="1">
        <f>SUM(OSRRefD21_5x_0)</f>
        <v>71722.81</v>
      </c>
      <c r="E84" s="1">
        <f>SUM(OSRRefE21_5x_0)</f>
        <v>71047</v>
      </c>
      <c r="F84" s="1">
        <f>SUM(OSRRefE21_5x_1)</f>
        <v>71002</v>
      </c>
      <c r="G84" s="1">
        <f>SUM(OSRRefE21_5x_2)</f>
        <v>70087</v>
      </c>
      <c r="H84" s="1">
        <f>SUM(OSRRefE21_5x_3)</f>
        <v>70087</v>
      </c>
      <c r="I84" s="1">
        <f>SUM(OSRRefE21_5x_4)</f>
        <v>70087</v>
      </c>
      <c r="J84" s="1">
        <f>SUM(OSRRefE21_5x_5)</f>
        <v>67822</v>
      </c>
      <c r="K84" s="1">
        <f>SUM(OSRRefE21_5x_6)</f>
        <v>67012</v>
      </c>
      <c r="L84" s="1">
        <f>SUM(OSRRefE21_5x_7)</f>
        <v>66437</v>
      </c>
      <c r="M84" s="1">
        <f>SUM(OSRRefE21_5x_8)</f>
        <v>55277</v>
      </c>
      <c r="N84" s="1">
        <f>SUM(OSRRefE21_5x_9)</f>
        <v>55277</v>
      </c>
      <c r="O84" s="1">
        <f>SUM(OSRRefE21_5x_10)</f>
        <v>55119</v>
      </c>
      <c r="Q84" s="2">
        <f>SUM(OSRRefD20_5x)+IFERROR(SUM(OSRRefE20_5x),0)</f>
        <v>790976.81</v>
      </c>
    </row>
    <row r="85" spans="1:17" s="34" customFormat="1" hidden="1" outlineLevel="1" x14ac:dyDescent="0.3">
      <c r="A85" s="35"/>
      <c r="B85" s="10" t="str">
        <f>CONCATENATE("          ","6321", " - ","BUILDING DEPRECIATION")</f>
        <v xml:space="preserve">          6321 - BUILDING DEPRECIATION</v>
      </c>
      <c r="C85" s="14"/>
      <c r="D85" s="20">
        <v>45060.5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36"/>
      <c r="Q85" s="2">
        <f>SUM(OSRRefD21_5_0x)+IFERROR(SUM(OSRRefE21_5_0x),0)</f>
        <v>45060.5</v>
      </c>
    </row>
    <row r="86" spans="1:17" s="34" customFormat="1" hidden="1" outlineLevel="1" x14ac:dyDescent="0.3">
      <c r="A86" s="35"/>
      <c r="B86" s="10" t="str">
        <f>CONCATENATE("          ","6322", " - ","EQUIPMENT DEPRECIATION EXPENSE")</f>
        <v xml:space="preserve">          6322 - EQUIPMENT DEPRECIATION EXPENSE</v>
      </c>
      <c r="C86" s="14"/>
      <c r="D86" s="20">
        <v>26662.31</v>
      </c>
      <c r="E86" s="20">
        <v>71047</v>
      </c>
      <c r="F86" s="20">
        <v>71002</v>
      </c>
      <c r="G86" s="20">
        <v>70087</v>
      </c>
      <c r="H86" s="20">
        <v>70087</v>
      </c>
      <c r="I86" s="20">
        <v>70087</v>
      </c>
      <c r="J86" s="20">
        <v>67822</v>
      </c>
      <c r="K86" s="20">
        <v>67012</v>
      </c>
      <c r="L86" s="20">
        <v>66437</v>
      </c>
      <c r="M86" s="20">
        <v>55277</v>
      </c>
      <c r="N86" s="20">
        <v>55277</v>
      </c>
      <c r="O86" s="20">
        <v>55119</v>
      </c>
      <c r="P86" s="36"/>
      <c r="Q86" s="2">
        <f>SUM(OSRRefD21_5_1x)+IFERROR(SUM(OSRRefE21_5_1x),0)</f>
        <v>745916.31</v>
      </c>
    </row>
    <row r="87" spans="1:17" s="34" customFormat="1" collapsed="1" x14ac:dyDescent="0.3">
      <c r="A87" s="35"/>
      <c r="B87" s="14" t="str">
        <f>CONCATENATE("     ","Discounts and Markdowns                           ")</f>
        <v xml:space="preserve">     Discounts and Markdowns                           </v>
      </c>
      <c r="C87" s="14"/>
      <c r="D87" s="1">
        <f>SUM(OSRRefD21_6x_0)</f>
        <v>-0.68</v>
      </c>
      <c r="E87" s="1">
        <f>SUM(OSRRefE21_6x_0)</f>
        <v>0</v>
      </c>
      <c r="F87" s="1">
        <f>SUM(OSRRefE21_6x_1)</f>
        <v>0</v>
      </c>
      <c r="G87" s="1">
        <f>SUM(OSRRefE21_6x_2)</f>
        <v>0</v>
      </c>
      <c r="H87" s="1">
        <f>SUM(OSRRefE21_6x_3)</f>
        <v>0</v>
      </c>
      <c r="I87" s="1">
        <f>SUM(OSRRefE21_6x_4)</f>
        <v>0</v>
      </c>
      <c r="J87" s="1">
        <f>SUM(OSRRefE21_6x_5)</f>
        <v>0</v>
      </c>
      <c r="K87" s="1">
        <f>SUM(OSRRefE21_6x_6)</f>
        <v>0</v>
      </c>
      <c r="L87" s="1">
        <f>SUM(OSRRefE21_6x_7)</f>
        <v>0</v>
      </c>
      <c r="M87" s="1">
        <f>SUM(OSRRefE21_6x_8)</f>
        <v>0</v>
      </c>
      <c r="N87" s="1">
        <f>SUM(OSRRefE21_6x_9)</f>
        <v>0</v>
      </c>
      <c r="O87" s="1">
        <f>SUM(OSRRefE21_6x_10)</f>
        <v>0</v>
      </c>
      <c r="Q87" s="2">
        <f>SUM(OSRRefD20_6x)+IFERROR(SUM(OSRRefE20_6x),0)</f>
        <v>-0.68</v>
      </c>
    </row>
    <row r="88" spans="1:17" s="34" customFormat="1" hidden="1" outlineLevel="1" x14ac:dyDescent="0.3">
      <c r="A88" s="35"/>
      <c r="B88" s="10" t="str">
        <f>CONCATENATE("          ","6382", " - ","DISCOUNTS/MARK DOWNS")</f>
        <v xml:space="preserve">          6382 - DISCOUNTS/MARK DOWNS</v>
      </c>
      <c r="C88" s="14"/>
      <c r="D88" s="20"/>
      <c r="E88" s="20">
        <v>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6"/>
      <c r="Q88" s="2">
        <f>SUM(OSRRefD21_6_0x)+IFERROR(SUM(OSRRefE21_6_0x),0)</f>
        <v>0</v>
      </c>
    </row>
    <row r="89" spans="1:17" s="34" customFormat="1" hidden="1" outlineLevel="1" x14ac:dyDescent="0.3">
      <c r="A89" s="35"/>
      <c r="B89" s="10" t="str">
        <f>CONCATENATE("          ","9175", " - ","EARNED DISCOUNTS")</f>
        <v xml:space="preserve">          9175 - EARNED DISCOUNTS</v>
      </c>
      <c r="C89" s="14"/>
      <c r="D89" s="20">
        <v>-0.68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6"/>
      <c r="Q89" s="2">
        <f>SUM(OSRRefD21_6_1x)+IFERROR(SUM(OSRRefE21_6_1x),0)</f>
        <v>-0.68</v>
      </c>
    </row>
    <row r="90" spans="1:17" s="34" customFormat="1" collapsed="1" x14ac:dyDescent="0.3">
      <c r="A90" s="35"/>
      <c r="B90" s="14" t="str">
        <f>CONCATENATE("     ","Donations                                         ")</f>
        <v xml:space="preserve">     Donations                                         </v>
      </c>
      <c r="C90" s="14"/>
      <c r="D90" s="1">
        <f>SUM(OSRRefD21_7x_0)</f>
        <v>0</v>
      </c>
      <c r="E90" s="1">
        <f>SUM(OSRRefE21_7x_0)</f>
        <v>16750</v>
      </c>
      <c r="F90" s="1">
        <f>SUM(OSRRefE21_7x_1)</f>
        <v>16750</v>
      </c>
      <c r="G90" s="1">
        <f>SUM(OSRRefE21_7x_2)</f>
        <v>16750</v>
      </c>
      <c r="H90" s="1">
        <f>SUM(OSRRefE21_7x_3)</f>
        <v>16750</v>
      </c>
      <c r="I90" s="1">
        <f>SUM(OSRRefE21_7x_4)</f>
        <v>16750</v>
      </c>
      <c r="J90" s="1">
        <f>SUM(OSRRefE21_7x_5)</f>
        <v>16750</v>
      </c>
      <c r="K90" s="1">
        <f>SUM(OSRRefE21_7x_6)</f>
        <v>16750</v>
      </c>
      <c r="L90" s="1">
        <f>SUM(OSRRefE21_7x_7)</f>
        <v>16750</v>
      </c>
      <c r="M90" s="1">
        <f>SUM(OSRRefE21_7x_8)</f>
        <v>16750</v>
      </c>
      <c r="N90" s="1">
        <f>SUM(OSRRefE21_7x_9)</f>
        <v>16750</v>
      </c>
      <c r="O90" s="1">
        <f>SUM(OSRRefE21_7x_10)</f>
        <v>1250</v>
      </c>
      <c r="Q90" s="2">
        <f>SUM(OSRRefD20_7x)+IFERROR(SUM(OSRRefE20_7x),0)</f>
        <v>168750</v>
      </c>
    </row>
    <row r="91" spans="1:17" s="34" customFormat="1" hidden="1" outlineLevel="1" x14ac:dyDescent="0.3">
      <c r="A91" s="35"/>
      <c r="B91" s="10" t="str">
        <f>CONCATENATE("          ","6399", " - ","DONATION-ON CAMPUS")</f>
        <v xml:space="preserve">          6399 - DONATION-ON CAMPUS</v>
      </c>
      <c r="C91" s="14"/>
      <c r="D91" s="20"/>
      <c r="E91" s="20">
        <v>16750</v>
      </c>
      <c r="F91" s="20">
        <v>16750</v>
      </c>
      <c r="G91" s="20">
        <v>16750</v>
      </c>
      <c r="H91" s="20">
        <v>16750</v>
      </c>
      <c r="I91" s="20">
        <v>16750</v>
      </c>
      <c r="J91" s="20">
        <v>16750</v>
      </c>
      <c r="K91" s="20">
        <v>16750</v>
      </c>
      <c r="L91" s="20">
        <v>16750</v>
      </c>
      <c r="M91" s="20">
        <v>16750</v>
      </c>
      <c r="N91" s="20">
        <v>16750</v>
      </c>
      <c r="O91" s="20">
        <v>1250</v>
      </c>
      <c r="P91" s="36"/>
      <c r="Q91" s="2">
        <f>SUM(OSRRefD21_7_0x)+IFERROR(SUM(OSRRefE21_7_0x),0)</f>
        <v>168750</v>
      </c>
    </row>
    <row r="92" spans="1:17" s="34" customFormat="1" collapsed="1" x14ac:dyDescent="0.3">
      <c r="A92" s="35"/>
      <c r="B92" s="14" t="str">
        <f>CONCATENATE("     ","Employees' Appreciation                           ")</f>
        <v xml:space="preserve">     Employees' Appreciation                           </v>
      </c>
      <c r="C92" s="14"/>
      <c r="D92" s="1">
        <f>SUM(OSRRefD21_8x_0)</f>
        <v>537.36</v>
      </c>
      <c r="E92" s="1">
        <f>SUM(OSRRefE21_8x_0)</f>
        <v>505</v>
      </c>
      <c r="F92" s="1">
        <f>SUM(OSRRefE21_8x_1)</f>
        <v>665</v>
      </c>
      <c r="G92" s="1">
        <f>SUM(OSRRefE21_8x_2)</f>
        <v>505</v>
      </c>
      <c r="H92" s="1">
        <f>SUM(OSRRefE21_8x_3)</f>
        <v>505</v>
      </c>
      <c r="I92" s="1">
        <f>SUM(OSRRefE21_8x_4)</f>
        <v>905</v>
      </c>
      <c r="J92" s="1">
        <f>SUM(OSRRefE21_8x_5)</f>
        <v>485</v>
      </c>
      <c r="K92" s="1">
        <f>SUM(OSRRefE21_8x_6)</f>
        <v>465</v>
      </c>
      <c r="L92" s="1">
        <f>SUM(OSRRefE21_8x_7)</f>
        <v>505</v>
      </c>
      <c r="M92" s="1">
        <f>SUM(OSRRefE21_8x_8)</f>
        <v>485</v>
      </c>
      <c r="N92" s="1">
        <f>SUM(OSRRefE21_8x_9)</f>
        <v>805</v>
      </c>
      <c r="O92" s="1">
        <f>SUM(OSRRefE21_8x_10)</f>
        <v>465</v>
      </c>
      <c r="Q92" s="2">
        <f>SUM(OSRRefD20_8x)+IFERROR(SUM(OSRRefE20_8x),0)</f>
        <v>6832.36</v>
      </c>
    </row>
    <row r="93" spans="1:17" s="34" customFormat="1" hidden="1" outlineLevel="1" x14ac:dyDescent="0.3">
      <c r="A93" s="35"/>
      <c r="B93" s="10" t="str">
        <f>CONCATENATE("          ","6277", " - ","EMPLOYEE APPRECIATION")</f>
        <v xml:space="preserve">          6277 - EMPLOYEE APPRECIATION</v>
      </c>
      <c r="C93" s="14"/>
      <c r="D93" s="20">
        <v>537.36</v>
      </c>
      <c r="E93" s="20">
        <v>505</v>
      </c>
      <c r="F93" s="20">
        <v>665</v>
      </c>
      <c r="G93" s="20">
        <v>505</v>
      </c>
      <c r="H93" s="20">
        <v>505</v>
      </c>
      <c r="I93" s="20">
        <v>905</v>
      </c>
      <c r="J93" s="20">
        <v>485</v>
      </c>
      <c r="K93" s="20">
        <v>465</v>
      </c>
      <c r="L93" s="20">
        <v>505</v>
      </c>
      <c r="M93" s="20">
        <v>485</v>
      </c>
      <c r="N93" s="20">
        <v>805</v>
      </c>
      <c r="O93" s="20">
        <v>465</v>
      </c>
      <c r="P93" s="36"/>
      <c r="Q93" s="2">
        <f>SUM(OSRRefD21_8_0x)+IFERROR(SUM(OSRRefE21_8_0x),0)</f>
        <v>6832.36</v>
      </c>
    </row>
    <row r="94" spans="1:17" s="34" customFormat="1" collapsed="1" x14ac:dyDescent="0.3">
      <c r="A94" s="35"/>
      <c r="B94" s="14" t="str">
        <f>CONCATENATE("     ","Equipment Rental                                  ")</f>
        <v xml:space="preserve">     Equipment Rental                                  </v>
      </c>
      <c r="C94" s="14"/>
      <c r="D94" s="1">
        <f>SUM(OSRRefD21_9x_0)</f>
        <v>2713.62</v>
      </c>
      <c r="E94" s="1">
        <f>SUM(OSRRefE21_9x_0)</f>
        <v>3346</v>
      </c>
      <c r="F94" s="1">
        <f>SUM(OSRRefE21_9x_1)</f>
        <v>3446</v>
      </c>
      <c r="G94" s="1">
        <f>SUM(OSRRefE21_9x_2)</f>
        <v>3446</v>
      </c>
      <c r="H94" s="1">
        <f>SUM(OSRRefE21_9x_3)</f>
        <v>3446</v>
      </c>
      <c r="I94" s="1">
        <f>SUM(OSRRefE21_9x_4)</f>
        <v>3446</v>
      </c>
      <c r="J94" s="1">
        <f>SUM(OSRRefE21_9x_5)</f>
        <v>3446</v>
      </c>
      <c r="K94" s="1">
        <f>SUM(OSRRefE21_9x_6)</f>
        <v>3446</v>
      </c>
      <c r="L94" s="1">
        <f>SUM(OSRRefE21_9x_7)</f>
        <v>3446</v>
      </c>
      <c r="M94" s="1">
        <f>SUM(OSRRefE21_9x_8)</f>
        <v>3446</v>
      </c>
      <c r="N94" s="1">
        <f>SUM(OSRRefE21_9x_9)</f>
        <v>3446</v>
      </c>
      <c r="O94" s="1">
        <f>SUM(OSRRefE21_9x_10)</f>
        <v>3446</v>
      </c>
      <c r="Q94" s="2">
        <f>SUM(OSRRefD20_9x)+IFERROR(SUM(OSRRefE20_9x),0)</f>
        <v>40519.620000000003</v>
      </c>
    </row>
    <row r="95" spans="1:17" s="34" customFormat="1" hidden="1" outlineLevel="1" x14ac:dyDescent="0.3">
      <c r="A95" s="35"/>
      <c r="B95" s="10" t="str">
        <f>CONCATENATE("          ","6351", " - ","EQUIPMENT RENTAL")</f>
        <v xml:space="preserve">          6351 - EQUIPMENT RENTAL</v>
      </c>
      <c r="C95" s="14"/>
      <c r="D95" s="20">
        <v>2713.62</v>
      </c>
      <c r="E95" s="20">
        <v>3346</v>
      </c>
      <c r="F95" s="20">
        <v>3446</v>
      </c>
      <c r="G95" s="20">
        <v>3446</v>
      </c>
      <c r="H95" s="20">
        <v>3446</v>
      </c>
      <c r="I95" s="20">
        <v>3446</v>
      </c>
      <c r="J95" s="20">
        <v>3446</v>
      </c>
      <c r="K95" s="20">
        <v>3446</v>
      </c>
      <c r="L95" s="20">
        <v>3446</v>
      </c>
      <c r="M95" s="20">
        <v>3446</v>
      </c>
      <c r="N95" s="20">
        <v>3446</v>
      </c>
      <c r="O95" s="20">
        <v>3446</v>
      </c>
      <c r="P95" s="36"/>
      <c r="Q95" s="2">
        <f>SUM(OSRRefD21_9_0x)+IFERROR(SUM(OSRRefE21_9_0x),0)</f>
        <v>40519.620000000003</v>
      </c>
    </row>
    <row r="96" spans="1:17" s="34" customFormat="1" collapsed="1" x14ac:dyDescent="0.3">
      <c r="A96" s="35"/>
      <c r="B96" s="14" t="str">
        <f>CONCATENATE("     ","Freight out/Postage                               ")</f>
        <v xml:space="preserve">     Freight out/Postage                               </v>
      </c>
      <c r="C96" s="14"/>
      <c r="D96" s="1">
        <f>SUM(OSRRefD21_10x_0)</f>
        <v>3682.8</v>
      </c>
      <c r="E96" s="1">
        <f>SUM(OSRRefE21_10x_0)</f>
        <v>-42525</v>
      </c>
      <c r="F96" s="1">
        <f>SUM(OSRRefE21_10x_1)</f>
        <v>-10125</v>
      </c>
      <c r="G96" s="1">
        <f>SUM(OSRRefE21_10x_2)</f>
        <v>45275</v>
      </c>
      <c r="H96" s="1">
        <f>SUM(OSRRefE21_10x_3)</f>
        <v>10675</v>
      </c>
      <c r="I96" s="1">
        <f>SUM(OSRRefE21_10x_4)</f>
        <v>-25</v>
      </c>
      <c r="J96" s="1">
        <f>SUM(OSRRefE21_10x_5)</f>
        <v>-25525</v>
      </c>
      <c r="K96" s="1">
        <f>SUM(OSRRefE21_10x_6)</f>
        <v>1975</v>
      </c>
      <c r="L96" s="1">
        <f>SUM(OSRRefE21_10x_7)</f>
        <v>3375</v>
      </c>
      <c r="M96" s="1">
        <f>SUM(OSRRefE21_10x_8)</f>
        <v>-525</v>
      </c>
      <c r="N96" s="1">
        <f>SUM(OSRRefE21_10x_9)</f>
        <v>-1825</v>
      </c>
      <c r="O96" s="1">
        <f>SUM(OSRRefE21_10x_10)</f>
        <v>-2325</v>
      </c>
      <c r="Q96" s="2">
        <f>SUM(OSRRefD20_10x)+IFERROR(SUM(OSRRefE20_10x),0)</f>
        <v>-17892.2</v>
      </c>
    </row>
    <row r="97" spans="1:17" s="34" customFormat="1" hidden="1" outlineLevel="1" x14ac:dyDescent="0.3">
      <c r="A97" s="35"/>
      <c r="B97" s="10" t="str">
        <f>CONCATENATE("          ","6305", " - ","FREIGHT OUT")</f>
        <v xml:space="preserve">          6305 - FREIGHT OUT</v>
      </c>
      <c r="C97" s="14"/>
      <c r="D97" s="20">
        <v>10982.69</v>
      </c>
      <c r="E97" s="20">
        <v>7365</v>
      </c>
      <c r="F97" s="20">
        <v>1365</v>
      </c>
      <c r="G97" s="20">
        <v>56865</v>
      </c>
      <c r="H97" s="20">
        <v>15065</v>
      </c>
      <c r="I97" s="20">
        <v>9565</v>
      </c>
      <c r="J97" s="20">
        <v>15865</v>
      </c>
      <c r="K97" s="20">
        <v>23865</v>
      </c>
      <c r="L97" s="20">
        <v>9265</v>
      </c>
      <c r="M97" s="20">
        <v>3865</v>
      </c>
      <c r="N97" s="20">
        <v>2565</v>
      </c>
      <c r="O97" s="20">
        <v>2065</v>
      </c>
      <c r="P97" s="36"/>
      <c r="Q97" s="2">
        <f>SUM(OSRRefD21_10_0x)+IFERROR(SUM(OSRRefE21_10_0x),0)</f>
        <v>158697.69</v>
      </c>
    </row>
    <row r="98" spans="1:17" s="34" customFormat="1" hidden="1" outlineLevel="1" x14ac:dyDescent="0.3">
      <c r="A98" s="35"/>
      <c r="B98" s="10" t="str">
        <f>CONCATENATE("          ","6307", " - ","POSTAGE")</f>
        <v xml:space="preserve">          6307 - POSTAGE</v>
      </c>
      <c r="C98" s="14"/>
      <c r="D98" s="20">
        <v>-7299.89</v>
      </c>
      <c r="E98" s="20">
        <v>-49890</v>
      </c>
      <c r="F98" s="20">
        <v>-11490</v>
      </c>
      <c r="G98" s="20">
        <v>-11590</v>
      </c>
      <c r="H98" s="20">
        <v>-4390</v>
      </c>
      <c r="I98" s="20">
        <v>-9590</v>
      </c>
      <c r="J98" s="20">
        <v>-41390</v>
      </c>
      <c r="K98" s="20">
        <v>-21890</v>
      </c>
      <c r="L98" s="20">
        <v>-5890</v>
      </c>
      <c r="M98" s="20">
        <v>-4390</v>
      </c>
      <c r="N98" s="20">
        <v>-4390</v>
      </c>
      <c r="O98" s="20">
        <v>-4390</v>
      </c>
      <c r="P98" s="36"/>
      <c r="Q98" s="2">
        <f>SUM(OSRRefD21_10_1x)+IFERROR(SUM(OSRRefE21_10_1x),0)</f>
        <v>-176589.89</v>
      </c>
    </row>
    <row r="99" spans="1:17" s="34" customFormat="1" collapsed="1" x14ac:dyDescent="0.3">
      <c r="A99" s="35"/>
      <c r="B99" s="14" t="str">
        <f>CONCATENATE("     ","General                                           ")</f>
        <v xml:space="preserve">     General                                           </v>
      </c>
      <c r="C99" s="14"/>
      <c r="D99" s="1">
        <f>SUM(OSRRefD21_11x_0)</f>
        <v>1271.73</v>
      </c>
      <c r="E99" s="1">
        <f>SUM(OSRRefE21_11x_0)</f>
        <v>935</v>
      </c>
      <c r="F99" s="1">
        <f>SUM(OSRRefE21_11x_1)</f>
        <v>1140</v>
      </c>
      <c r="G99" s="1">
        <f>SUM(OSRRefE21_11x_2)</f>
        <v>810</v>
      </c>
      <c r="H99" s="1">
        <f>SUM(OSRRefE21_11x_3)</f>
        <v>1310</v>
      </c>
      <c r="I99" s="1">
        <f>SUM(OSRRefE21_11x_4)</f>
        <v>5550</v>
      </c>
      <c r="J99" s="1">
        <f>SUM(OSRRefE21_11x_5)</f>
        <v>1060</v>
      </c>
      <c r="K99" s="1">
        <f>SUM(OSRRefE21_11x_6)</f>
        <v>935</v>
      </c>
      <c r="L99" s="1">
        <f>SUM(OSRRefE21_11x_7)</f>
        <v>1670</v>
      </c>
      <c r="M99" s="1">
        <f>SUM(OSRRefE21_11x_8)</f>
        <v>1320</v>
      </c>
      <c r="N99" s="1">
        <f>SUM(OSRRefE21_11x_9)</f>
        <v>1570</v>
      </c>
      <c r="O99" s="1">
        <f>SUM(OSRRefE21_11x_10)</f>
        <v>1820</v>
      </c>
      <c r="Q99" s="2">
        <f>SUM(OSRRefD20_11x)+IFERROR(SUM(OSRRefE20_11x),0)</f>
        <v>19391.73</v>
      </c>
    </row>
    <row r="100" spans="1:17" s="34" customFormat="1" hidden="1" outlineLevel="1" x14ac:dyDescent="0.3">
      <c r="A100" s="35"/>
      <c r="B100" s="10" t="str">
        <f>CONCATENATE("          ","6269", " - ","ENTERTAINMENT")</f>
        <v xml:space="preserve">          6269 - ENTERTAINMENT</v>
      </c>
      <c r="C100" s="14"/>
      <c r="D100" s="20"/>
      <c r="E100" s="20"/>
      <c r="F100" s="20"/>
      <c r="G100" s="20"/>
      <c r="H100" s="20"/>
      <c r="I100" s="20"/>
      <c r="J100" s="20">
        <v>250</v>
      </c>
      <c r="K100" s="20"/>
      <c r="L100" s="20">
        <v>250</v>
      </c>
      <c r="M100" s="20"/>
      <c r="N100" s="20"/>
      <c r="O100" s="20"/>
      <c r="P100" s="36"/>
      <c r="Q100" s="2">
        <f>SUM(OSRRefD21_11_0x)+IFERROR(SUM(OSRRefE21_11_0x),0)</f>
        <v>500</v>
      </c>
    </row>
    <row r="101" spans="1:17" s="34" customFormat="1" hidden="1" outlineLevel="1" x14ac:dyDescent="0.3">
      <c r="A101" s="35"/>
      <c r="B101" s="10" t="str">
        <f>CONCATENATE("          ","6276", " - ","PROPERTY TAX")</f>
        <v xml:space="preserve">          6276 - PROPERTY TAX</v>
      </c>
      <c r="C101" s="14"/>
      <c r="D101" s="20"/>
      <c r="E101" s="20"/>
      <c r="F101" s="20"/>
      <c r="G101" s="20"/>
      <c r="H101" s="20"/>
      <c r="I101" s="20">
        <v>1125</v>
      </c>
      <c r="J101" s="20"/>
      <c r="K101" s="20"/>
      <c r="L101" s="20"/>
      <c r="M101" s="20"/>
      <c r="N101" s="20"/>
      <c r="O101" s="20"/>
      <c r="P101" s="36"/>
      <c r="Q101" s="2">
        <f>SUM(OSRRefD21_11_1x)+IFERROR(SUM(OSRRefE21_11_1x),0)</f>
        <v>1125</v>
      </c>
    </row>
    <row r="102" spans="1:17" s="34" customFormat="1" hidden="1" outlineLevel="1" x14ac:dyDescent="0.3">
      <c r="A102" s="35"/>
      <c r="B102" s="10" t="str">
        <f>CONCATENATE("          ","6279", " - ","GENERAL EXPENSE")</f>
        <v xml:space="preserve">          6279 - GENERAL EXPENSE</v>
      </c>
      <c r="C102" s="14"/>
      <c r="D102" s="20">
        <v>1271.73</v>
      </c>
      <c r="E102" s="20">
        <v>935</v>
      </c>
      <c r="F102" s="20">
        <v>1140</v>
      </c>
      <c r="G102" s="20">
        <v>810</v>
      </c>
      <c r="H102" s="20">
        <v>1310</v>
      </c>
      <c r="I102" s="20">
        <v>4425</v>
      </c>
      <c r="J102" s="20">
        <v>810</v>
      </c>
      <c r="K102" s="20">
        <v>935</v>
      </c>
      <c r="L102" s="20">
        <v>1420</v>
      </c>
      <c r="M102" s="20">
        <v>1320</v>
      </c>
      <c r="N102" s="20">
        <v>1570</v>
      </c>
      <c r="O102" s="20">
        <v>1820</v>
      </c>
      <c r="P102" s="36"/>
      <c r="Q102" s="2">
        <f>SUM(OSRRefD21_11_2x)+IFERROR(SUM(OSRRefE21_11_2x),0)</f>
        <v>17766.73</v>
      </c>
    </row>
    <row r="103" spans="1:17" s="34" customFormat="1" collapsed="1" x14ac:dyDescent="0.3">
      <c r="A103" s="35"/>
      <c r="B103" s="14" t="str">
        <f>CONCATENATE("     ","Insurance                                         ")</f>
        <v xml:space="preserve">     Insurance                                         </v>
      </c>
      <c r="C103" s="14"/>
      <c r="D103" s="1">
        <f>SUM(OSRRefD21_12x_0)</f>
        <v>11626.44</v>
      </c>
      <c r="E103" s="1">
        <f>SUM(OSRRefE21_12x_0)</f>
        <v>11425</v>
      </c>
      <c r="F103" s="1">
        <f>SUM(OSRRefE21_12x_1)</f>
        <v>11425</v>
      </c>
      <c r="G103" s="1">
        <f>SUM(OSRRefE21_12x_2)</f>
        <v>11425</v>
      </c>
      <c r="H103" s="1">
        <f>SUM(OSRRefE21_12x_3)</f>
        <v>11425</v>
      </c>
      <c r="I103" s="1">
        <f>SUM(OSRRefE21_12x_4)</f>
        <v>11425</v>
      </c>
      <c r="J103" s="1">
        <f>SUM(OSRRefE21_12x_5)</f>
        <v>11425</v>
      </c>
      <c r="K103" s="1">
        <f>SUM(OSRRefE21_12x_6)</f>
        <v>11425</v>
      </c>
      <c r="L103" s="1">
        <f>SUM(OSRRefE21_12x_7)</f>
        <v>11425</v>
      </c>
      <c r="M103" s="1">
        <f>SUM(OSRRefE21_12x_8)</f>
        <v>11425</v>
      </c>
      <c r="N103" s="1">
        <f>SUM(OSRRefE21_12x_9)</f>
        <v>11425</v>
      </c>
      <c r="O103" s="1">
        <f>SUM(OSRRefE21_12x_10)</f>
        <v>11425</v>
      </c>
      <c r="Q103" s="2">
        <f>SUM(OSRRefD20_12x)+IFERROR(SUM(OSRRefE20_12x),0)</f>
        <v>137301.44</v>
      </c>
    </row>
    <row r="104" spans="1:17" s="34" customFormat="1" hidden="1" outlineLevel="1" x14ac:dyDescent="0.3">
      <c r="A104" s="35"/>
      <c r="B104" s="10" t="str">
        <f>CONCATENATE("          ","6314", " - ","LIABILITY INSURANCE")</f>
        <v xml:space="preserve">          6314 - LIABILITY INSURANCE</v>
      </c>
      <c r="C104" s="14"/>
      <c r="D104" s="20">
        <v>11626.44</v>
      </c>
      <c r="E104" s="20">
        <v>11425</v>
      </c>
      <c r="F104" s="20">
        <v>11425</v>
      </c>
      <c r="G104" s="20">
        <v>11425</v>
      </c>
      <c r="H104" s="20">
        <v>11425</v>
      </c>
      <c r="I104" s="20">
        <v>11425</v>
      </c>
      <c r="J104" s="20">
        <v>11425</v>
      </c>
      <c r="K104" s="20">
        <v>11425</v>
      </c>
      <c r="L104" s="20">
        <v>11425</v>
      </c>
      <c r="M104" s="20">
        <v>11425</v>
      </c>
      <c r="N104" s="20">
        <v>11425</v>
      </c>
      <c r="O104" s="20">
        <v>11425</v>
      </c>
      <c r="P104" s="36"/>
      <c r="Q104" s="2">
        <f>SUM(OSRRefD21_12_0x)+IFERROR(SUM(OSRRefE21_12_0x),0)</f>
        <v>137301.44</v>
      </c>
    </row>
    <row r="105" spans="1:17" s="34" customFormat="1" collapsed="1" x14ac:dyDescent="0.3">
      <c r="A105" s="35"/>
      <c r="B105" s="14" t="str">
        <f>CONCATENATE("     ","Interest                                          ")</f>
        <v xml:space="preserve">     Interest                                          </v>
      </c>
      <c r="C105" s="14"/>
      <c r="D105" s="1">
        <f>SUM(OSRRefD21_13x_0)</f>
        <v>11158</v>
      </c>
      <c r="E105" s="1">
        <f>SUM(OSRRefE21_13x_0)</f>
        <v>11158</v>
      </c>
      <c r="F105" s="1">
        <f>SUM(OSRRefE21_13x_1)</f>
        <v>11158</v>
      </c>
      <c r="G105" s="1">
        <f>SUM(OSRRefE21_13x_2)</f>
        <v>11158</v>
      </c>
      <c r="H105" s="1">
        <f>SUM(OSRRefE21_13x_3)</f>
        <v>11158</v>
      </c>
      <c r="I105" s="1">
        <f>SUM(OSRRefE21_13x_4)</f>
        <v>11158</v>
      </c>
      <c r="J105" s="1">
        <f>SUM(OSRRefE21_13x_5)</f>
        <v>11158</v>
      </c>
      <c r="K105" s="1">
        <f>SUM(OSRRefE21_13x_6)</f>
        <v>11158</v>
      </c>
      <c r="L105" s="1">
        <f>SUM(OSRRefE21_13x_7)</f>
        <v>11158</v>
      </c>
      <c r="M105" s="1">
        <f>SUM(OSRRefE21_13x_8)</f>
        <v>11158</v>
      </c>
      <c r="N105" s="1">
        <f>SUM(OSRRefE21_13x_9)</f>
        <v>10742</v>
      </c>
      <c r="O105" s="1">
        <f>SUM(OSRRefE21_13x_10)</f>
        <v>10742</v>
      </c>
      <c r="Q105" s="2">
        <f>SUM(OSRRefD20_13x)+IFERROR(SUM(OSRRefE20_13x),0)</f>
        <v>133064</v>
      </c>
    </row>
    <row r="106" spans="1:17" s="34" customFormat="1" hidden="1" outlineLevel="1" x14ac:dyDescent="0.3">
      <c r="A106" s="35"/>
      <c r="B106" s="10" t="str">
        <f>CONCATENATE("          ","6401", " - ","INTEREST EXPENSE")</f>
        <v xml:space="preserve">          6401 - INTEREST EXPENSE</v>
      </c>
      <c r="C106" s="14"/>
      <c r="D106" s="20">
        <v>11158</v>
      </c>
      <c r="E106" s="20">
        <v>11158</v>
      </c>
      <c r="F106" s="20">
        <v>11158</v>
      </c>
      <c r="G106" s="20">
        <v>11158</v>
      </c>
      <c r="H106" s="20">
        <v>11158</v>
      </c>
      <c r="I106" s="20">
        <v>11158</v>
      </c>
      <c r="J106" s="20">
        <v>11158</v>
      </c>
      <c r="K106" s="20">
        <v>11158</v>
      </c>
      <c r="L106" s="20">
        <v>11158</v>
      </c>
      <c r="M106" s="20">
        <v>11158</v>
      </c>
      <c r="N106" s="20">
        <v>10742</v>
      </c>
      <c r="O106" s="20">
        <v>10742</v>
      </c>
      <c r="P106" s="36"/>
      <c r="Q106" s="2">
        <f>SUM(OSRRefD21_13_0x)+IFERROR(SUM(OSRRefE21_13_0x),0)</f>
        <v>133064</v>
      </c>
    </row>
    <row r="107" spans="1:17" s="34" customFormat="1" collapsed="1" x14ac:dyDescent="0.3">
      <c r="A107" s="35"/>
      <c r="B107" s="14" t="str">
        <f>CONCATENATE("     ","Inventory Adjustment                              ")</f>
        <v xml:space="preserve">     Inventory Adjustment                              </v>
      </c>
      <c r="C107" s="14"/>
      <c r="D107" s="1">
        <f>SUM(OSRRefD21_14x_0)</f>
        <v>6570</v>
      </c>
      <c r="E107" s="1">
        <f>SUM(OSRRefE21_14x_0)</f>
        <v>7120</v>
      </c>
      <c r="F107" s="1">
        <f>SUM(OSRRefE21_14x_1)</f>
        <v>6400</v>
      </c>
      <c r="G107" s="1">
        <f>SUM(OSRRefE21_14x_2)</f>
        <v>5690</v>
      </c>
      <c r="H107" s="1">
        <f>SUM(OSRRefE21_14x_3)</f>
        <v>5730</v>
      </c>
      <c r="I107" s="1">
        <f>SUM(OSRRefE21_14x_4)</f>
        <v>9440</v>
      </c>
      <c r="J107" s="1">
        <f>SUM(OSRRefE21_14x_5)</f>
        <v>6070</v>
      </c>
      <c r="K107" s="1">
        <f>SUM(OSRRefE21_14x_6)</f>
        <v>5690</v>
      </c>
      <c r="L107" s="1">
        <f>SUM(OSRRefE21_14x_7)</f>
        <v>5440</v>
      </c>
      <c r="M107" s="1">
        <f>SUM(OSRRefE21_14x_8)</f>
        <v>6200</v>
      </c>
      <c r="N107" s="1">
        <f>SUM(OSRRefE21_14x_9)</f>
        <v>7200</v>
      </c>
      <c r="O107" s="1">
        <f>SUM(OSRRefE21_14x_10)</f>
        <v>19650</v>
      </c>
      <c r="Q107" s="2">
        <f>SUM(OSRRefD20_14x)+IFERROR(SUM(OSRRefE20_14x),0)</f>
        <v>91200</v>
      </c>
    </row>
    <row r="108" spans="1:17" s="34" customFormat="1" hidden="1" outlineLevel="1" x14ac:dyDescent="0.3">
      <c r="A108" s="35"/>
      <c r="B108" s="10" t="str">
        <f>CONCATENATE("          ","6408", " - ","INVENTORY ADJUSTMENT")</f>
        <v xml:space="preserve">          6408 - INVENTORY ADJUSTMENT</v>
      </c>
      <c r="C108" s="14"/>
      <c r="D108" s="20">
        <v>6570</v>
      </c>
      <c r="E108" s="20">
        <v>7120</v>
      </c>
      <c r="F108" s="20">
        <v>6400</v>
      </c>
      <c r="G108" s="20">
        <v>5690</v>
      </c>
      <c r="H108" s="20">
        <v>5730</v>
      </c>
      <c r="I108" s="20">
        <v>9440</v>
      </c>
      <c r="J108" s="20">
        <v>6070</v>
      </c>
      <c r="K108" s="20">
        <v>5690</v>
      </c>
      <c r="L108" s="20">
        <v>5440</v>
      </c>
      <c r="M108" s="20">
        <v>6200</v>
      </c>
      <c r="N108" s="20">
        <v>7200</v>
      </c>
      <c r="O108" s="20">
        <v>19650</v>
      </c>
      <c r="P108" s="36"/>
      <c r="Q108" s="2">
        <f>SUM(OSRRefD21_14_0x)+IFERROR(SUM(OSRRefE21_14_0x),0)</f>
        <v>91200</v>
      </c>
    </row>
    <row r="109" spans="1:17" s="34" customFormat="1" collapsed="1" x14ac:dyDescent="0.3">
      <c r="A109" s="35"/>
      <c r="B109" s="14" t="str">
        <f>CONCATENATE("     ","Professional Services                             ")</f>
        <v xml:space="preserve">     Professional Services                             </v>
      </c>
      <c r="C109" s="14"/>
      <c r="D109" s="1">
        <f>SUM(OSRRefD21_15x_0)</f>
        <v>0</v>
      </c>
      <c r="E109" s="1">
        <f>SUM(OSRRefE21_15x_0)</f>
        <v>0</v>
      </c>
      <c r="F109" s="1">
        <f>SUM(OSRRefE21_15x_1)</f>
        <v>0</v>
      </c>
      <c r="G109" s="1">
        <f>SUM(OSRRefE21_15x_2)</f>
        <v>250</v>
      </c>
      <c r="H109" s="1">
        <f>SUM(OSRRefE21_15x_3)</f>
        <v>0</v>
      </c>
      <c r="I109" s="1">
        <f>SUM(OSRRefE21_15x_4)</f>
        <v>0</v>
      </c>
      <c r="J109" s="1">
        <f>SUM(OSRRefE21_15x_5)</f>
        <v>250</v>
      </c>
      <c r="K109" s="1">
        <f>SUM(OSRRefE21_15x_6)</f>
        <v>0</v>
      </c>
      <c r="L109" s="1">
        <f>SUM(OSRRefE21_15x_7)</f>
        <v>0</v>
      </c>
      <c r="M109" s="1">
        <f>SUM(OSRRefE21_15x_8)</f>
        <v>250</v>
      </c>
      <c r="N109" s="1">
        <f>SUM(OSRRefE21_15x_9)</f>
        <v>0</v>
      </c>
      <c r="O109" s="1">
        <f>SUM(OSRRefE21_15x_10)</f>
        <v>0</v>
      </c>
      <c r="Q109" s="2">
        <f>SUM(OSRRefD20_15x)+IFERROR(SUM(OSRRefE20_15x),0)</f>
        <v>750</v>
      </c>
    </row>
    <row r="110" spans="1:17" s="34" customFormat="1" hidden="1" outlineLevel="1" x14ac:dyDescent="0.3">
      <c r="A110" s="35"/>
      <c r="B110" s="10" t="str">
        <f>CONCATENATE("          ","6336", " - ","PROFESSIONAL SERVICES")</f>
        <v xml:space="preserve">          6336 - PROFESSIONAL SERVICES</v>
      </c>
      <c r="C110" s="14"/>
      <c r="D110" s="20"/>
      <c r="E110" s="20">
        <v>0</v>
      </c>
      <c r="F110" s="20">
        <v>0</v>
      </c>
      <c r="G110" s="20">
        <v>250</v>
      </c>
      <c r="H110" s="20">
        <v>0</v>
      </c>
      <c r="I110" s="20">
        <v>0</v>
      </c>
      <c r="J110" s="20">
        <v>250</v>
      </c>
      <c r="K110" s="20">
        <v>0</v>
      </c>
      <c r="L110" s="20">
        <v>0</v>
      </c>
      <c r="M110" s="20">
        <v>250</v>
      </c>
      <c r="N110" s="20">
        <v>0</v>
      </c>
      <c r="O110" s="20">
        <v>0</v>
      </c>
      <c r="P110" s="36"/>
      <c r="Q110" s="2">
        <f>SUM(OSRRefD21_15_0x)+IFERROR(SUM(OSRRefE21_15_0x),0)</f>
        <v>750</v>
      </c>
    </row>
    <row r="111" spans="1:17" s="34" customFormat="1" collapsed="1" x14ac:dyDescent="0.3">
      <c r="A111" s="35"/>
      <c r="B111" s="14" t="str">
        <f>CONCATENATE("     ","R/H Commissions                                   ")</f>
        <v xml:space="preserve">     R/H Commissions                                   </v>
      </c>
      <c r="C111" s="14"/>
      <c r="D111" s="1">
        <f>SUM(OSRRefD21_16x_0)</f>
        <v>1568</v>
      </c>
      <c r="E111" s="1">
        <f>SUM(OSRRefE21_16x_0)</f>
        <v>22579</v>
      </c>
      <c r="F111" s="1">
        <f>SUM(OSRRefE21_16x_1)</f>
        <v>90317</v>
      </c>
      <c r="G111" s="1">
        <f>SUM(OSRRefE21_16x_2)</f>
        <v>112896</v>
      </c>
      <c r="H111" s="1">
        <f>SUM(OSRRefE21_16x_3)</f>
        <v>62352</v>
      </c>
      <c r="I111" s="1">
        <f>SUM(OSRRefE21_16x_4)</f>
        <v>70963</v>
      </c>
      <c r="J111" s="1">
        <f>SUM(OSRRefE21_16x_5)</f>
        <v>35482</v>
      </c>
      <c r="K111" s="1">
        <f>SUM(OSRRefE21_16x_6)</f>
        <v>90317</v>
      </c>
      <c r="L111" s="1">
        <f>SUM(OSRRefE21_16x_7)</f>
        <v>87091</v>
      </c>
      <c r="M111" s="1">
        <f>SUM(OSRRefE21_16x_8)</f>
        <v>87091</v>
      </c>
      <c r="N111" s="1">
        <f>SUM(OSRRefE21_16x_9)</f>
        <v>44064</v>
      </c>
      <c r="O111" s="1">
        <f>SUM(OSRRefE21_16x_10)</f>
        <v>0</v>
      </c>
      <c r="Q111" s="2">
        <f>SUM(OSRRefD20_16x)+IFERROR(SUM(OSRRefE20_16x),0)</f>
        <v>704720</v>
      </c>
    </row>
    <row r="112" spans="1:17" s="34" customFormat="1" hidden="1" outlineLevel="1" x14ac:dyDescent="0.3">
      <c r="A112" s="35"/>
      <c r="B112" s="10" t="str">
        <f>CONCATENATE("          ","6387", " - ","COMMISSION DUE HOUSING")</f>
        <v xml:space="preserve">          6387 - COMMISSION DUE HOUSING</v>
      </c>
      <c r="C112" s="14"/>
      <c r="D112" s="20">
        <v>1568</v>
      </c>
      <c r="E112" s="20">
        <v>22579</v>
      </c>
      <c r="F112" s="20">
        <v>90317</v>
      </c>
      <c r="G112" s="20">
        <v>112896</v>
      </c>
      <c r="H112" s="20">
        <v>62352</v>
      </c>
      <c r="I112" s="20">
        <v>70963</v>
      </c>
      <c r="J112" s="20">
        <v>35482</v>
      </c>
      <c r="K112" s="20">
        <v>90317</v>
      </c>
      <c r="L112" s="20">
        <v>87091</v>
      </c>
      <c r="M112" s="20">
        <v>87091</v>
      </c>
      <c r="N112" s="20">
        <v>44064</v>
      </c>
      <c r="O112" s="20"/>
      <c r="P112" s="36"/>
      <c r="Q112" s="2">
        <f>SUM(OSRRefD21_16_0x)+IFERROR(SUM(OSRRefE21_16_0x),0)</f>
        <v>704720</v>
      </c>
    </row>
    <row r="113" spans="1:17" s="34" customFormat="1" collapsed="1" x14ac:dyDescent="0.3">
      <c r="A113" s="35"/>
      <c r="B113" s="14" t="str">
        <f>CONCATENATE("     ","Rent                                              ")</f>
        <v xml:space="preserve">     Rent                                              </v>
      </c>
      <c r="C113" s="14"/>
      <c r="D113" s="1">
        <f>SUM(OSRRefD21_17x_0)</f>
        <v>8750</v>
      </c>
      <c r="E113" s="1">
        <f>SUM(OSRRefE21_17x_0)</f>
        <v>8750</v>
      </c>
      <c r="F113" s="1">
        <f>SUM(OSRRefE21_17x_1)</f>
        <v>8750</v>
      </c>
      <c r="G113" s="1">
        <f>SUM(OSRRefE21_17x_2)</f>
        <v>8750</v>
      </c>
      <c r="H113" s="1">
        <f>SUM(OSRRefE21_17x_3)</f>
        <v>8750</v>
      </c>
      <c r="I113" s="1">
        <f>SUM(OSRRefE21_17x_4)</f>
        <v>8750</v>
      </c>
      <c r="J113" s="1">
        <f>SUM(OSRRefE21_17x_5)</f>
        <v>8750</v>
      </c>
      <c r="K113" s="1">
        <f>SUM(OSRRefE21_17x_6)</f>
        <v>8750</v>
      </c>
      <c r="L113" s="1">
        <f>SUM(OSRRefE21_17x_7)</f>
        <v>8750</v>
      </c>
      <c r="M113" s="1">
        <f>SUM(OSRRefE21_17x_8)</f>
        <v>8750</v>
      </c>
      <c r="N113" s="1">
        <f>SUM(OSRRefE21_17x_9)</f>
        <v>8750</v>
      </c>
      <c r="O113" s="1">
        <f>SUM(OSRRefE21_17x_10)</f>
        <v>8750</v>
      </c>
      <c r="Q113" s="2">
        <f>SUM(OSRRefD20_17x)+IFERROR(SUM(OSRRefE20_17x),0)</f>
        <v>105000</v>
      </c>
    </row>
    <row r="114" spans="1:17" s="34" customFormat="1" hidden="1" outlineLevel="1" x14ac:dyDescent="0.3">
      <c r="A114" s="35"/>
      <c r="B114" s="10" t="str">
        <f>CONCATENATE("          ","6273", " - ","RENT")</f>
        <v xml:space="preserve">          6273 - RENT</v>
      </c>
      <c r="C114" s="14"/>
      <c r="D114" s="20">
        <v>8750</v>
      </c>
      <c r="E114" s="20">
        <v>8750</v>
      </c>
      <c r="F114" s="20">
        <v>8750</v>
      </c>
      <c r="G114" s="20">
        <v>8750</v>
      </c>
      <c r="H114" s="20">
        <v>8750</v>
      </c>
      <c r="I114" s="20">
        <v>8750</v>
      </c>
      <c r="J114" s="20">
        <v>8750</v>
      </c>
      <c r="K114" s="20">
        <v>8750</v>
      </c>
      <c r="L114" s="20">
        <v>8750</v>
      </c>
      <c r="M114" s="20">
        <v>8750</v>
      </c>
      <c r="N114" s="20">
        <v>8750</v>
      </c>
      <c r="O114" s="20">
        <v>8750</v>
      </c>
      <c r="P114" s="36"/>
      <c r="Q114" s="2">
        <f>SUM(OSRRefD21_17_0x)+IFERROR(SUM(OSRRefE21_17_0x),0)</f>
        <v>105000</v>
      </c>
    </row>
    <row r="115" spans="1:17" s="34" customFormat="1" collapsed="1" x14ac:dyDescent="0.3">
      <c r="A115" s="35"/>
      <c r="B115" s="14" t="str">
        <f>CONCATENATE("     ","Repair and Maintenance                            ")</f>
        <v xml:space="preserve">     Repair and Maintenance                            </v>
      </c>
      <c r="C115" s="14"/>
      <c r="D115" s="1">
        <f>SUM(OSRRefD21_18x_0)</f>
        <v>194024.06</v>
      </c>
      <c r="E115" s="1">
        <f>SUM(OSRRefE21_18x_0)</f>
        <v>145608</v>
      </c>
      <c r="F115" s="1">
        <f>SUM(OSRRefE21_18x_1)</f>
        <v>29474</v>
      </c>
      <c r="G115" s="1">
        <f>SUM(OSRRefE21_18x_2)</f>
        <v>20775</v>
      </c>
      <c r="H115" s="1">
        <f>SUM(OSRRefE21_18x_3)</f>
        <v>21498</v>
      </c>
      <c r="I115" s="1">
        <f>SUM(OSRRefE21_18x_4)</f>
        <v>16534</v>
      </c>
      <c r="J115" s="1">
        <f>SUM(OSRRefE21_18x_5)</f>
        <v>33526</v>
      </c>
      <c r="K115" s="1">
        <f>SUM(OSRRefE21_18x_6)</f>
        <v>43739</v>
      </c>
      <c r="L115" s="1">
        <f>SUM(OSRRefE21_18x_7)</f>
        <v>21798</v>
      </c>
      <c r="M115" s="1">
        <f>SUM(OSRRefE21_18x_8)</f>
        <v>27039</v>
      </c>
      <c r="N115" s="1">
        <f>SUM(OSRRefE21_18x_9)</f>
        <v>22589</v>
      </c>
      <c r="O115" s="1">
        <f>SUM(OSRRefE21_18x_10)</f>
        <v>19865</v>
      </c>
      <c r="Q115" s="2">
        <f>SUM(OSRRefD20_18x)+IFERROR(SUM(OSRRefE20_18x),0)</f>
        <v>596469.06000000006</v>
      </c>
    </row>
    <row r="116" spans="1:17" s="34" customFormat="1" hidden="1" outlineLevel="1" x14ac:dyDescent="0.3">
      <c r="A116" s="35"/>
      <c r="B116" s="10" t="str">
        <f>CONCATENATE("          ","6371", " - ","COMPUTER SOFTWARE MAINTENANCE")</f>
        <v xml:space="preserve">          6371 - COMPUTER SOFTWARE MAINTENANCE</v>
      </c>
      <c r="C116" s="14"/>
      <c r="D116" s="20">
        <v>63123.5</v>
      </c>
      <c r="E116" s="20">
        <v>129500</v>
      </c>
      <c r="F116" s="20">
        <v>7123</v>
      </c>
      <c r="G116" s="20">
        <v>4600</v>
      </c>
      <c r="H116" s="20">
        <v>4500</v>
      </c>
      <c r="I116" s="20">
        <v>4500</v>
      </c>
      <c r="J116" s="20">
        <v>4500</v>
      </c>
      <c r="K116" s="20">
        <v>4500</v>
      </c>
      <c r="L116" s="20">
        <v>4500</v>
      </c>
      <c r="M116" s="20">
        <v>4500</v>
      </c>
      <c r="N116" s="20">
        <v>4500</v>
      </c>
      <c r="O116" s="20">
        <v>4500</v>
      </c>
      <c r="P116" s="36"/>
      <c r="Q116" s="2">
        <f>SUM(OSRRefD21_18_0x)+IFERROR(SUM(OSRRefE21_18_0x),0)</f>
        <v>240346.5</v>
      </c>
    </row>
    <row r="117" spans="1:17" s="34" customFormat="1" hidden="1" outlineLevel="1" x14ac:dyDescent="0.3">
      <c r="A117" s="35"/>
      <c r="B117" s="10" t="str">
        <f>CONCATENATE("          ","6372", " - ","COMPUTER HARDWARE MAINTENANCE")</f>
        <v xml:space="preserve">          6372 - COMPUTER HARDWARE MAINTENANCE</v>
      </c>
      <c r="C117" s="14"/>
      <c r="D117" s="20"/>
      <c r="E117" s="20">
        <v>6950</v>
      </c>
      <c r="F117" s="20">
        <v>6950</v>
      </c>
      <c r="G117" s="20">
        <v>6950</v>
      </c>
      <c r="H117" s="20">
        <v>6950</v>
      </c>
      <c r="I117" s="20">
        <v>6950</v>
      </c>
      <c r="J117" s="20">
        <v>14950</v>
      </c>
      <c r="K117" s="20">
        <v>6950</v>
      </c>
      <c r="L117" s="20">
        <v>6950</v>
      </c>
      <c r="M117" s="20">
        <v>6950</v>
      </c>
      <c r="N117" s="20">
        <v>6950</v>
      </c>
      <c r="O117" s="20">
        <v>6950</v>
      </c>
      <c r="P117" s="36"/>
      <c r="Q117" s="2">
        <f>SUM(OSRRefD21_18_1x)+IFERROR(SUM(OSRRefE21_18_1x),0)</f>
        <v>84450</v>
      </c>
    </row>
    <row r="118" spans="1:17" s="34" customFormat="1" hidden="1" outlineLevel="1" x14ac:dyDescent="0.3">
      <c r="A118" s="35"/>
      <c r="B118" s="10" t="str">
        <f>CONCATENATE("          ","6373", " - ","MAINTENANCE CONTRACTS")</f>
        <v xml:space="preserve">          6373 - MAINTENANCE CONTRACTS</v>
      </c>
      <c r="C118" s="14"/>
      <c r="D118" s="20">
        <v>122670.12</v>
      </c>
      <c r="E118" s="20">
        <v>6155</v>
      </c>
      <c r="F118" s="20">
        <v>11993</v>
      </c>
      <c r="G118" s="20">
        <v>6035</v>
      </c>
      <c r="H118" s="20">
        <v>7555</v>
      </c>
      <c r="I118" s="20">
        <v>2118</v>
      </c>
      <c r="J118" s="20">
        <v>10635</v>
      </c>
      <c r="K118" s="20">
        <v>27955</v>
      </c>
      <c r="L118" s="20">
        <v>6093</v>
      </c>
      <c r="M118" s="20">
        <v>10635</v>
      </c>
      <c r="N118" s="20">
        <v>7655</v>
      </c>
      <c r="O118" s="20">
        <v>5955</v>
      </c>
      <c r="P118" s="36"/>
      <c r="Q118" s="2">
        <f>SUM(OSRRefD21_18_2x)+IFERROR(SUM(OSRRefE21_18_2x),0)</f>
        <v>225454.12</v>
      </c>
    </row>
    <row r="119" spans="1:17" s="34" customFormat="1" hidden="1" outlineLevel="1" x14ac:dyDescent="0.3">
      <c r="A119" s="35"/>
      <c r="B119" s="10" t="str">
        <f>CONCATENATE("          ","6375", " - ","OUTSIDE REPAIRS &amp; MAINTENANCE")</f>
        <v xml:space="preserve">          6375 - OUTSIDE REPAIRS &amp; MAINTENANCE</v>
      </c>
      <c r="C119" s="14"/>
      <c r="D119" s="20">
        <v>8230.44</v>
      </c>
      <c r="E119" s="20">
        <v>3003</v>
      </c>
      <c r="F119" s="20">
        <v>3408</v>
      </c>
      <c r="G119" s="20">
        <v>3190</v>
      </c>
      <c r="H119" s="20">
        <v>2493</v>
      </c>
      <c r="I119" s="20">
        <v>2966</v>
      </c>
      <c r="J119" s="20">
        <v>3441</v>
      </c>
      <c r="K119" s="20">
        <v>4334</v>
      </c>
      <c r="L119" s="20">
        <v>4255</v>
      </c>
      <c r="M119" s="20">
        <v>4954</v>
      </c>
      <c r="N119" s="20">
        <v>3484</v>
      </c>
      <c r="O119" s="20">
        <v>2460</v>
      </c>
      <c r="P119" s="36"/>
      <c r="Q119" s="2">
        <f>SUM(OSRRefD21_18_3x)+IFERROR(SUM(OSRRefE21_18_3x),0)</f>
        <v>46218.44</v>
      </c>
    </row>
    <row r="120" spans="1:17" s="34" customFormat="1" collapsed="1" x14ac:dyDescent="0.3">
      <c r="A120" s="35"/>
      <c r="B120" s="14" t="str">
        <f>CONCATENATE("     ","Royalty &amp; Commissions                             ")</f>
        <v xml:space="preserve">     Royalty &amp; Commissions                             </v>
      </c>
      <c r="C120" s="14"/>
      <c r="D120" s="1">
        <f>SUM(OSRRefD21_19x_0)</f>
        <v>7355.1000000000013</v>
      </c>
      <c r="E120" s="1">
        <f>SUM(OSRRefE21_19x_0)</f>
        <v>5485</v>
      </c>
      <c r="F120" s="1">
        <f>SUM(OSRRefE21_19x_1)</f>
        <v>2990</v>
      </c>
      <c r="G120" s="1">
        <f>SUM(OSRRefE21_19x_2)</f>
        <v>13194</v>
      </c>
      <c r="H120" s="1">
        <f>SUM(OSRRefE21_19x_3)</f>
        <v>9663</v>
      </c>
      <c r="I120" s="1">
        <f>SUM(OSRRefE21_19x_4)</f>
        <v>5518</v>
      </c>
      <c r="J120" s="1">
        <f>SUM(OSRRefE21_19x_5)</f>
        <v>20055</v>
      </c>
      <c r="K120" s="1">
        <f>SUM(OSRRefE21_19x_6)</f>
        <v>8090</v>
      </c>
      <c r="L120" s="1">
        <f>SUM(OSRRefE21_19x_7)</f>
        <v>5181</v>
      </c>
      <c r="M120" s="1">
        <f>SUM(OSRRefE21_19x_8)</f>
        <v>19437</v>
      </c>
      <c r="N120" s="1">
        <f>SUM(OSRRefE21_19x_9)</f>
        <v>10895</v>
      </c>
      <c r="O120" s="1">
        <f>SUM(OSRRefE21_19x_10)</f>
        <v>10158</v>
      </c>
      <c r="Q120" s="2">
        <f>SUM(OSRRefD20_19x)+IFERROR(SUM(OSRRefE20_19x),0)</f>
        <v>118021.1</v>
      </c>
    </row>
    <row r="121" spans="1:17" s="34" customFormat="1" hidden="1" outlineLevel="1" x14ac:dyDescent="0.3">
      <c r="A121" s="35"/>
      <c r="B121" s="10" t="str">
        <f>CONCATENATE("          ","6252", " - ","ROYALTY DUE CSTV")</f>
        <v xml:space="preserve">          6252 - ROYALTY DUE CSTV</v>
      </c>
      <c r="C121" s="14"/>
      <c r="D121" s="20"/>
      <c r="E121" s="20">
        <v>2080</v>
      </c>
      <c r="F121" s="20">
        <v>1266</v>
      </c>
      <c r="G121" s="20">
        <v>1122</v>
      </c>
      <c r="H121" s="20">
        <v>3014</v>
      </c>
      <c r="I121" s="20">
        <v>1906</v>
      </c>
      <c r="J121" s="20">
        <v>821</v>
      </c>
      <c r="K121" s="20">
        <v>446</v>
      </c>
      <c r="L121" s="20">
        <v>1085</v>
      </c>
      <c r="M121" s="20">
        <v>948</v>
      </c>
      <c r="N121" s="20">
        <v>2156</v>
      </c>
      <c r="O121" s="20">
        <v>3322</v>
      </c>
      <c r="P121" s="36"/>
      <c r="Q121" s="2">
        <f>SUM(OSRRefD21_19_0x)+IFERROR(SUM(OSRRefE21_19_0x),0)</f>
        <v>18166</v>
      </c>
    </row>
    <row r="122" spans="1:17" s="34" customFormat="1" hidden="1" outlineLevel="1" x14ac:dyDescent="0.3">
      <c r="A122" s="35"/>
      <c r="B122" s="10" t="str">
        <f>CONCATENATE("          ","6253", " - ","ROYALTY DUE ATHLETICS-LRG")</f>
        <v xml:space="preserve">          6253 - ROYALTY DUE ATHLETICS-LRG</v>
      </c>
      <c r="C122" s="14"/>
      <c r="D122" s="20">
        <v>14376.54</v>
      </c>
      <c r="E122" s="20">
        <v>0</v>
      </c>
      <c r="F122" s="20">
        <v>0</v>
      </c>
      <c r="G122" s="20">
        <v>10490</v>
      </c>
      <c r="H122" s="20">
        <v>0</v>
      </c>
      <c r="I122" s="20">
        <v>0</v>
      </c>
      <c r="J122" s="20">
        <v>7785</v>
      </c>
      <c r="K122" s="20">
        <v>0</v>
      </c>
      <c r="L122" s="20">
        <v>0</v>
      </c>
      <c r="M122" s="20">
        <v>14555</v>
      </c>
      <c r="N122" s="20">
        <v>0</v>
      </c>
      <c r="O122" s="20">
        <v>0</v>
      </c>
      <c r="P122" s="36"/>
      <c r="Q122" s="2">
        <f>SUM(OSRRefD21_19_1x)+IFERROR(SUM(OSRRefE21_19_1x),0)</f>
        <v>47206.54</v>
      </c>
    </row>
    <row r="123" spans="1:17" s="34" customFormat="1" hidden="1" outlineLevel="1" x14ac:dyDescent="0.3">
      <c r="A123" s="35"/>
      <c r="B123" s="10" t="str">
        <f>CONCATENATE("          ","6254", " - ","ROYALTY &amp; COMMISSIONS")</f>
        <v xml:space="preserve">          6254 - ROYALTY &amp; COMMISSIONS</v>
      </c>
      <c r="C123" s="14"/>
      <c r="D123" s="20">
        <v>-7027.5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500</v>
      </c>
      <c r="K123" s="20">
        <v>1000</v>
      </c>
      <c r="L123" s="20">
        <v>1000</v>
      </c>
      <c r="M123" s="20">
        <v>1000</v>
      </c>
      <c r="N123" s="20">
        <v>1000</v>
      </c>
      <c r="O123" s="20">
        <v>0</v>
      </c>
      <c r="P123" s="36"/>
      <c r="Q123" s="2">
        <f>SUM(OSRRefD21_19_2x)+IFERROR(SUM(OSRRefE21_19_2x),0)</f>
        <v>-2527.5</v>
      </c>
    </row>
    <row r="124" spans="1:17" s="34" customFormat="1" hidden="1" outlineLevel="1" x14ac:dyDescent="0.3">
      <c r="A124" s="35"/>
      <c r="B124" s="10" t="str">
        <f>CONCATENATE("          ","6259", " - ","ROYALTY &amp; COMMISSIONS")</f>
        <v xml:space="preserve">          6259 - ROYALTY &amp; COMMISSIONS</v>
      </c>
      <c r="C124" s="14"/>
      <c r="D124" s="20">
        <v>6.06</v>
      </c>
      <c r="E124" s="20">
        <v>3405</v>
      </c>
      <c r="F124" s="20">
        <v>1724</v>
      </c>
      <c r="G124" s="20">
        <v>1582</v>
      </c>
      <c r="H124" s="20">
        <v>6649</v>
      </c>
      <c r="I124" s="20">
        <v>3612</v>
      </c>
      <c r="J124" s="20">
        <v>10949</v>
      </c>
      <c r="K124" s="20">
        <v>6644</v>
      </c>
      <c r="L124" s="20">
        <v>3096</v>
      </c>
      <c r="M124" s="20">
        <v>2934</v>
      </c>
      <c r="N124" s="20">
        <v>7739</v>
      </c>
      <c r="O124" s="20">
        <v>6836</v>
      </c>
      <c r="P124" s="36"/>
      <c r="Q124" s="2">
        <f>SUM(OSRRefD21_19_3x)+IFERROR(SUM(OSRRefE21_19_3x),0)</f>
        <v>55176.06</v>
      </c>
    </row>
    <row r="125" spans="1:17" s="34" customFormat="1" collapsed="1" x14ac:dyDescent="0.3">
      <c r="A125" s="35"/>
      <c r="B125" s="14" t="str">
        <f>CONCATENATE("     ","Services                                          ")</f>
        <v xml:space="preserve">     Services                                          </v>
      </c>
      <c r="C125" s="14"/>
      <c r="D125" s="1">
        <f>SUM(OSRRefD21_20x_0)</f>
        <v>21826.320000000003</v>
      </c>
      <c r="E125" s="1">
        <f>SUM(OSRRefE21_20x_0)</f>
        <v>36998</v>
      </c>
      <c r="F125" s="1">
        <f>SUM(OSRRefE21_20x_1)</f>
        <v>36989</v>
      </c>
      <c r="G125" s="1">
        <f>SUM(OSRRefE21_20x_2)</f>
        <v>37936</v>
      </c>
      <c r="H125" s="1">
        <f>SUM(OSRRefE21_20x_3)</f>
        <v>36919</v>
      </c>
      <c r="I125" s="1">
        <f>SUM(OSRRefE21_20x_4)</f>
        <v>36979</v>
      </c>
      <c r="J125" s="1">
        <f>SUM(OSRRefE21_20x_5)</f>
        <v>37585</v>
      </c>
      <c r="K125" s="1">
        <f>SUM(OSRRefE21_20x_6)</f>
        <v>37453</v>
      </c>
      <c r="L125" s="1">
        <f>SUM(OSRRefE21_20x_7)</f>
        <v>37513</v>
      </c>
      <c r="M125" s="1">
        <f>SUM(OSRRefE21_20x_8)</f>
        <v>38450</v>
      </c>
      <c r="N125" s="1">
        <f>SUM(OSRRefE21_20x_9)</f>
        <v>37453</v>
      </c>
      <c r="O125" s="1">
        <f>SUM(OSRRefE21_20x_10)</f>
        <v>37596</v>
      </c>
      <c r="Q125" s="2">
        <f>SUM(OSRRefD20_20x)+IFERROR(SUM(OSRRefE20_20x),0)</f>
        <v>433697.32</v>
      </c>
    </row>
    <row r="126" spans="1:17" s="34" customFormat="1" hidden="1" outlineLevel="1" x14ac:dyDescent="0.3">
      <c r="A126" s="35"/>
      <c r="B126" s="10" t="str">
        <f>CONCATENATE("          ","6282", " - ","JANITORIAL/EXTERMINATOR EXPENS")</f>
        <v xml:space="preserve">          6282 - JANITORIAL/EXTERMINATOR EXPENS</v>
      </c>
      <c r="C126" s="14"/>
      <c r="D126" s="20">
        <v>2330.4499999999998</v>
      </c>
      <c r="E126" s="20">
        <v>7306</v>
      </c>
      <c r="F126" s="20">
        <v>7256</v>
      </c>
      <c r="G126" s="20">
        <v>7256</v>
      </c>
      <c r="H126" s="20">
        <v>7256</v>
      </c>
      <c r="I126" s="20">
        <v>7256</v>
      </c>
      <c r="J126" s="20">
        <v>7256</v>
      </c>
      <c r="K126" s="20">
        <v>7256</v>
      </c>
      <c r="L126" s="20">
        <v>7256</v>
      </c>
      <c r="M126" s="20">
        <v>7256</v>
      </c>
      <c r="N126" s="20">
        <v>7256</v>
      </c>
      <c r="O126" s="20">
        <v>7256</v>
      </c>
      <c r="P126" s="36"/>
      <c r="Q126" s="2">
        <f>SUM(OSRRefD21_20_0x)+IFERROR(SUM(OSRRefE21_20_0x),0)</f>
        <v>82196.45</v>
      </c>
    </row>
    <row r="127" spans="1:17" s="34" customFormat="1" hidden="1" outlineLevel="1" x14ac:dyDescent="0.3">
      <c r="A127" s="35"/>
      <c r="B127" s="10" t="str">
        <f>CONCATENATE("          ","6283", " - ","PLANT SERVICE")</f>
        <v xml:space="preserve">          6283 - PLANT SERVICE</v>
      </c>
      <c r="C127" s="14"/>
      <c r="D127" s="20"/>
      <c r="E127" s="20">
        <v>100</v>
      </c>
      <c r="F127" s="20">
        <v>100</v>
      </c>
      <c r="G127" s="20">
        <v>100</v>
      </c>
      <c r="H127" s="20">
        <v>100</v>
      </c>
      <c r="I127" s="20">
        <v>100</v>
      </c>
      <c r="J127" s="20">
        <v>100</v>
      </c>
      <c r="K127" s="20">
        <v>100</v>
      </c>
      <c r="L127" s="20">
        <v>100</v>
      </c>
      <c r="M127" s="20">
        <v>100</v>
      </c>
      <c r="N127" s="20">
        <v>100</v>
      </c>
      <c r="O127" s="20">
        <v>100</v>
      </c>
      <c r="P127" s="36"/>
      <c r="Q127" s="2">
        <f>SUM(OSRRefD21_20_1x)+IFERROR(SUM(OSRRefE21_20_1x),0)</f>
        <v>1100</v>
      </c>
    </row>
    <row r="128" spans="1:17" s="34" customFormat="1" hidden="1" outlineLevel="1" x14ac:dyDescent="0.3">
      <c r="A128" s="35"/>
      <c r="B128" s="10" t="str">
        <f>CONCATENATE("          ","6284", " - ","TRASH REMOVAL EXPENSE")</f>
        <v xml:space="preserve">          6284 - TRASH REMOVAL EXPENSE</v>
      </c>
      <c r="C128" s="14"/>
      <c r="D128" s="20">
        <v>142.57</v>
      </c>
      <c r="E128" s="20">
        <v>1660</v>
      </c>
      <c r="F128" s="20">
        <v>1720</v>
      </c>
      <c r="G128" s="20">
        <v>1660</v>
      </c>
      <c r="H128" s="20">
        <v>1660</v>
      </c>
      <c r="I128" s="20">
        <v>1720</v>
      </c>
      <c r="J128" s="20">
        <v>1660</v>
      </c>
      <c r="K128" s="20">
        <v>1660</v>
      </c>
      <c r="L128" s="20">
        <v>1720</v>
      </c>
      <c r="M128" s="20">
        <v>1660</v>
      </c>
      <c r="N128" s="20">
        <v>1660</v>
      </c>
      <c r="O128" s="20">
        <v>1720</v>
      </c>
      <c r="P128" s="36"/>
      <c r="Q128" s="2">
        <f>SUM(OSRRefD21_20_2x)+IFERROR(SUM(OSRRefE21_20_2x),0)</f>
        <v>18642.57</v>
      </c>
    </row>
    <row r="129" spans="1:17" s="34" customFormat="1" hidden="1" outlineLevel="1" x14ac:dyDescent="0.3">
      <c r="A129" s="35"/>
      <c r="B129" s="10" t="str">
        <f>CONCATENATE("          ","6285", " - ","JANITORIAL SERVICES")</f>
        <v xml:space="preserve">          6285 - JANITORIAL SERVICES</v>
      </c>
      <c r="C129" s="14"/>
      <c r="D129" s="20">
        <v>18270.330000000002</v>
      </c>
      <c r="E129" s="20">
        <v>22559</v>
      </c>
      <c r="F129" s="20">
        <v>22559</v>
      </c>
      <c r="G129" s="20">
        <v>23434</v>
      </c>
      <c r="H129" s="20">
        <v>22559</v>
      </c>
      <c r="I129" s="20">
        <v>22559</v>
      </c>
      <c r="J129" s="20">
        <v>23083</v>
      </c>
      <c r="K129" s="20">
        <v>23083</v>
      </c>
      <c r="L129" s="20">
        <v>23083</v>
      </c>
      <c r="M129" s="20">
        <v>23958</v>
      </c>
      <c r="N129" s="20">
        <v>23083</v>
      </c>
      <c r="O129" s="20">
        <v>23083</v>
      </c>
      <c r="P129" s="36"/>
      <c r="Q129" s="2">
        <f>SUM(OSRRefD21_20_3x)+IFERROR(SUM(OSRRefE21_20_3x),0)</f>
        <v>271313.33</v>
      </c>
    </row>
    <row r="130" spans="1:17" s="34" customFormat="1" hidden="1" outlineLevel="1" x14ac:dyDescent="0.3">
      <c r="A130" s="35"/>
      <c r="B130" s="10" t="str">
        <f>CONCATENATE("          ","6286", " - ","LAUNDRY EXPENSE")</f>
        <v xml:space="preserve">          6286 - LAUNDRY EXPENSE</v>
      </c>
      <c r="C130" s="14"/>
      <c r="D130" s="20">
        <v>1082.97</v>
      </c>
      <c r="E130" s="20">
        <v>5373</v>
      </c>
      <c r="F130" s="20">
        <v>5354</v>
      </c>
      <c r="G130" s="20">
        <v>5486</v>
      </c>
      <c r="H130" s="20">
        <v>5344</v>
      </c>
      <c r="I130" s="20">
        <v>5344</v>
      </c>
      <c r="J130" s="20">
        <v>5486</v>
      </c>
      <c r="K130" s="20">
        <v>5354</v>
      </c>
      <c r="L130" s="20">
        <v>5354</v>
      </c>
      <c r="M130" s="20">
        <v>5476</v>
      </c>
      <c r="N130" s="20">
        <v>5354</v>
      </c>
      <c r="O130" s="20">
        <v>5437</v>
      </c>
      <c r="P130" s="36"/>
      <c r="Q130" s="2">
        <f>SUM(OSRRefD21_20_4x)+IFERROR(SUM(OSRRefE21_20_4x),0)</f>
        <v>60444.97</v>
      </c>
    </row>
    <row r="131" spans="1:17" s="34" customFormat="1" collapsed="1" x14ac:dyDescent="0.3">
      <c r="A131" s="35"/>
      <c r="B131" s="14" t="str">
        <f>CONCATENATE("     ","Subscriptions &amp; Dues                              ")</f>
        <v xml:space="preserve">     Subscriptions &amp; Dues                              </v>
      </c>
      <c r="C131" s="14"/>
      <c r="D131" s="1">
        <f>SUM(OSRRefD21_21x_0)</f>
        <v>198.98999999999998</v>
      </c>
      <c r="E131" s="1">
        <f>SUM(OSRRefE21_21x_0)</f>
        <v>2056</v>
      </c>
      <c r="F131" s="1">
        <f>SUM(OSRRefE21_21x_1)</f>
        <v>1076</v>
      </c>
      <c r="G131" s="1">
        <f>SUM(OSRRefE21_21x_2)</f>
        <v>2056</v>
      </c>
      <c r="H131" s="1">
        <f>SUM(OSRRefE21_21x_3)</f>
        <v>1871</v>
      </c>
      <c r="I131" s="1">
        <f>SUM(OSRRefE21_21x_4)</f>
        <v>2056</v>
      </c>
      <c r="J131" s="1">
        <f>SUM(OSRRefE21_21x_5)</f>
        <v>3076</v>
      </c>
      <c r="K131" s="1">
        <f>SUM(OSRRefE21_21x_6)</f>
        <v>2156</v>
      </c>
      <c r="L131" s="1">
        <f>SUM(OSRRefE21_21x_7)</f>
        <v>1176</v>
      </c>
      <c r="M131" s="1">
        <f>SUM(OSRRefE21_21x_8)</f>
        <v>2156</v>
      </c>
      <c r="N131" s="1">
        <f>SUM(OSRRefE21_21x_9)</f>
        <v>1176</v>
      </c>
      <c r="O131" s="1">
        <f>SUM(OSRRefE21_21x_10)</f>
        <v>1356</v>
      </c>
      <c r="Q131" s="2">
        <f>SUM(OSRRefD20_21x)+IFERROR(SUM(OSRRefE20_21x),0)</f>
        <v>20409.990000000002</v>
      </c>
    </row>
    <row r="132" spans="1:17" s="34" customFormat="1" hidden="1" outlineLevel="1" x14ac:dyDescent="0.3">
      <c r="A132" s="35"/>
      <c r="B132" s="10" t="str">
        <f>CONCATENATE("          ","6258", " - ","MEMBERSHIP DUES")</f>
        <v xml:space="preserve">          6258 - MEMBERSHIP DUES</v>
      </c>
      <c r="C132" s="14"/>
      <c r="D132" s="20">
        <v>68.319999999999993</v>
      </c>
      <c r="E132" s="20">
        <v>1385</v>
      </c>
      <c r="F132" s="20">
        <v>385</v>
      </c>
      <c r="G132" s="20">
        <v>1385</v>
      </c>
      <c r="H132" s="20">
        <v>1180</v>
      </c>
      <c r="I132" s="20">
        <v>1385</v>
      </c>
      <c r="J132" s="20">
        <v>385</v>
      </c>
      <c r="K132" s="20">
        <v>1385</v>
      </c>
      <c r="L132" s="20">
        <v>385</v>
      </c>
      <c r="M132" s="20">
        <v>1385</v>
      </c>
      <c r="N132" s="20">
        <v>385</v>
      </c>
      <c r="O132" s="20">
        <v>585</v>
      </c>
      <c r="P132" s="36"/>
      <c r="Q132" s="2">
        <f>SUM(OSRRefD21_21_0x)+IFERROR(SUM(OSRRefE21_21_0x),0)</f>
        <v>10298.32</v>
      </c>
    </row>
    <row r="133" spans="1:17" s="34" customFormat="1" hidden="1" outlineLevel="1" x14ac:dyDescent="0.3">
      <c r="A133" s="35"/>
      <c r="B133" s="10" t="str">
        <f>CONCATENATE("          ","6275", " - ","SUBSCRIPTIONS")</f>
        <v xml:space="preserve">          6275 - SUBSCRIPTIONS</v>
      </c>
      <c r="C133" s="14"/>
      <c r="D133" s="20">
        <v>130.66999999999999</v>
      </c>
      <c r="E133" s="20">
        <v>671</v>
      </c>
      <c r="F133" s="20">
        <v>691</v>
      </c>
      <c r="G133" s="20">
        <v>671</v>
      </c>
      <c r="H133" s="20">
        <v>691</v>
      </c>
      <c r="I133" s="20">
        <v>671</v>
      </c>
      <c r="J133" s="20">
        <v>2691</v>
      </c>
      <c r="K133" s="20">
        <v>771</v>
      </c>
      <c r="L133" s="20">
        <v>791</v>
      </c>
      <c r="M133" s="20">
        <v>771</v>
      </c>
      <c r="N133" s="20">
        <v>791</v>
      </c>
      <c r="O133" s="20">
        <v>771</v>
      </c>
      <c r="P133" s="36"/>
      <c r="Q133" s="2">
        <f>SUM(OSRRefD21_21_1x)+IFERROR(SUM(OSRRefE21_21_1x),0)</f>
        <v>10111.67</v>
      </c>
    </row>
    <row r="134" spans="1:17" s="34" customFormat="1" collapsed="1" x14ac:dyDescent="0.3">
      <c r="A134" s="35"/>
      <c r="B134" s="14" t="str">
        <f>CONCATENATE("     ","Supplies                                          ")</f>
        <v xml:space="preserve">     Supplies                                          </v>
      </c>
      <c r="C134" s="14"/>
      <c r="D134" s="1">
        <f>SUM(OSRRefD21_22x_0)</f>
        <v>16538.2</v>
      </c>
      <c r="E134" s="1">
        <f>SUM(OSRRefE21_22x_0)</f>
        <v>56799</v>
      </c>
      <c r="F134" s="1">
        <f>SUM(OSRRefE21_22x_1)</f>
        <v>56745</v>
      </c>
      <c r="G134" s="1">
        <f>SUM(OSRRefE21_22x_2)</f>
        <v>51015</v>
      </c>
      <c r="H134" s="1">
        <f>SUM(OSRRefE21_22x_3)</f>
        <v>46495</v>
      </c>
      <c r="I134" s="1">
        <f>SUM(OSRRefE21_22x_4)</f>
        <v>46515</v>
      </c>
      <c r="J134" s="1">
        <f>SUM(OSRRefE21_22x_5)</f>
        <v>58765</v>
      </c>
      <c r="K134" s="1">
        <f>SUM(OSRRefE21_22x_6)</f>
        <v>53415</v>
      </c>
      <c r="L134" s="1">
        <f>SUM(OSRRefE21_22x_7)</f>
        <v>45615</v>
      </c>
      <c r="M134" s="1">
        <f>SUM(OSRRefE21_22x_8)</f>
        <v>49115</v>
      </c>
      <c r="N134" s="1">
        <f>SUM(OSRRefE21_22x_9)</f>
        <v>50205</v>
      </c>
      <c r="O134" s="1">
        <f>SUM(OSRRefE21_22x_10)</f>
        <v>40480</v>
      </c>
      <c r="Q134" s="2">
        <f>SUM(OSRRefD20_22x)+IFERROR(SUM(OSRRefE20_22x),0)</f>
        <v>571702.19999999995</v>
      </c>
    </row>
    <row r="135" spans="1:17" s="34" customFormat="1" hidden="1" outlineLevel="1" x14ac:dyDescent="0.3">
      <c r="A135" s="35"/>
      <c r="B135" s="10" t="str">
        <f>CONCATENATE("          ","6234", " - ","EXPENDABLE SUPPLIES &amp; EQUIPMEN")</f>
        <v xml:space="preserve">          6234 - EXPENDABLE SUPPLIES &amp; EQUIPMEN</v>
      </c>
      <c r="C135" s="14"/>
      <c r="D135" s="20"/>
      <c r="E135" s="20">
        <v>6342</v>
      </c>
      <c r="F135" s="20">
        <v>6492</v>
      </c>
      <c r="G135" s="20">
        <v>6492</v>
      </c>
      <c r="H135" s="20">
        <v>6492</v>
      </c>
      <c r="I135" s="20">
        <v>6492</v>
      </c>
      <c r="J135" s="20">
        <v>6642</v>
      </c>
      <c r="K135" s="20">
        <v>6492</v>
      </c>
      <c r="L135" s="20">
        <v>6492</v>
      </c>
      <c r="M135" s="20">
        <v>6492</v>
      </c>
      <c r="N135" s="20">
        <v>6492</v>
      </c>
      <c r="O135" s="20">
        <v>6488</v>
      </c>
      <c r="P135" s="36"/>
      <c r="Q135" s="2">
        <f>SUM(OSRRefD21_22_0x)+IFERROR(SUM(OSRRefE21_22_0x),0)</f>
        <v>71408</v>
      </c>
    </row>
    <row r="136" spans="1:17" s="34" customFormat="1" hidden="1" outlineLevel="1" x14ac:dyDescent="0.3">
      <c r="A136" s="35"/>
      <c r="B136" s="10" t="str">
        <f>CONCATENATE("          ","6235", " - ","COVID-19 EXPENSES")</f>
        <v xml:space="preserve">          6235 - COVID-19 EXPENSES</v>
      </c>
      <c r="C136" s="14"/>
      <c r="D136" s="20">
        <v>272.22000000000003</v>
      </c>
      <c r="E136" s="20">
        <v>375</v>
      </c>
      <c r="F136" s="20">
        <v>375</v>
      </c>
      <c r="G136" s="20">
        <v>375</v>
      </c>
      <c r="H136" s="20">
        <v>375</v>
      </c>
      <c r="I136" s="20">
        <v>375</v>
      </c>
      <c r="J136" s="20">
        <v>375</v>
      </c>
      <c r="K136" s="20">
        <v>375</v>
      </c>
      <c r="L136" s="20">
        <v>375</v>
      </c>
      <c r="M136" s="20">
        <v>375</v>
      </c>
      <c r="N136" s="20">
        <v>375</v>
      </c>
      <c r="O136" s="20">
        <v>350</v>
      </c>
      <c r="P136" s="36"/>
      <c r="Q136" s="2">
        <f>SUM(OSRRefD21_22_1x)+IFERROR(SUM(OSRRefE21_22_1x),0)</f>
        <v>4372.22</v>
      </c>
    </row>
    <row r="137" spans="1:17" s="34" customFormat="1" hidden="1" outlineLevel="1" x14ac:dyDescent="0.3">
      <c r="A137" s="35"/>
      <c r="B137" s="10" t="str">
        <f>CONCATENATE("          ","6237", " - ","JANITORIAL SUPPLIES")</f>
        <v xml:space="preserve">          6237 - JANITORIAL SUPPLIES</v>
      </c>
      <c r="C137" s="14"/>
      <c r="D137" s="20">
        <v>5360.09</v>
      </c>
      <c r="E137" s="20">
        <v>12604</v>
      </c>
      <c r="F137" s="20">
        <v>10346</v>
      </c>
      <c r="G137" s="20">
        <v>10035</v>
      </c>
      <c r="H137" s="20">
        <v>9985</v>
      </c>
      <c r="I137" s="20">
        <v>10025</v>
      </c>
      <c r="J137" s="20">
        <v>10035</v>
      </c>
      <c r="K137" s="20">
        <v>10035</v>
      </c>
      <c r="L137" s="20">
        <v>9985</v>
      </c>
      <c r="M137" s="20">
        <v>10035</v>
      </c>
      <c r="N137" s="20">
        <v>10025</v>
      </c>
      <c r="O137" s="20">
        <v>7935</v>
      </c>
      <c r="P137" s="36"/>
      <c r="Q137" s="2">
        <f>SUM(OSRRefD21_22_2x)+IFERROR(SUM(OSRRefE21_22_2x),0)</f>
        <v>116405.09</v>
      </c>
    </row>
    <row r="138" spans="1:17" s="34" customFormat="1" hidden="1" outlineLevel="1" x14ac:dyDescent="0.3">
      <c r="A138" s="35"/>
      <c r="B138" s="10" t="str">
        <f>CONCATENATE("          ","6239", " - ","KITCHEN SUPPLIES")</f>
        <v xml:space="preserve">          6239 - KITCHEN SUPPLIES</v>
      </c>
      <c r="C138" s="14"/>
      <c r="D138" s="20">
        <v>32.03</v>
      </c>
      <c r="E138" s="20">
        <v>6373</v>
      </c>
      <c r="F138" s="20">
        <v>4313</v>
      </c>
      <c r="G138" s="20">
        <v>3900</v>
      </c>
      <c r="H138" s="20">
        <v>3700</v>
      </c>
      <c r="I138" s="20">
        <v>3700</v>
      </c>
      <c r="J138" s="20">
        <v>3850</v>
      </c>
      <c r="K138" s="20">
        <v>3550</v>
      </c>
      <c r="L138" s="20">
        <v>3300</v>
      </c>
      <c r="M138" s="20">
        <v>3300</v>
      </c>
      <c r="N138" s="20">
        <v>3300</v>
      </c>
      <c r="O138" s="20">
        <v>3300</v>
      </c>
      <c r="P138" s="36"/>
      <c r="Q138" s="2">
        <f>SUM(OSRRefD21_22_3x)+IFERROR(SUM(OSRRefE21_22_3x),0)</f>
        <v>42618.03</v>
      </c>
    </row>
    <row r="139" spans="1:17" s="34" customFormat="1" hidden="1" outlineLevel="1" x14ac:dyDescent="0.3">
      <c r="A139" s="35"/>
      <c r="B139" s="10" t="str">
        <f>CONCATENATE("          ","6241", " - ","OFFICE EXPENSE")</f>
        <v xml:space="preserve">          6241 - OFFICE EXPENSE</v>
      </c>
      <c r="C139" s="14"/>
      <c r="D139" s="20">
        <v>1860.65</v>
      </c>
      <c r="E139" s="20">
        <v>4875</v>
      </c>
      <c r="F139" s="20">
        <v>2308</v>
      </c>
      <c r="G139" s="20">
        <v>2075</v>
      </c>
      <c r="H139" s="20">
        <v>2025</v>
      </c>
      <c r="I139" s="20">
        <v>2525</v>
      </c>
      <c r="J139" s="20">
        <v>2425</v>
      </c>
      <c r="K139" s="20">
        <v>2275</v>
      </c>
      <c r="L139" s="20">
        <v>2075</v>
      </c>
      <c r="M139" s="20">
        <v>2025</v>
      </c>
      <c r="N139" s="20">
        <v>2075</v>
      </c>
      <c r="O139" s="20">
        <v>1975</v>
      </c>
      <c r="P139" s="36"/>
      <c r="Q139" s="2">
        <f>SUM(OSRRefD21_22_4x)+IFERROR(SUM(OSRRefE21_22_4x),0)</f>
        <v>28518.65</v>
      </c>
    </row>
    <row r="140" spans="1:17" s="34" customFormat="1" hidden="1" outlineLevel="1" x14ac:dyDescent="0.3">
      <c r="A140" s="35"/>
      <c r="B140" s="10" t="str">
        <f>CONCATENATE("          ","6243", " - ","PAPER SUPPLIES")</f>
        <v xml:space="preserve">          6243 - PAPER SUPPLIES</v>
      </c>
      <c r="C140" s="14"/>
      <c r="D140" s="20">
        <v>2877.69</v>
      </c>
      <c r="E140" s="20">
        <v>15701</v>
      </c>
      <c r="F140" s="20">
        <v>22023</v>
      </c>
      <c r="G140" s="20">
        <v>17700</v>
      </c>
      <c r="H140" s="20">
        <v>15700</v>
      </c>
      <c r="I140" s="20">
        <v>15300</v>
      </c>
      <c r="J140" s="20">
        <v>21900</v>
      </c>
      <c r="K140" s="20">
        <v>17900</v>
      </c>
      <c r="L140" s="20">
        <v>14250</v>
      </c>
      <c r="M140" s="20">
        <v>18300</v>
      </c>
      <c r="N140" s="20">
        <v>16900</v>
      </c>
      <c r="O140" s="20">
        <v>13250</v>
      </c>
      <c r="P140" s="36"/>
      <c r="Q140" s="2">
        <f>SUM(OSRRefD21_22_5x)+IFERROR(SUM(OSRRefE21_22_5x),0)</f>
        <v>191801.69</v>
      </c>
    </row>
    <row r="141" spans="1:17" s="34" customFormat="1" hidden="1" outlineLevel="1" x14ac:dyDescent="0.3">
      <c r="A141" s="35"/>
      <c r="B141" s="10" t="str">
        <f>CONCATENATE("          ","6244", " - ","SAFETY SUPPLY EXPENSE")</f>
        <v xml:space="preserve">          6244 - SAFETY SUPPLY EXPENSE</v>
      </c>
      <c r="C141" s="14"/>
      <c r="D141" s="20"/>
      <c r="E141" s="20">
        <v>525</v>
      </c>
      <c r="F141" s="20">
        <v>525</v>
      </c>
      <c r="G141" s="20">
        <v>525</v>
      </c>
      <c r="H141" s="20">
        <v>525</v>
      </c>
      <c r="I141" s="20">
        <v>575</v>
      </c>
      <c r="J141" s="20">
        <v>525</v>
      </c>
      <c r="K141" s="20">
        <v>525</v>
      </c>
      <c r="L141" s="20">
        <v>525</v>
      </c>
      <c r="M141" s="20">
        <v>575</v>
      </c>
      <c r="N141" s="20">
        <v>525</v>
      </c>
      <c r="O141" s="20">
        <v>525</v>
      </c>
      <c r="P141" s="36"/>
      <c r="Q141" s="2">
        <f>SUM(OSRRefD21_22_6x)+IFERROR(SUM(OSRRefE21_22_6x),0)</f>
        <v>5875</v>
      </c>
    </row>
    <row r="142" spans="1:17" s="34" customFormat="1" hidden="1" outlineLevel="1" x14ac:dyDescent="0.3">
      <c r="A142" s="35"/>
      <c r="B142" s="10" t="str">
        <f>CONCATENATE("          ","6245", " - ","PRINTING")</f>
        <v xml:space="preserve">          6245 - PRINTING</v>
      </c>
      <c r="C142" s="14"/>
      <c r="D142" s="20">
        <v>251.64</v>
      </c>
      <c r="E142" s="20">
        <v>330</v>
      </c>
      <c r="F142" s="20">
        <v>1700</v>
      </c>
      <c r="G142" s="20">
        <v>350</v>
      </c>
      <c r="H142" s="20">
        <v>180</v>
      </c>
      <c r="I142" s="20">
        <v>260</v>
      </c>
      <c r="J142" s="20">
        <v>4150</v>
      </c>
      <c r="K142" s="20">
        <v>1700</v>
      </c>
      <c r="L142" s="20">
        <v>600</v>
      </c>
      <c r="M142" s="20">
        <v>150</v>
      </c>
      <c r="N142" s="20">
        <v>2400</v>
      </c>
      <c r="O142" s="20">
        <v>150</v>
      </c>
      <c r="P142" s="36"/>
      <c r="Q142" s="2">
        <f>SUM(OSRRefD21_22_7x)+IFERROR(SUM(OSRRefE21_22_7x),0)</f>
        <v>12221.64</v>
      </c>
    </row>
    <row r="143" spans="1:17" s="34" customFormat="1" hidden="1" outlineLevel="1" x14ac:dyDescent="0.3">
      <c r="A143" s="35"/>
      <c r="B143" s="10" t="str">
        <f>CONCATENATE("          ","6247", " - ","STORE SUPPLIES")</f>
        <v xml:space="preserve">          6247 - STORE SUPPLIES</v>
      </c>
      <c r="C143" s="14"/>
      <c r="D143" s="20">
        <v>5883.88</v>
      </c>
      <c r="E143" s="20">
        <v>8086</v>
      </c>
      <c r="F143" s="20">
        <v>8075</v>
      </c>
      <c r="G143" s="20">
        <v>8975</v>
      </c>
      <c r="H143" s="20">
        <v>6925</v>
      </c>
      <c r="I143" s="20">
        <v>6425</v>
      </c>
      <c r="J143" s="20">
        <v>7775</v>
      </c>
      <c r="K143" s="20">
        <v>9475</v>
      </c>
      <c r="L143" s="20">
        <v>7425</v>
      </c>
      <c r="M143" s="20">
        <v>7275</v>
      </c>
      <c r="N143" s="20">
        <v>7525</v>
      </c>
      <c r="O143" s="20">
        <v>5925</v>
      </c>
      <c r="P143" s="36"/>
      <c r="Q143" s="2">
        <f>SUM(OSRRefD21_22_8x)+IFERROR(SUM(OSRRefE21_22_8x),0)</f>
        <v>89769.88</v>
      </c>
    </row>
    <row r="144" spans="1:17" s="34" customFormat="1" hidden="1" outlineLevel="1" x14ac:dyDescent="0.3">
      <c r="A144" s="35"/>
      <c r="B144" s="10" t="str">
        <f>CONCATENATE("          ","6248", " - ","UNIFORMS")</f>
        <v xml:space="preserve">          6248 - UNIFORMS</v>
      </c>
      <c r="C144" s="14"/>
      <c r="D144" s="20"/>
      <c r="E144" s="20">
        <v>1588</v>
      </c>
      <c r="F144" s="20">
        <v>588</v>
      </c>
      <c r="G144" s="20">
        <v>588</v>
      </c>
      <c r="H144" s="20">
        <v>588</v>
      </c>
      <c r="I144" s="20">
        <v>838</v>
      </c>
      <c r="J144" s="20">
        <v>1088</v>
      </c>
      <c r="K144" s="20">
        <v>1088</v>
      </c>
      <c r="L144" s="20">
        <v>588</v>
      </c>
      <c r="M144" s="20">
        <v>588</v>
      </c>
      <c r="N144" s="20">
        <v>588</v>
      </c>
      <c r="O144" s="20">
        <v>582</v>
      </c>
      <c r="P144" s="36"/>
      <c r="Q144" s="2">
        <f>SUM(OSRRefD21_22_9x)+IFERROR(SUM(OSRRefE21_22_9x),0)</f>
        <v>8712</v>
      </c>
    </row>
    <row r="145" spans="1:17" s="34" customFormat="1" collapsed="1" x14ac:dyDescent="0.3">
      <c r="A145" s="35"/>
      <c r="B145" s="14" t="str">
        <f>CONCATENATE("     ","Telephone/Data Lines                              ")</f>
        <v xml:space="preserve">     Telephone/Data Lines                              </v>
      </c>
      <c r="C145" s="14"/>
      <c r="D145" s="1">
        <f>SUM(OSRRefD21_23x_0)</f>
        <v>2742.84</v>
      </c>
      <c r="E145" s="1">
        <f>SUM(OSRRefE21_23x_0)</f>
        <v>3799</v>
      </c>
      <c r="F145" s="1">
        <f>SUM(OSRRefE21_23x_1)</f>
        <v>3649</v>
      </c>
      <c r="G145" s="1">
        <f>SUM(OSRRefE21_23x_2)</f>
        <v>3699</v>
      </c>
      <c r="H145" s="1">
        <f>SUM(OSRRefE21_23x_3)</f>
        <v>3549</v>
      </c>
      <c r="I145" s="1">
        <f>SUM(OSRRefE21_23x_4)</f>
        <v>3699</v>
      </c>
      <c r="J145" s="1">
        <f>SUM(OSRRefE21_23x_5)</f>
        <v>3799</v>
      </c>
      <c r="K145" s="1">
        <f>SUM(OSRRefE21_23x_6)</f>
        <v>3549</v>
      </c>
      <c r="L145" s="1">
        <f>SUM(OSRRefE21_23x_7)</f>
        <v>3549</v>
      </c>
      <c r="M145" s="1">
        <f>SUM(OSRRefE21_23x_8)</f>
        <v>3549</v>
      </c>
      <c r="N145" s="1">
        <f>SUM(OSRRefE21_23x_9)</f>
        <v>3699</v>
      </c>
      <c r="O145" s="1">
        <f>SUM(OSRRefE21_23x_10)</f>
        <v>3553</v>
      </c>
      <c r="Q145" s="2">
        <f>SUM(OSRRefD20_23x)+IFERROR(SUM(OSRRefE20_23x),0)</f>
        <v>42835.839999999997</v>
      </c>
    </row>
    <row r="146" spans="1:17" s="34" customFormat="1" hidden="1" outlineLevel="1" x14ac:dyDescent="0.3">
      <c r="A146" s="35"/>
      <c r="B146" s="10" t="str">
        <f>CONCATENATE("          ","6303", " - ","DATA PHONE LINES")</f>
        <v xml:space="preserve">          6303 - DATA PHONE LINES</v>
      </c>
      <c r="C146" s="14"/>
      <c r="D146" s="20">
        <v>295</v>
      </c>
      <c r="E146" s="20">
        <v>243</v>
      </c>
      <c r="F146" s="20">
        <v>243</v>
      </c>
      <c r="G146" s="20">
        <v>243</v>
      </c>
      <c r="H146" s="20">
        <v>243</v>
      </c>
      <c r="I146" s="20">
        <v>243</v>
      </c>
      <c r="J146" s="20">
        <v>243</v>
      </c>
      <c r="K146" s="20">
        <v>243</v>
      </c>
      <c r="L146" s="20">
        <v>243</v>
      </c>
      <c r="M146" s="20">
        <v>243</v>
      </c>
      <c r="N146" s="20">
        <v>243</v>
      </c>
      <c r="O146" s="20">
        <v>247</v>
      </c>
      <c r="P146" s="36"/>
      <c r="Q146" s="2">
        <f>SUM(OSRRefD21_23_0x)+IFERROR(SUM(OSRRefE21_23_0x),0)</f>
        <v>2972</v>
      </c>
    </row>
    <row r="147" spans="1:17" s="34" customFormat="1" hidden="1" outlineLevel="1" x14ac:dyDescent="0.3">
      <c r="A147" s="35"/>
      <c r="B147" s="10" t="str">
        <f>CONCATENATE("          ","6309", " - ","TELEPHONE")</f>
        <v xml:space="preserve">          6309 - TELEPHONE</v>
      </c>
      <c r="C147" s="14"/>
      <c r="D147" s="20">
        <v>2447.84</v>
      </c>
      <c r="E147" s="20">
        <v>3556</v>
      </c>
      <c r="F147" s="20">
        <v>3406</v>
      </c>
      <c r="G147" s="20">
        <v>3456</v>
      </c>
      <c r="H147" s="20">
        <v>3306</v>
      </c>
      <c r="I147" s="20">
        <v>3456</v>
      </c>
      <c r="J147" s="20">
        <v>3556</v>
      </c>
      <c r="K147" s="20">
        <v>3306</v>
      </c>
      <c r="L147" s="20">
        <v>3306</v>
      </c>
      <c r="M147" s="20">
        <v>3306</v>
      </c>
      <c r="N147" s="20">
        <v>3456</v>
      </c>
      <c r="O147" s="20">
        <v>3306</v>
      </c>
      <c r="P147" s="36"/>
      <c r="Q147" s="2">
        <f>SUM(OSRRefD21_23_1x)+IFERROR(SUM(OSRRefE21_23_1x),0)</f>
        <v>39863.839999999997</v>
      </c>
    </row>
    <row r="148" spans="1:17" s="34" customFormat="1" collapsed="1" x14ac:dyDescent="0.3">
      <c r="A148" s="35"/>
      <c r="B148" s="14" t="str">
        <f>CONCATENATE("     ","Training                                          ")</f>
        <v xml:space="preserve">     Training                                          </v>
      </c>
      <c r="C148" s="14"/>
      <c r="D148" s="1">
        <f>SUM(OSRRefD21_24x_0)</f>
        <v>0</v>
      </c>
      <c r="E148" s="1">
        <f>SUM(OSRRefE21_24x_0)</f>
        <v>995</v>
      </c>
      <c r="F148" s="1">
        <f>SUM(OSRRefE21_24x_1)</f>
        <v>840</v>
      </c>
      <c r="G148" s="1">
        <f>SUM(OSRRefE21_24x_2)</f>
        <v>640</v>
      </c>
      <c r="H148" s="1">
        <f>SUM(OSRRefE21_24x_3)</f>
        <v>640</v>
      </c>
      <c r="I148" s="1">
        <f>SUM(OSRRefE21_24x_4)</f>
        <v>640</v>
      </c>
      <c r="J148" s="1">
        <f>SUM(OSRRefE21_24x_5)</f>
        <v>2795</v>
      </c>
      <c r="K148" s="1">
        <f>SUM(OSRRefE21_24x_6)</f>
        <v>2640</v>
      </c>
      <c r="L148" s="1">
        <f>SUM(OSRRefE21_24x_7)</f>
        <v>6915</v>
      </c>
      <c r="M148" s="1">
        <f>SUM(OSRRefE21_24x_8)</f>
        <v>2115</v>
      </c>
      <c r="N148" s="1">
        <f>SUM(OSRRefE21_24x_9)</f>
        <v>615</v>
      </c>
      <c r="O148" s="1">
        <f>SUM(OSRRefE21_24x_10)</f>
        <v>1615</v>
      </c>
      <c r="Q148" s="2">
        <f>SUM(OSRRefD20_24x)+IFERROR(SUM(OSRRefE20_24x),0)</f>
        <v>20450</v>
      </c>
    </row>
    <row r="149" spans="1:17" s="34" customFormat="1" hidden="1" outlineLevel="1" x14ac:dyDescent="0.3">
      <c r="A149" s="35"/>
      <c r="B149" s="10" t="str">
        <f>CONCATENATE("          ","6376", " - ","TRAINING")</f>
        <v xml:space="preserve">          6376 - TRAINING</v>
      </c>
      <c r="C149" s="14"/>
      <c r="D149" s="20"/>
      <c r="E149" s="20">
        <v>995</v>
      </c>
      <c r="F149" s="20">
        <v>840</v>
      </c>
      <c r="G149" s="20">
        <v>640</v>
      </c>
      <c r="H149" s="20">
        <v>640</v>
      </c>
      <c r="I149" s="20">
        <v>640</v>
      </c>
      <c r="J149" s="20">
        <v>2795</v>
      </c>
      <c r="K149" s="20">
        <v>2640</v>
      </c>
      <c r="L149" s="20">
        <v>6915</v>
      </c>
      <c r="M149" s="20">
        <v>2115</v>
      </c>
      <c r="N149" s="20">
        <v>615</v>
      </c>
      <c r="O149" s="20">
        <v>1615</v>
      </c>
      <c r="P149" s="36"/>
      <c r="Q149" s="2">
        <f>SUM(OSRRefD21_24_0x)+IFERROR(SUM(OSRRefE21_24_0x),0)</f>
        <v>20450</v>
      </c>
    </row>
    <row r="150" spans="1:17" s="34" customFormat="1" collapsed="1" x14ac:dyDescent="0.3">
      <c r="A150" s="35"/>
      <c r="B150" s="14" t="str">
        <f>CONCATENATE("     ","Travel                                            ")</f>
        <v xml:space="preserve">     Travel                                            </v>
      </c>
      <c r="C150" s="14"/>
      <c r="D150" s="1">
        <f>SUM(OSRRefD21_25x_0)</f>
        <v>683.14</v>
      </c>
      <c r="E150" s="1">
        <f>SUM(OSRRefE21_25x_0)</f>
        <v>175</v>
      </c>
      <c r="F150" s="1">
        <f>SUM(OSRRefE21_25x_1)</f>
        <v>175</v>
      </c>
      <c r="G150" s="1">
        <f>SUM(OSRRefE21_25x_2)</f>
        <v>175</v>
      </c>
      <c r="H150" s="1">
        <f>SUM(OSRRefE21_25x_3)</f>
        <v>250</v>
      </c>
      <c r="I150" s="1">
        <f>SUM(OSRRefE21_25x_4)</f>
        <v>350</v>
      </c>
      <c r="J150" s="1">
        <f>SUM(OSRRefE21_25x_5)</f>
        <v>175</v>
      </c>
      <c r="K150" s="1">
        <f>SUM(OSRRefE21_25x_6)</f>
        <v>775</v>
      </c>
      <c r="L150" s="1">
        <f>SUM(OSRRefE21_25x_7)</f>
        <v>775</v>
      </c>
      <c r="M150" s="1">
        <f>SUM(OSRRefE21_25x_8)</f>
        <v>175</v>
      </c>
      <c r="N150" s="1">
        <f>SUM(OSRRefE21_25x_9)</f>
        <v>175</v>
      </c>
      <c r="O150" s="1">
        <f>SUM(OSRRefE21_25x_10)</f>
        <v>175</v>
      </c>
      <c r="Q150" s="2">
        <f>SUM(OSRRefD20_25x)+IFERROR(SUM(OSRRefE20_25x),0)</f>
        <v>4058.14</v>
      </c>
    </row>
    <row r="151" spans="1:17" s="34" customFormat="1" hidden="1" outlineLevel="1" x14ac:dyDescent="0.3">
      <c r="A151" s="35"/>
      <c r="B151" s="10" t="str">
        <f>CONCATENATE("          ","6292", " - ","TRAVEL/CONFERENCE")</f>
        <v xml:space="preserve">          6292 - TRAVEL/CONFERENCE</v>
      </c>
      <c r="C151" s="14"/>
      <c r="D151" s="20">
        <v>495</v>
      </c>
      <c r="E151" s="20">
        <v>125</v>
      </c>
      <c r="F151" s="20">
        <v>125</v>
      </c>
      <c r="G151" s="20">
        <v>125</v>
      </c>
      <c r="H151" s="20">
        <v>125</v>
      </c>
      <c r="I151" s="20">
        <v>125</v>
      </c>
      <c r="J151" s="20">
        <v>125</v>
      </c>
      <c r="K151" s="20">
        <v>725</v>
      </c>
      <c r="L151" s="20">
        <v>725</v>
      </c>
      <c r="M151" s="20">
        <v>125</v>
      </c>
      <c r="N151" s="20">
        <v>125</v>
      </c>
      <c r="O151" s="20">
        <v>125</v>
      </c>
      <c r="P151" s="36"/>
      <c r="Q151" s="2">
        <f>SUM(OSRRefD21_25_0x)+IFERROR(SUM(OSRRefE21_25_0x),0)</f>
        <v>3070</v>
      </c>
    </row>
    <row r="152" spans="1:17" s="34" customFormat="1" hidden="1" outlineLevel="1" x14ac:dyDescent="0.3">
      <c r="A152" s="35"/>
      <c r="B152" s="10" t="str">
        <f>CONCATENATE("          ","6294", " - ","TRAVEL OPERATIONAL")</f>
        <v xml:space="preserve">          6294 - TRAVEL OPERATIONAL</v>
      </c>
      <c r="C152" s="14"/>
      <c r="D152" s="20">
        <v>188.14</v>
      </c>
      <c r="E152" s="20">
        <v>25</v>
      </c>
      <c r="F152" s="20">
        <v>25</v>
      </c>
      <c r="G152" s="20">
        <v>25</v>
      </c>
      <c r="H152" s="20">
        <v>25</v>
      </c>
      <c r="I152" s="20">
        <v>25</v>
      </c>
      <c r="J152" s="20">
        <v>25</v>
      </c>
      <c r="K152" s="20">
        <v>25</v>
      </c>
      <c r="L152" s="20">
        <v>25</v>
      </c>
      <c r="M152" s="20">
        <v>25</v>
      </c>
      <c r="N152" s="20">
        <v>25</v>
      </c>
      <c r="O152" s="20">
        <v>25</v>
      </c>
      <c r="P152" s="36"/>
      <c r="Q152" s="2">
        <f>SUM(OSRRefD21_25_1x)+IFERROR(SUM(OSRRefE21_25_1x),0)</f>
        <v>463.14</v>
      </c>
    </row>
    <row r="153" spans="1:17" s="34" customFormat="1" hidden="1" outlineLevel="1" x14ac:dyDescent="0.3">
      <c r="A153" s="35"/>
      <c r="B153" s="10" t="str">
        <f>CONCATENATE("          ","6298", " - ","VEHICLE MILEAGE")</f>
        <v xml:space="preserve">          6298 - VEHICLE MILEAGE</v>
      </c>
      <c r="C153" s="14"/>
      <c r="D153" s="20"/>
      <c r="E153" s="20">
        <v>25</v>
      </c>
      <c r="F153" s="20">
        <v>25</v>
      </c>
      <c r="G153" s="20">
        <v>25</v>
      </c>
      <c r="H153" s="20">
        <v>100</v>
      </c>
      <c r="I153" s="20">
        <v>200</v>
      </c>
      <c r="J153" s="20">
        <v>25</v>
      </c>
      <c r="K153" s="20">
        <v>25</v>
      </c>
      <c r="L153" s="20">
        <v>25</v>
      </c>
      <c r="M153" s="20">
        <v>25</v>
      </c>
      <c r="N153" s="20">
        <v>25</v>
      </c>
      <c r="O153" s="20">
        <v>25</v>
      </c>
      <c r="P153" s="36"/>
      <c r="Q153" s="2">
        <f>SUM(OSRRefD21_25_2x)+IFERROR(SUM(OSRRefE21_25_2x),0)</f>
        <v>525</v>
      </c>
    </row>
    <row r="154" spans="1:17" s="34" customFormat="1" collapsed="1" x14ac:dyDescent="0.3">
      <c r="A154" s="35"/>
      <c r="B154" s="14" t="str">
        <f>CONCATENATE("     ","Utilities                                         ")</f>
        <v xml:space="preserve">     Utilities                                         </v>
      </c>
      <c r="C154" s="14"/>
      <c r="D154" s="1">
        <f>SUM(OSRRefD21_26x_0)</f>
        <v>14286.49</v>
      </c>
      <c r="E154" s="1">
        <f>SUM(OSRRefE21_26x_0)</f>
        <v>14787</v>
      </c>
      <c r="F154" s="1">
        <f>SUM(OSRRefE21_26x_1)</f>
        <v>14787</v>
      </c>
      <c r="G154" s="1">
        <f>SUM(OSRRefE21_26x_2)</f>
        <v>14787</v>
      </c>
      <c r="H154" s="1">
        <f>SUM(OSRRefE21_26x_3)</f>
        <v>14787</v>
      </c>
      <c r="I154" s="1">
        <f>SUM(OSRRefE21_26x_4)</f>
        <v>14787</v>
      </c>
      <c r="J154" s="1">
        <f>SUM(OSRRefE21_26x_5)</f>
        <v>14787</v>
      </c>
      <c r="K154" s="1">
        <f>SUM(OSRRefE21_26x_6)</f>
        <v>17467</v>
      </c>
      <c r="L154" s="1">
        <f>SUM(OSRRefE21_26x_7)</f>
        <v>14787</v>
      </c>
      <c r="M154" s="1">
        <f>SUM(OSRRefE21_26x_8)</f>
        <v>14787</v>
      </c>
      <c r="N154" s="1">
        <f>SUM(OSRRefE21_26x_9)</f>
        <v>14787</v>
      </c>
      <c r="O154" s="1">
        <f>SUM(OSRRefE21_26x_10)</f>
        <v>14783</v>
      </c>
      <c r="Q154" s="2">
        <f>SUM(OSRRefD20_26x)+IFERROR(SUM(OSRRefE20_26x),0)</f>
        <v>179619.49</v>
      </c>
    </row>
    <row r="155" spans="1:17" s="34" customFormat="1" hidden="1" outlineLevel="1" x14ac:dyDescent="0.3">
      <c r="A155" s="35"/>
      <c r="B155" s="10" t="str">
        <f>CONCATENATE("          ","6274", " - ","UTILITIES")</f>
        <v xml:space="preserve">          6274 - UTILITIES</v>
      </c>
      <c r="C155" s="14"/>
      <c r="D155" s="20">
        <v>14286.49</v>
      </c>
      <c r="E155" s="20">
        <v>14787</v>
      </c>
      <c r="F155" s="20">
        <v>14787</v>
      </c>
      <c r="G155" s="20">
        <v>14787</v>
      </c>
      <c r="H155" s="20">
        <v>14787</v>
      </c>
      <c r="I155" s="20">
        <v>14787</v>
      </c>
      <c r="J155" s="20">
        <v>14787</v>
      </c>
      <c r="K155" s="20">
        <v>17467</v>
      </c>
      <c r="L155" s="20">
        <v>14787</v>
      </c>
      <c r="M155" s="20">
        <v>14787</v>
      </c>
      <c r="N155" s="20">
        <v>14787</v>
      </c>
      <c r="O155" s="20">
        <v>14783</v>
      </c>
      <c r="P155" s="36"/>
      <c r="Q155" s="2">
        <f>SUM(OSRRefD21_26_0x)+IFERROR(SUM(OSRRefE21_26_0x),0)</f>
        <v>179619.49</v>
      </c>
    </row>
    <row r="156" spans="1:17" s="28" customFormat="1" x14ac:dyDescent="0.3">
      <c r="A156" s="21"/>
      <c r="B156" s="21"/>
      <c r="C156" s="2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Q156" s="1"/>
    </row>
    <row r="157" spans="1:17" s="9" customFormat="1" x14ac:dyDescent="0.3">
      <c r="A157" s="22"/>
      <c r="B157" s="16" t="s">
        <v>293</v>
      </c>
      <c r="C157" s="23"/>
      <c r="D157" s="3">
        <f>--42597.81</f>
        <v>42597.81</v>
      </c>
      <c r="E157" s="3">
        <v>59155</v>
      </c>
      <c r="F157" s="3">
        <v>186071.5</v>
      </c>
      <c r="G157" s="3">
        <v>32962</v>
      </c>
      <c r="H157" s="3">
        <v>55076</v>
      </c>
      <c r="I157" s="3">
        <v>68970</v>
      </c>
      <c r="J157" s="3">
        <v>77882.92</v>
      </c>
      <c r="K157" s="3">
        <v>253055.12</v>
      </c>
      <c r="L157" s="3">
        <v>86917.09</v>
      </c>
      <c r="M157" s="3">
        <v>65935.13</v>
      </c>
      <c r="N157" s="3">
        <v>335103.49</v>
      </c>
      <c r="O157" s="3">
        <v>236500</v>
      </c>
      <c r="P157" s="24"/>
      <c r="Q157" s="2">
        <f>SUM(OSRRefD23_0x)+IFERROR(SUM(OSRRefE23_0x),0)</f>
        <v>1500226.06</v>
      </c>
    </row>
    <row r="158" spans="1:17" x14ac:dyDescent="0.3">
      <c r="A158" s="5"/>
      <c r="B158" s="6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Q158" s="3"/>
    </row>
    <row r="159" spans="1:17" s="15" customFormat="1" x14ac:dyDescent="0.3">
      <c r="A159" s="6"/>
      <c r="B159" s="17" t="s">
        <v>276</v>
      </c>
      <c r="C159" s="17"/>
      <c r="D159" s="8">
        <f t="shared" ref="D159:O159" si="2">IFERROR(+D52-D55+D157, 0)</f>
        <v>-563723.07999999984</v>
      </c>
      <c r="E159" s="8">
        <f t="shared" si="2"/>
        <v>187734.64855065523</v>
      </c>
      <c r="F159" s="8">
        <f t="shared" si="2"/>
        <v>349838.3698336042</v>
      </c>
      <c r="G159" s="8">
        <f t="shared" si="2"/>
        <v>116793.0760865882</v>
      </c>
      <c r="H159" s="8">
        <f t="shared" si="2"/>
        <v>-139997.33729799464</v>
      </c>
      <c r="I159" s="8">
        <f t="shared" si="2"/>
        <v>-23650.294636932784</v>
      </c>
      <c r="J159" s="8">
        <f t="shared" si="2"/>
        <v>10438.19125880122</v>
      </c>
      <c r="K159" s="8">
        <f t="shared" si="2"/>
        <v>502492.8846576208</v>
      </c>
      <c r="L159" s="8">
        <f t="shared" si="2"/>
        <v>290388.52882934839</v>
      </c>
      <c r="M159" s="8">
        <f t="shared" si="2"/>
        <v>138734.2607948092</v>
      </c>
      <c r="N159" s="8">
        <f t="shared" si="2"/>
        <v>235335.470730111</v>
      </c>
      <c r="O159" s="8">
        <f t="shared" si="2"/>
        <v>-308099.76545218984</v>
      </c>
      <c r="Q159" s="8">
        <f>IFERROR(+Q52-Q55+Q157, 0)</f>
        <v>796284.95335441781</v>
      </c>
    </row>
    <row r="160" spans="1:17" s="6" customFormat="1" x14ac:dyDescent="0.3">
      <c r="B160" s="16"/>
      <c r="C160" s="16"/>
      <c r="D160" s="4">
        <f t="shared" ref="D160:O160" si="3">IFERROR(D159/D10, 0)</f>
        <v>-1.118167205984546</v>
      </c>
      <c r="E160" s="4">
        <f t="shared" si="3"/>
        <v>5.1636409396107225E-2</v>
      </c>
      <c r="F160" s="4">
        <f t="shared" si="3"/>
        <v>0.14665963346390851</v>
      </c>
      <c r="G160" s="4">
        <f t="shared" si="3"/>
        <v>5.4203516608973719E-2</v>
      </c>
      <c r="H160" s="4">
        <f t="shared" si="3"/>
        <v>-0.10493514682055047</v>
      </c>
      <c r="I160" s="4">
        <f t="shared" si="3"/>
        <v>-1.5681628214732048E-2</v>
      </c>
      <c r="J160" s="4">
        <f t="shared" si="3"/>
        <v>3.6637560704816884E-3</v>
      </c>
      <c r="K160" s="4">
        <f t="shared" si="3"/>
        <v>0.21746857141146711</v>
      </c>
      <c r="L160" s="4">
        <f t="shared" si="3"/>
        <v>0.14074673787130973</v>
      </c>
      <c r="M160" s="4">
        <f t="shared" si="3"/>
        <v>6.4205490502206003E-2</v>
      </c>
      <c r="N160" s="4">
        <f t="shared" si="3"/>
        <v>0.13874112481288453</v>
      </c>
      <c r="O160" s="4">
        <f t="shared" si="3"/>
        <v>-0.58332784043990982</v>
      </c>
      <c r="P160" s="18"/>
      <c r="Q160" s="4">
        <f>IFERROR(Q159/Q10, 0)</f>
        <v>3.4426062511688206E-2</v>
      </c>
    </row>
    <row r="161" spans="1:17" x14ac:dyDescent="0.3">
      <c r="A161" s="5"/>
      <c r="B161" s="6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Q161" s="3"/>
    </row>
    <row r="162" spans="1:17" s="15" customFormat="1" x14ac:dyDescent="0.3">
      <c r="A162" s="25"/>
      <c r="B162" s="6" t="s">
        <v>125</v>
      </c>
      <c r="C162" s="6"/>
      <c r="D162" s="3">
        <v>232914.86</v>
      </c>
      <c r="E162" s="3">
        <v>242458</v>
      </c>
      <c r="F162" s="3">
        <v>244374</v>
      </c>
      <c r="G162" s="3">
        <v>290561</v>
      </c>
      <c r="H162" s="3">
        <v>255320</v>
      </c>
      <c r="I162" s="3">
        <v>240600</v>
      </c>
      <c r="J162" s="3">
        <v>308229</v>
      </c>
      <c r="K162" s="3">
        <v>238186</v>
      </c>
      <c r="L162" s="3">
        <v>243413</v>
      </c>
      <c r="M162" s="3">
        <v>289109</v>
      </c>
      <c r="N162" s="3">
        <v>230226</v>
      </c>
      <c r="O162" s="3">
        <v>-180603</v>
      </c>
      <c r="P162" s="24"/>
      <c r="Q162" s="2">
        <f>SUM(OSRRefD28_0x)+IFERROR(SUM(OSRRefE28_0x),0)</f>
        <v>2634787.86</v>
      </c>
    </row>
    <row r="163" spans="1:17" x14ac:dyDescent="0.3">
      <c r="A163" s="5"/>
      <c r="B163" s="6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Q163" s="3"/>
    </row>
    <row r="164" spans="1:17" s="15" customFormat="1" ht="15" thickBot="1" x14ac:dyDescent="0.35">
      <c r="A164" s="6"/>
      <c r="B164" s="17" t="s">
        <v>124</v>
      </c>
      <c r="C164" s="17"/>
      <c r="D164" s="7">
        <f t="shared" ref="D164:O164" si="4">IFERROR(+D159-D162, 0)</f>
        <v>-796637.93999999983</v>
      </c>
      <c r="E164" s="7">
        <f t="shared" si="4"/>
        <v>-54723.351449344773</v>
      </c>
      <c r="F164" s="7">
        <f t="shared" si="4"/>
        <v>105464.3698336042</v>
      </c>
      <c r="G164" s="7">
        <f t="shared" si="4"/>
        <v>-173767.9239134118</v>
      </c>
      <c r="H164" s="7">
        <f t="shared" si="4"/>
        <v>-395317.33729799464</v>
      </c>
      <c r="I164" s="7">
        <f t="shared" si="4"/>
        <v>-264250.29463693278</v>
      </c>
      <c r="J164" s="7">
        <f t="shared" si="4"/>
        <v>-297790.80874119879</v>
      </c>
      <c r="K164" s="7">
        <f t="shared" si="4"/>
        <v>264306.8846576208</v>
      </c>
      <c r="L164" s="7">
        <f t="shared" si="4"/>
        <v>46975.52882934839</v>
      </c>
      <c r="M164" s="7">
        <f t="shared" si="4"/>
        <v>-150374.7392051908</v>
      </c>
      <c r="N164" s="7">
        <f t="shared" si="4"/>
        <v>5109.4707301110029</v>
      </c>
      <c r="O164" s="7">
        <f t="shared" si="4"/>
        <v>-127496.76545218984</v>
      </c>
      <c r="Q164" s="7">
        <f>IFERROR(+Q159-Q162, 0)</f>
        <v>-1838502.9066455821</v>
      </c>
    </row>
    <row r="165" spans="1:17" s="6" customFormat="1" ht="15" thickTop="1" x14ac:dyDescent="0.3">
      <c r="B165" s="16"/>
      <c r="C165" s="16"/>
      <c r="D165" s="4">
        <f t="shared" ref="D165:O165" si="5">IFERROR(D164/D10, 0)</f>
        <v>-1.5801631175915032</v>
      </c>
      <c r="E165" s="4">
        <f t="shared" si="5"/>
        <v>-1.5051656158202354E-2</v>
      </c>
      <c r="F165" s="4">
        <f t="shared" si="5"/>
        <v>4.4212891315081645E-2</v>
      </c>
      <c r="G165" s="4">
        <f t="shared" si="5"/>
        <v>-8.0645470309939876E-2</v>
      </c>
      <c r="H165" s="4">
        <f t="shared" si="5"/>
        <v>-0.29631051297622324</v>
      </c>
      <c r="I165" s="4">
        <f t="shared" si="5"/>
        <v>-0.17521451380392625</v>
      </c>
      <c r="J165" s="4">
        <f t="shared" si="5"/>
        <v>-0.10452317419833508</v>
      </c>
      <c r="K165" s="4">
        <f t="shared" si="5"/>
        <v>0.11438657615992272</v>
      </c>
      <c r="L165" s="4">
        <f t="shared" si="5"/>
        <v>2.2768297594826476E-2</v>
      </c>
      <c r="M165" s="4">
        <f t="shared" si="5"/>
        <v>-6.9592643046481162E-2</v>
      </c>
      <c r="N165" s="4">
        <f t="shared" si="5"/>
        <v>3.0122688861769129E-3</v>
      </c>
      <c r="O165" s="4">
        <f t="shared" si="5"/>
        <v>-0.24139068312871056</v>
      </c>
      <c r="P165" s="18"/>
      <c r="Q165" s="4">
        <f>IFERROR(Q164/Q10, 0)</f>
        <v>-7.9484631381613588E-2</v>
      </c>
    </row>
    <row r="166" spans="1:17" x14ac:dyDescent="0.3">
      <c r="A166" s="5"/>
      <c r="B166" s="5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Q166" s="3"/>
    </row>
    <row r="167" spans="1:17" s="15" customFormat="1" x14ac:dyDescent="0.3">
      <c r="A167" s="25"/>
      <c r="B167" s="6" t="s">
        <v>182</v>
      </c>
      <c r="C167" s="6"/>
      <c r="D167" s="3">
        <f>--18122.3</f>
        <v>18122.3</v>
      </c>
      <c r="E167" s="3">
        <f t="shared" ref="E167:E168" si="6">--15000</f>
        <v>15000</v>
      </c>
      <c r="F167" s="3">
        <f t="shared" ref="F167:O167" si="7">--15000</f>
        <v>15000</v>
      </c>
      <c r="G167" s="3">
        <f t="shared" si="7"/>
        <v>15000</v>
      </c>
      <c r="H167" s="3">
        <f t="shared" si="7"/>
        <v>15000</v>
      </c>
      <c r="I167" s="3">
        <f t="shared" si="7"/>
        <v>15000</v>
      </c>
      <c r="J167" s="3">
        <f t="shared" si="7"/>
        <v>15000</v>
      </c>
      <c r="K167" s="3">
        <f t="shared" si="7"/>
        <v>15000</v>
      </c>
      <c r="L167" s="3">
        <f t="shared" si="7"/>
        <v>15000</v>
      </c>
      <c r="M167" s="3">
        <f t="shared" si="7"/>
        <v>15000</v>
      </c>
      <c r="N167" s="3">
        <f t="shared" si="7"/>
        <v>15000</v>
      </c>
      <c r="O167" s="3">
        <f t="shared" si="7"/>
        <v>15000</v>
      </c>
      <c r="P167" s="24"/>
      <c r="Q167" s="2">
        <f>SUM(OSRRefD33_0x)+IFERROR(SUM(OSRRefE33_0x),0)</f>
        <v>183122.3</v>
      </c>
    </row>
    <row r="168" spans="1:17" s="15" customFormat="1" x14ac:dyDescent="0.3">
      <c r="A168" s="25"/>
      <c r="B168" s="6" t="s">
        <v>79</v>
      </c>
      <c r="C168" s="6"/>
      <c r="D168" s="3">
        <f>--10182.42</f>
        <v>10182.42</v>
      </c>
      <c r="E168" s="3">
        <f t="shared" si="6"/>
        <v>15000</v>
      </c>
      <c r="F168" s="3">
        <f>--20000</f>
        <v>20000</v>
      </c>
      <c r="G168" s="3">
        <f t="shared" ref="G168:H168" si="8">--15000</f>
        <v>15000</v>
      </c>
      <c r="H168" s="3">
        <f t="shared" si="8"/>
        <v>15000</v>
      </c>
      <c r="I168" s="3">
        <f>--20000</f>
        <v>20000</v>
      </c>
      <c r="J168" s="3">
        <f t="shared" ref="J168:K168" si="9">--15000</f>
        <v>15000</v>
      </c>
      <c r="K168" s="3">
        <f t="shared" si="9"/>
        <v>15000</v>
      </c>
      <c r="L168" s="3">
        <f>--20000</f>
        <v>20000</v>
      </c>
      <c r="M168" s="3">
        <f t="shared" ref="M168:N168" si="10">--15000</f>
        <v>15000</v>
      </c>
      <c r="N168" s="3">
        <f t="shared" si="10"/>
        <v>15000</v>
      </c>
      <c r="O168" s="3">
        <f>--20000</f>
        <v>20000</v>
      </c>
      <c r="P168" s="24"/>
      <c r="Q168" s="2">
        <f>SUM(OSRRefD34_0x)+IFERROR(SUM(OSRRefE34_0x),0)</f>
        <v>195182.42</v>
      </c>
    </row>
    <row r="169" spans="1:17" x14ac:dyDescent="0.3">
      <c r="A169" s="5"/>
      <c r="B169" s="5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Q169" s="3"/>
    </row>
    <row r="170" spans="1:17" s="15" customFormat="1" ht="15" thickBot="1" x14ac:dyDescent="0.35">
      <c r="A170" s="6"/>
      <c r="B170" s="17" t="s">
        <v>294</v>
      </c>
      <c r="C170" s="17"/>
      <c r="D170" s="7">
        <f t="shared" ref="D170:O170" si="11">IFERROR(SUM(D164:D169), 0)</f>
        <v>-768334.80016311735</v>
      </c>
      <c r="E170" s="7">
        <f t="shared" si="11"/>
        <v>-24723.366501000928</v>
      </c>
      <c r="F170" s="7">
        <f t="shared" si="11"/>
        <v>140464.41404649551</v>
      </c>
      <c r="G170" s="7">
        <f t="shared" si="11"/>
        <v>-143768.00455888209</v>
      </c>
      <c r="H170" s="7">
        <f t="shared" si="11"/>
        <v>-365317.63360850763</v>
      </c>
      <c r="I170" s="7">
        <f t="shared" si="11"/>
        <v>-229250.46985144657</v>
      </c>
      <c r="J170" s="7">
        <f t="shared" si="11"/>
        <v>-267790.91326437297</v>
      </c>
      <c r="K170" s="7">
        <f t="shared" si="11"/>
        <v>294306.99904419697</v>
      </c>
      <c r="L170" s="7">
        <f t="shared" si="11"/>
        <v>81975.551597645986</v>
      </c>
      <c r="M170" s="7">
        <f t="shared" si="11"/>
        <v>-120374.80879783383</v>
      </c>
      <c r="N170" s="7">
        <f t="shared" si="11"/>
        <v>35109.473742379887</v>
      </c>
      <c r="O170" s="7">
        <f t="shared" si="11"/>
        <v>-92497.006842872972</v>
      </c>
      <c r="Q170" s="7">
        <f>IFERROR(SUM(Q164:Q169), 0)</f>
        <v>-1460198.2661302134</v>
      </c>
    </row>
    <row r="171" spans="1:17" ht="15" thickTop="1" x14ac:dyDescent="0.3">
      <c r="A171" s="5"/>
      <c r="C171" s="5"/>
      <c r="D171" s="4">
        <f t="shared" ref="D171:O171" si="12">IFERROR(D170/D10, 0)</f>
        <v>-1.5240227112203524</v>
      </c>
      <c r="E171" s="4">
        <f t="shared" si="12"/>
        <v>-6.8001612070625484E-3</v>
      </c>
      <c r="F171" s="4">
        <f t="shared" si="12"/>
        <v>5.8885649074399804E-2</v>
      </c>
      <c r="G171" s="4">
        <f t="shared" si="12"/>
        <v>-6.6722546267802635E-2</v>
      </c>
      <c r="H171" s="4">
        <f t="shared" si="12"/>
        <v>-0.27382420450788053</v>
      </c>
      <c r="I171" s="4">
        <f t="shared" si="12"/>
        <v>-0.15200743548661613</v>
      </c>
      <c r="J171" s="4">
        <f t="shared" si="12"/>
        <v>-9.399335189081974E-2</v>
      </c>
      <c r="K171" s="4">
        <f t="shared" si="12"/>
        <v>0.12737000780050123</v>
      </c>
      <c r="L171" s="4">
        <f t="shared" si="12"/>
        <v>3.9732256363853406E-2</v>
      </c>
      <c r="M171" s="4">
        <f t="shared" si="12"/>
        <v>-5.5708832113252282E-2</v>
      </c>
      <c r="N171" s="4">
        <f t="shared" si="12"/>
        <v>2.0698655682859467E-2</v>
      </c>
      <c r="O171" s="4">
        <f t="shared" si="12"/>
        <v>-0.17512534996454396</v>
      </c>
      <c r="P171" s="18"/>
      <c r="Q171" s="4">
        <f>IFERROR(Q170/Q10, 0)</f>
        <v>-6.3129256150697755E-2</v>
      </c>
    </row>
    <row r="172" spans="1:17" x14ac:dyDescent="0.3">
      <c r="A172" s="5"/>
      <c r="B172" s="30">
        <v>44462.678368171299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Q172" s="11"/>
    </row>
    <row r="173" spans="1:17" x14ac:dyDescent="0.3">
      <c r="A173" s="5"/>
      <c r="B173" s="31" t="s">
        <v>54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Q173" s="11"/>
    </row>
    <row r="174" spans="1:17" x14ac:dyDescent="0.3">
      <c r="A174" s="5"/>
      <c r="B174" s="29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Q174" s="11"/>
    </row>
    <row r="175" spans="1:17" x14ac:dyDescent="0.3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Q175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103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103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181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activeCell="A26" sqref="A26:XFD26"/>
      <selection pane="topRight" activeCell="A26" sqref="A26:XFD26"/>
      <selection pane="bottomLeft" activeCell="A26" sqref="A26:XFD26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181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104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104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220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220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outlinePr summaryBelow="0" summaryRight="0"/>
    <pageSetUpPr fitToPage="1"/>
  </sheetPr>
  <dimension ref="A2:R36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219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8"/>
      <c r="Q16" s="4"/>
    </row>
    <row r="17" spans="1:17" s="15" customFormat="1" x14ac:dyDescent="0.3">
      <c r="A17" s="6"/>
      <c r="B17" s="16" t="s">
        <v>255</v>
      </c>
      <c r="C17" s="6"/>
      <c r="D17" s="13">
        <f t="shared" ref="D17:O17" si="4">SUM(0)</f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Q17" s="13">
        <f>SUM(0)</f>
        <v>0</v>
      </c>
    </row>
    <row r="18" spans="1:17" s="28" customFormat="1" x14ac:dyDescent="0.3">
      <c r="A18" s="21"/>
      <c r="B18" s="21"/>
      <c r="C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</row>
    <row r="19" spans="1:17" s="9" customFormat="1" x14ac:dyDescent="0.3">
      <c r="A19" s="22"/>
      <c r="B19" s="16" t="s">
        <v>293</v>
      </c>
      <c r="C19" s="23"/>
      <c r="D19" s="3">
        <f>0</f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2">
        <f>SUM(OSRRefD23_0x)+IFERROR(SUM(OSRRefE23_0x),0)</f>
        <v>0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276</v>
      </c>
      <c r="C21" s="17"/>
      <c r="D21" s="8">
        <f t="shared" ref="D21:O21" si="5">IFERROR(+D14-D17+D19, 0)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Q21" s="8">
        <f>IFERROR(+Q14-Q17+Q19, 0)</f>
        <v>0</v>
      </c>
    </row>
    <row r="22" spans="1:17" s="6" customFormat="1" x14ac:dyDescent="0.3">
      <c r="B22" s="16"/>
      <c r="C22" s="16"/>
      <c r="D22" s="4">
        <f t="shared" ref="D22:O22" si="6">IFERROR(D21/D10, 0)</f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4">
        <f t="shared" si="6"/>
        <v>0</v>
      </c>
      <c r="K22" s="4">
        <f t="shared" si="6"/>
        <v>0</v>
      </c>
      <c r="L22" s="4">
        <f t="shared" si="6"/>
        <v>0</v>
      </c>
      <c r="M22" s="4">
        <f t="shared" si="6"/>
        <v>0</v>
      </c>
      <c r="N22" s="4">
        <f t="shared" si="6"/>
        <v>0</v>
      </c>
      <c r="O22" s="4">
        <f t="shared" si="6"/>
        <v>0</v>
      </c>
      <c r="P22" s="18"/>
      <c r="Q22" s="4">
        <f>IFERROR(Q21/Q10, 0)</f>
        <v>0</v>
      </c>
    </row>
    <row r="23" spans="1:17" x14ac:dyDescent="0.3">
      <c r="A23" s="5"/>
      <c r="B23" s="6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</row>
    <row r="24" spans="1:17" x14ac:dyDescent="0.3">
      <c r="A24" s="5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3"/>
    </row>
    <row r="25" spans="1:17" s="15" customFormat="1" ht="15" thickBot="1" x14ac:dyDescent="0.35">
      <c r="A25" s="6"/>
      <c r="B25" s="17" t="s">
        <v>124</v>
      </c>
      <c r="C25" s="17"/>
      <c r="D25" s="7">
        <f>IFERROR(+D21-#REF!, 0)</f>
        <v>0</v>
      </c>
      <c r="E25" s="7">
        <f>IFERROR(+E21-#REF!, 0)</f>
        <v>0</v>
      </c>
      <c r="F25" s="7">
        <f>IFERROR(+F21-#REF!, 0)</f>
        <v>0</v>
      </c>
      <c r="G25" s="7">
        <f>IFERROR(+G21-#REF!, 0)</f>
        <v>0</v>
      </c>
      <c r="H25" s="7">
        <f>IFERROR(+H21-#REF!, 0)</f>
        <v>0</v>
      </c>
      <c r="I25" s="7">
        <f>IFERROR(+I21-#REF!, 0)</f>
        <v>0</v>
      </c>
      <c r="J25" s="7">
        <f>IFERROR(+J21-#REF!, 0)</f>
        <v>0</v>
      </c>
      <c r="K25" s="7">
        <f>IFERROR(+K21-#REF!, 0)</f>
        <v>0</v>
      </c>
      <c r="L25" s="7">
        <f>IFERROR(+L21-#REF!, 0)</f>
        <v>0</v>
      </c>
      <c r="M25" s="7">
        <f>IFERROR(+M21-#REF!, 0)</f>
        <v>0</v>
      </c>
      <c r="N25" s="7">
        <f>IFERROR(+N21-#REF!, 0)</f>
        <v>0</v>
      </c>
      <c r="O25" s="7">
        <f>IFERROR(+O21-#REF!, 0)</f>
        <v>0</v>
      </c>
      <c r="Q25" s="7">
        <f>IFERROR(+Q21-#REF!, 0)</f>
        <v>0</v>
      </c>
    </row>
    <row r="26" spans="1:17" s="6" customFormat="1" ht="15" thickTop="1" x14ac:dyDescent="0.3">
      <c r="B26" s="16"/>
      <c r="C26" s="16"/>
      <c r="D26" s="4">
        <f t="shared" ref="D26:O26" si="7">IFERROR(D25/D10, 0)</f>
        <v>0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4">
        <f t="shared" si="7"/>
        <v>0</v>
      </c>
      <c r="L26" s="4">
        <f t="shared" si="7"/>
        <v>0</v>
      </c>
      <c r="M26" s="4">
        <f t="shared" si="7"/>
        <v>0</v>
      </c>
      <c r="N26" s="4">
        <f t="shared" si="7"/>
        <v>0</v>
      </c>
      <c r="O26" s="4">
        <f t="shared" si="7"/>
        <v>0</v>
      </c>
      <c r="P26" s="18"/>
      <c r="Q26" s="4">
        <f>IFERROR(Q25/Q10, 0)</f>
        <v>0</v>
      </c>
    </row>
    <row r="27" spans="1:17" x14ac:dyDescent="0.3">
      <c r="A27" s="5"/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25"/>
      <c r="B28" s="6" t="s">
        <v>182</v>
      </c>
      <c r="C28" s="6"/>
      <c r="D28" s="3">
        <f>--18122.3</f>
        <v>18122.3</v>
      </c>
      <c r="E28" s="3">
        <f t="shared" ref="E28:E29" si="8">--15000</f>
        <v>15000</v>
      </c>
      <c r="F28" s="3">
        <f t="shared" ref="F28:O28" si="9">--15000</f>
        <v>15000</v>
      </c>
      <c r="G28" s="3">
        <f t="shared" si="9"/>
        <v>15000</v>
      </c>
      <c r="H28" s="3">
        <f t="shared" si="9"/>
        <v>15000</v>
      </c>
      <c r="I28" s="3">
        <f t="shared" si="9"/>
        <v>15000</v>
      </c>
      <c r="J28" s="3">
        <f t="shared" si="9"/>
        <v>15000</v>
      </c>
      <c r="K28" s="3">
        <f t="shared" si="9"/>
        <v>15000</v>
      </c>
      <c r="L28" s="3">
        <f t="shared" si="9"/>
        <v>15000</v>
      </c>
      <c r="M28" s="3">
        <f t="shared" si="9"/>
        <v>15000</v>
      </c>
      <c r="N28" s="3">
        <f t="shared" si="9"/>
        <v>15000</v>
      </c>
      <c r="O28" s="3">
        <f t="shared" si="9"/>
        <v>15000</v>
      </c>
      <c r="Q28" s="2">
        <f>SUM(OSRRefD33_0x)+IFERROR(SUM(OSRRefE33_0x),0)</f>
        <v>183122.3</v>
      </c>
    </row>
    <row r="29" spans="1:17" s="15" customFormat="1" x14ac:dyDescent="0.3">
      <c r="A29" s="25"/>
      <c r="B29" s="6" t="s">
        <v>79</v>
      </c>
      <c r="C29" s="6"/>
      <c r="D29" s="3">
        <f>--10182.42</f>
        <v>10182.42</v>
      </c>
      <c r="E29" s="3">
        <f t="shared" si="8"/>
        <v>15000</v>
      </c>
      <c r="F29" s="3">
        <f>--20000</f>
        <v>20000</v>
      </c>
      <c r="G29" s="3">
        <f t="shared" ref="G29:H29" si="10">--15000</f>
        <v>15000</v>
      </c>
      <c r="H29" s="3">
        <f t="shared" si="10"/>
        <v>15000</v>
      </c>
      <c r="I29" s="3">
        <f>--20000</f>
        <v>20000</v>
      </c>
      <c r="J29" s="3">
        <f t="shared" ref="J29:K29" si="11">--15000</f>
        <v>15000</v>
      </c>
      <c r="K29" s="3">
        <f t="shared" si="11"/>
        <v>15000</v>
      </c>
      <c r="L29" s="3">
        <f>--20000</f>
        <v>20000</v>
      </c>
      <c r="M29" s="3">
        <f t="shared" ref="M29:N29" si="12">--15000</f>
        <v>15000</v>
      </c>
      <c r="N29" s="3">
        <f t="shared" si="12"/>
        <v>15000</v>
      </c>
      <c r="O29" s="3">
        <f>--20000</f>
        <v>20000</v>
      </c>
      <c r="Q29" s="2">
        <f>SUM(OSRRefD34_0x)+IFERROR(SUM(OSRRefE34_0x),0)</f>
        <v>195182.42</v>
      </c>
    </row>
    <row r="30" spans="1:17" x14ac:dyDescent="0.3">
      <c r="A30" s="5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</row>
    <row r="31" spans="1:17" s="15" customFormat="1" ht="15" thickBot="1" x14ac:dyDescent="0.35">
      <c r="A31" s="6"/>
      <c r="B31" s="17" t="s">
        <v>294</v>
      </c>
      <c r="C31" s="17"/>
      <c r="D31" s="7">
        <f t="shared" ref="D31:O31" si="13">IFERROR(SUM(D25:D30), 0)</f>
        <v>28304.720000000001</v>
      </c>
      <c r="E31" s="7">
        <f t="shared" si="13"/>
        <v>30000</v>
      </c>
      <c r="F31" s="7">
        <f t="shared" si="13"/>
        <v>35000</v>
      </c>
      <c r="G31" s="7">
        <f t="shared" si="13"/>
        <v>30000</v>
      </c>
      <c r="H31" s="7">
        <f t="shared" si="13"/>
        <v>30000</v>
      </c>
      <c r="I31" s="7">
        <f t="shared" si="13"/>
        <v>35000</v>
      </c>
      <c r="J31" s="7">
        <f t="shared" si="13"/>
        <v>30000</v>
      </c>
      <c r="K31" s="7">
        <f t="shared" si="13"/>
        <v>30000</v>
      </c>
      <c r="L31" s="7">
        <f t="shared" si="13"/>
        <v>35000</v>
      </c>
      <c r="M31" s="7">
        <f t="shared" si="13"/>
        <v>30000</v>
      </c>
      <c r="N31" s="7">
        <f t="shared" si="13"/>
        <v>30000</v>
      </c>
      <c r="O31" s="7">
        <f t="shared" si="13"/>
        <v>35000</v>
      </c>
      <c r="Q31" s="7">
        <f>IFERROR(SUM(Q25:Q30), 0)</f>
        <v>378304.72</v>
      </c>
    </row>
    <row r="32" spans="1:17" ht="15" thickTop="1" x14ac:dyDescent="0.3">
      <c r="A32" s="5"/>
      <c r="C32" s="5"/>
      <c r="D32" s="4">
        <f t="shared" ref="D32:O32" si="14">IFERROR(D31/D10, 0)</f>
        <v>0</v>
      </c>
      <c r="E32" s="4">
        <f t="shared" si="14"/>
        <v>0</v>
      </c>
      <c r="F32" s="4">
        <f t="shared" si="14"/>
        <v>0</v>
      </c>
      <c r="G32" s="4">
        <f t="shared" si="14"/>
        <v>0</v>
      </c>
      <c r="H32" s="4">
        <f t="shared" si="14"/>
        <v>0</v>
      </c>
      <c r="I32" s="4">
        <f t="shared" si="14"/>
        <v>0</v>
      </c>
      <c r="J32" s="4">
        <f t="shared" si="14"/>
        <v>0</v>
      </c>
      <c r="K32" s="4">
        <f t="shared" si="14"/>
        <v>0</v>
      </c>
      <c r="L32" s="4">
        <f t="shared" si="14"/>
        <v>0</v>
      </c>
      <c r="M32" s="4">
        <f t="shared" si="14"/>
        <v>0</v>
      </c>
      <c r="N32" s="4">
        <f t="shared" si="14"/>
        <v>0</v>
      </c>
      <c r="O32" s="4">
        <f t="shared" si="14"/>
        <v>0</v>
      </c>
      <c r="P32" s="18"/>
      <c r="Q32" s="4">
        <f>IFERROR(Q31/Q10, 0)</f>
        <v>0</v>
      </c>
    </row>
    <row r="33" spans="1:17" x14ac:dyDescent="0.3">
      <c r="A33" s="5"/>
      <c r="B33" s="30">
        <v>44462.678406250001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Q33" s="11"/>
    </row>
    <row r="34" spans="1:17" x14ac:dyDescent="0.3">
      <c r="A34" s="5"/>
      <c r="B34" s="31" t="s">
        <v>54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1"/>
    </row>
    <row r="35" spans="1:17" x14ac:dyDescent="0.3">
      <c r="A35" s="5"/>
      <c r="B35" s="2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outlinePr summaryBelow="0" summaryRight="0"/>
    <pageSetUpPr fitToPage="1"/>
  </sheetPr>
  <dimension ref="A2:R3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","100", " - ", "Corporate")</f>
        <v>Department 100 - Corporate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 t="shared" ref="D17:O17" si="4">SUM(0)</f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Q17" s="13">
        <f>SUM(0)</f>
        <v>0</v>
      </c>
    </row>
    <row r="18" spans="1:17" s="28" customFormat="1" x14ac:dyDescent="0.3">
      <c r="A18" s="21"/>
      <c r="B18" s="21"/>
      <c r="C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</row>
    <row r="19" spans="1:17" s="9" customFormat="1" x14ac:dyDescent="0.3">
      <c r="A19" s="22"/>
      <c r="B19" s="16" t="s">
        <v>293</v>
      </c>
      <c r="C19" s="23"/>
      <c r="D19" s="3">
        <f>0</f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2">
        <f>SUM(OSRRefD23_0x)+IFERROR(SUM(OSRRefE23_0x),0)</f>
        <v>0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276</v>
      </c>
      <c r="C21" s="17"/>
      <c r="D21" s="8">
        <f t="shared" ref="D21:O21" si="5">IFERROR(+D14-D17+D19, 0)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Q21" s="8">
        <f>IFERROR(+Q14-Q17+Q19, 0)</f>
        <v>0</v>
      </c>
    </row>
    <row r="22" spans="1:17" s="6" customFormat="1" x14ac:dyDescent="0.3">
      <c r="B22" s="16"/>
      <c r="C22" s="16"/>
      <c r="D22" s="4">
        <f t="shared" ref="D22:O22" si="6">IFERROR(D21/D10, 0)</f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4">
        <f t="shared" si="6"/>
        <v>0</v>
      </c>
      <c r="K22" s="4">
        <f t="shared" si="6"/>
        <v>0</v>
      </c>
      <c r="L22" s="4">
        <f t="shared" si="6"/>
        <v>0</v>
      </c>
      <c r="M22" s="4">
        <f t="shared" si="6"/>
        <v>0</v>
      </c>
      <c r="N22" s="4">
        <f t="shared" si="6"/>
        <v>0</v>
      </c>
      <c r="O22" s="4">
        <f t="shared" si="6"/>
        <v>0</v>
      </c>
      <c r="P22" s="18"/>
      <c r="Q22" s="4">
        <f>IFERROR(Q21/Q10, 0)</f>
        <v>0</v>
      </c>
    </row>
    <row r="23" spans="1:17" x14ac:dyDescent="0.3">
      <c r="A23" s="5"/>
      <c r="B23" s="6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</row>
    <row r="24" spans="1:17" s="15" customFormat="1" x14ac:dyDescent="0.3">
      <c r="A24" s="25"/>
      <c r="B24" s="6" t="s">
        <v>125</v>
      </c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2">
        <f>SUM(OSRRefD28_0x)+IFERROR(SUM(OSRRefE28_0x),0)</f>
        <v>0</v>
      </c>
    </row>
    <row r="25" spans="1:17" x14ac:dyDescent="0.3">
      <c r="A25" s="5"/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</row>
    <row r="26" spans="1:17" s="15" customFormat="1" ht="15" thickBot="1" x14ac:dyDescent="0.35">
      <c r="A26" s="6"/>
      <c r="B26" s="17" t="s">
        <v>124</v>
      </c>
      <c r="C26" s="17"/>
      <c r="D26" s="7">
        <f t="shared" ref="D26:O26" si="7">IFERROR(+D21-D24, 0)</f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Q26" s="7">
        <f>IFERROR(+Q21-Q24, 0)</f>
        <v>0</v>
      </c>
    </row>
    <row r="27" spans="1:17" ht="15" thickTop="1" x14ac:dyDescent="0.3">
      <c r="A27" s="5"/>
      <c r="B27" s="5"/>
      <c r="C27" s="5"/>
      <c r="D27" s="4">
        <f t="shared" ref="D27:O27" si="8">IFERROR(D26/D10, 0)</f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  <c r="P27" s="18"/>
      <c r="Q27" s="4">
        <f>IFERROR(Q26/Q10, 0)</f>
        <v>0</v>
      </c>
    </row>
    <row r="28" spans="1:17" x14ac:dyDescent="0.3">
      <c r="A28" s="5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</row>
    <row r="29" spans="1:17" s="15" customFormat="1" x14ac:dyDescent="0.3">
      <c r="A29" s="25"/>
      <c r="B29" s="6" t="s">
        <v>182</v>
      </c>
      <c r="C29" s="6"/>
      <c r="D29" s="3">
        <f>--18122.3</f>
        <v>18122.3</v>
      </c>
      <c r="E29" s="3">
        <f t="shared" ref="E29:E30" si="9">--15000</f>
        <v>15000</v>
      </c>
      <c r="F29" s="3">
        <f t="shared" ref="F29:O29" si="10">--15000</f>
        <v>15000</v>
      </c>
      <c r="G29" s="3">
        <f t="shared" si="10"/>
        <v>15000</v>
      </c>
      <c r="H29" s="3">
        <f t="shared" si="10"/>
        <v>15000</v>
      </c>
      <c r="I29" s="3">
        <f t="shared" si="10"/>
        <v>15000</v>
      </c>
      <c r="J29" s="3">
        <f t="shared" si="10"/>
        <v>15000</v>
      </c>
      <c r="K29" s="3">
        <f t="shared" si="10"/>
        <v>15000</v>
      </c>
      <c r="L29" s="3">
        <f t="shared" si="10"/>
        <v>15000</v>
      </c>
      <c r="M29" s="3">
        <f t="shared" si="10"/>
        <v>15000</v>
      </c>
      <c r="N29" s="3">
        <f t="shared" si="10"/>
        <v>15000</v>
      </c>
      <c r="O29" s="3">
        <f t="shared" si="10"/>
        <v>15000</v>
      </c>
      <c r="Q29" s="2">
        <f>SUM(OSRRefD33_0x)+IFERROR(SUM(OSRRefE33_0x),0)</f>
        <v>183122.3</v>
      </c>
    </row>
    <row r="30" spans="1:17" s="15" customFormat="1" x14ac:dyDescent="0.3">
      <c r="A30" s="25"/>
      <c r="B30" s="6" t="s">
        <v>79</v>
      </c>
      <c r="C30" s="6"/>
      <c r="D30" s="3">
        <f>--10182.42</f>
        <v>10182.42</v>
      </c>
      <c r="E30" s="3">
        <f t="shared" si="9"/>
        <v>15000</v>
      </c>
      <c r="F30" s="3">
        <f>--20000</f>
        <v>20000</v>
      </c>
      <c r="G30" s="3">
        <f t="shared" ref="G30:H30" si="11">--15000</f>
        <v>15000</v>
      </c>
      <c r="H30" s="3">
        <f t="shared" si="11"/>
        <v>15000</v>
      </c>
      <c r="I30" s="3">
        <f>--20000</f>
        <v>20000</v>
      </c>
      <c r="J30" s="3">
        <f t="shared" ref="J30:K30" si="12">--15000</f>
        <v>15000</v>
      </c>
      <c r="K30" s="3">
        <f t="shared" si="12"/>
        <v>15000</v>
      </c>
      <c r="L30" s="3">
        <f>--20000</f>
        <v>20000</v>
      </c>
      <c r="M30" s="3">
        <f t="shared" ref="M30:N30" si="13">--15000</f>
        <v>15000</v>
      </c>
      <c r="N30" s="3">
        <f t="shared" si="13"/>
        <v>15000</v>
      </c>
      <c r="O30" s="3">
        <f>--20000</f>
        <v>20000</v>
      </c>
      <c r="Q30" s="2">
        <f>SUM(OSRRefD34_0x)+IFERROR(SUM(OSRRefE34_0x),0)</f>
        <v>195182.42</v>
      </c>
    </row>
    <row r="31" spans="1:17" x14ac:dyDescent="0.3">
      <c r="A31" s="5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s="15" customFormat="1" ht="15" thickBot="1" x14ac:dyDescent="0.35">
      <c r="A32" s="6"/>
      <c r="B32" s="17" t="s">
        <v>294</v>
      </c>
      <c r="C32" s="17"/>
      <c r="D32" s="7">
        <f t="shared" ref="D32:O32" si="14">IFERROR(SUM(D26:D31), 0)</f>
        <v>28304.720000000001</v>
      </c>
      <c r="E32" s="7">
        <f t="shared" si="14"/>
        <v>30000</v>
      </c>
      <c r="F32" s="7">
        <f t="shared" si="14"/>
        <v>35000</v>
      </c>
      <c r="G32" s="7">
        <f t="shared" si="14"/>
        <v>30000</v>
      </c>
      <c r="H32" s="7">
        <f t="shared" si="14"/>
        <v>30000</v>
      </c>
      <c r="I32" s="7">
        <f t="shared" si="14"/>
        <v>35000</v>
      </c>
      <c r="J32" s="7">
        <f t="shared" si="14"/>
        <v>30000</v>
      </c>
      <c r="K32" s="7">
        <f t="shared" si="14"/>
        <v>30000</v>
      </c>
      <c r="L32" s="7">
        <f t="shared" si="14"/>
        <v>35000</v>
      </c>
      <c r="M32" s="7">
        <f t="shared" si="14"/>
        <v>30000</v>
      </c>
      <c r="N32" s="7">
        <f t="shared" si="14"/>
        <v>30000</v>
      </c>
      <c r="O32" s="7">
        <f t="shared" si="14"/>
        <v>35000</v>
      </c>
      <c r="Q32" s="7">
        <f>IFERROR(SUM(Q26:Q31), 0)</f>
        <v>378304.72</v>
      </c>
    </row>
    <row r="33" spans="1:17" ht="15" thickTop="1" x14ac:dyDescent="0.3">
      <c r="A33" s="5"/>
      <c r="C33" s="5"/>
      <c r="D33" s="4">
        <f t="shared" ref="D33:O33" si="15">IFERROR(D32/D10, 0)</f>
        <v>0</v>
      </c>
      <c r="E33" s="4">
        <f t="shared" si="15"/>
        <v>0</v>
      </c>
      <c r="F33" s="4">
        <f t="shared" si="15"/>
        <v>0</v>
      </c>
      <c r="G33" s="4">
        <f t="shared" si="15"/>
        <v>0</v>
      </c>
      <c r="H33" s="4">
        <f t="shared" si="15"/>
        <v>0</v>
      </c>
      <c r="I33" s="4">
        <f t="shared" si="15"/>
        <v>0</v>
      </c>
      <c r="J33" s="4">
        <f t="shared" si="15"/>
        <v>0</v>
      </c>
      <c r="K33" s="4">
        <f t="shared" si="15"/>
        <v>0</v>
      </c>
      <c r="L33" s="4">
        <f t="shared" si="15"/>
        <v>0</v>
      </c>
      <c r="M33" s="4">
        <f t="shared" si="15"/>
        <v>0</v>
      </c>
      <c r="N33" s="4">
        <f t="shared" si="15"/>
        <v>0</v>
      </c>
      <c r="O33" s="4">
        <f t="shared" si="15"/>
        <v>0</v>
      </c>
      <c r="P33" s="18"/>
      <c r="Q33" s="4">
        <f>IFERROR(Q32/Q10, 0)</f>
        <v>0</v>
      </c>
    </row>
    <row r="34" spans="1:17" x14ac:dyDescent="0.3">
      <c r="A34" s="5"/>
      <c r="B34" s="30">
        <v>44462.678423958336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1"/>
    </row>
    <row r="35" spans="1:17" x14ac:dyDescent="0.3">
      <c r="A35" s="5"/>
      <c r="B35" s="31" t="s">
        <v>54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A36" s="5"/>
      <c r="B36" s="2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136</v>
      </c>
    </row>
    <row r="4" spans="1:8" x14ac:dyDescent="0.3">
      <c r="B4" s="33" t="s">
        <v>158</v>
      </c>
    </row>
    <row r="5" spans="1:8" ht="15" customHeight="1" x14ac:dyDescent="0.3">
      <c r="A5" s="15"/>
      <c r="B5" s="15" t="s">
        <v>312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F12" s="24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0" t="e">
        <f ca="1">_xll.OneStop.ReportPlayer.OSRFunctions.OSRGet("GL_F_Trans","Value1")</f>
        <v>#NAME?</v>
      </c>
      <c r="E21" s="20" t="e">
        <f ca="1">_xll.OneStop.ReportPlayer.OSRFunctions.OSRGet("GL_F_Trans","Value1")</f>
        <v>#NAME?</v>
      </c>
      <c r="F21" s="36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F23" s="24"/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F28" s="24"/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s="6" customFormat="1" ht="15" thickTop="1" x14ac:dyDescent="0.3">
      <c r="B31" s="16"/>
      <c r="C31" s="16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F33" s="24"/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F34" s="24"/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outlinePr summaryBelow="0" summaryRight="0"/>
    <pageSetUpPr fitToPage="1"/>
  </sheetPr>
  <dimension ref="A2:R10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137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232914.85999999996</v>
      </c>
      <c r="E17" s="13">
        <f>SUM(OSRRefE20x_0)</f>
        <v>242457.21559983998</v>
      </c>
      <c r="F17" s="13">
        <f>SUM(OSRRefE20x_1)</f>
        <v>244376.06359983998</v>
      </c>
      <c r="G17" s="13">
        <f>SUM(OSRRefE20x_2)</f>
        <v>290561.68349979998</v>
      </c>
      <c r="H17" s="13">
        <f>SUM(OSRRefE20x_3)</f>
        <v>255318.69333830161</v>
      </c>
      <c r="I17" s="13">
        <f>SUM(OSRRefE20x_4)</f>
        <v>240598.69333830161</v>
      </c>
      <c r="J17" s="13">
        <f>SUM(OSRRefE20x_5)</f>
        <v>308227.51587287692</v>
      </c>
      <c r="K17" s="13">
        <f>SUM(OSRRefE20x_6)</f>
        <v>238186.01269830164</v>
      </c>
      <c r="L17" s="13">
        <f>SUM(OSRRefE20x_7)</f>
        <v>243411.46615984</v>
      </c>
      <c r="M17" s="13">
        <f>SUM(OSRRefE20x_8)</f>
        <v>289108.58269979997</v>
      </c>
      <c r="N17" s="13">
        <f>SUM(OSRRefE20x_9)</f>
        <v>230228.17971184</v>
      </c>
      <c r="O17" s="13">
        <f>SUM(OSRRefE20x_10)</f>
        <v>-215603.10673616</v>
      </c>
      <c r="Q17" s="13">
        <f>SUM(OSRRefG20x)</f>
        <v>2599785.8597825817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78201.42</v>
      </c>
      <c r="E18" s="1">
        <f>SUM(OSRRefE21_0x_0)</f>
        <v>82550.3636859939</v>
      </c>
      <c r="F18" s="1">
        <f>SUM(OSRRefE21_0x_1)</f>
        <v>82679.211685993898</v>
      </c>
      <c r="G18" s="1">
        <f>SUM(OSRRefE21_0x_2)</f>
        <v>89451.118607492361</v>
      </c>
      <c r="H18" s="1">
        <f>SUM(OSRRefE21_0x_3)</f>
        <v>84860.764501378522</v>
      </c>
      <c r="I18" s="1">
        <f>SUM(OSRRefE21_0x_4)</f>
        <v>84910.764501378522</v>
      </c>
      <c r="J18" s="1">
        <f>SUM(OSRRefE21_0x_5)</f>
        <v>92307.104826723109</v>
      </c>
      <c r="K18" s="1">
        <f>SUM(OSRRefE21_0x_6)</f>
        <v>84866.283861378528</v>
      </c>
      <c r="L18" s="1">
        <f>SUM(OSRRefE21_0x_7)</f>
        <v>82488.814245993897</v>
      </c>
      <c r="M18" s="1">
        <f>SUM(OSRRefE21_0x_8)</f>
        <v>89458.017807492361</v>
      </c>
      <c r="N18" s="1">
        <f>SUM(OSRRefE21_0x_9)</f>
        <v>82580.527797993898</v>
      </c>
      <c r="O18" s="1">
        <f>SUM(OSRRefE21_0x_10)</f>
        <v>-352331.75865000609</v>
      </c>
      <c r="Q18" s="2">
        <f>SUM(OSRRefD20_0x)+IFERROR(SUM(OSRRefE20_0x),0)</f>
        <v>582022.63287181291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7407.51</v>
      </c>
      <c r="E19" s="2">
        <v>7380.2394505476896</v>
      </c>
      <c r="F19" s="2">
        <v>7380.2394505476896</v>
      </c>
      <c r="G19" s="2">
        <v>8980.4033131846209</v>
      </c>
      <c r="H19" s="2">
        <v>7705.3153428553896</v>
      </c>
      <c r="I19" s="2">
        <v>7705.3153428553896</v>
      </c>
      <c r="J19" s="2">
        <v>9631.6441785692405</v>
      </c>
      <c r="K19" s="2">
        <v>7705.3153428553896</v>
      </c>
      <c r="L19" s="2">
        <v>7184.3226505476896</v>
      </c>
      <c r="M19" s="2">
        <v>8980.4033131846209</v>
      </c>
      <c r="N19" s="2">
        <v>7276.0362025476898</v>
      </c>
      <c r="O19" s="2">
        <v>7367.7497545476899</v>
      </c>
      <c r="P19" s="9"/>
      <c r="Q19" s="2">
        <f>SUM(OSRRefD21_0_0x)+IFERROR(SUM(OSRRefE21_0_0x),0)</f>
        <v>94704.49434224311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1424.37</v>
      </c>
      <c r="E20" s="2">
        <v>599.17389095384601</v>
      </c>
      <c r="F20" s="2">
        <v>606.11789095384597</v>
      </c>
      <c r="G20" s="2">
        <v>757.64736369230798</v>
      </c>
      <c r="H20" s="2">
        <v>627.22173710769198</v>
      </c>
      <c r="I20" s="2">
        <v>627.22173710769198</v>
      </c>
      <c r="J20" s="2">
        <v>784.63477138461599</v>
      </c>
      <c r="K20" s="2">
        <v>627.70781710769199</v>
      </c>
      <c r="L20" s="2">
        <v>606.60397095384599</v>
      </c>
      <c r="M20" s="2">
        <v>758.25496369230802</v>
      </c>
      <c r="N20" s="2">
        <v>606.60397095384599</v>
      </c>
      <c r="O20" s="2">
        <v>606.60397095384599</v>
      </c>
      <c r="P20" s="9"/>
      <c r="Q20" s="2">
        <f>SUM(OSRRefD21_0_1x)+IFERROR(SUM(OSRRefE21_0_1x),0)</f>
        <v>8632.1620848615385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22410.55</v>
      </c>
      <c r="E21" s="2">
        <v>22944.538461538501</v>
      </c>
      <c r="F21" s="2">
        <v>22944.538461538501</v>
      </c>
      <c r="G21" s="2">
        <v>24481.9230769231</v>
      </c>
      <c r="H21" s="2">
        <v>23635.538461538501</v>
      </c>
      <c r="I21" s="2">
        <v>23635.538461538501</v>
      </c>
      <c r="J21" s="2">
        <v>25172.9230769231</v>
      </c>
      <c r="K21" s="2">
        <v>23635.538461538501</v>
      </c>
      <c r="L21" s="2">
        <v>22944.538461538501</v>
      </c>
      <c r="M21" s="2">
        <v>24481.9230769231</v>
      </c>
      <c r="N21" s="2">
        <v>22944.538461538501</v>
      </c>
      <c r="O21" s="2">
        <v>22944.538461538501</v>
      </c>
      <c r="P21" s="9"/>
      <c r="Q21" s="2">
        <f>SUM(OSRRefD21_0_2x)+IFERROR(SUM(OSRRefE21_0_2x),0)</f>
        <v>282176.62692307727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251.47</v>
      </c>
      <c r="E22" s="2">
        <v>215.115390646154</v>
      </c>
      <c r="F22" s="2">
        <v>219.81939064615401</v>
      </c>
      <c r="G22" s="2">
        <v>274.77423830769197</v>
      </c>
      <c r="H22" s="2">
        <v>234.115544492308</v>
      </c>
      <c r="I22" s="2">
        <v>234.115544492308</v>
      </c>
      <c r="J22" s="2">
        <v>293.056030615385</v>
      </c>
      <c r="K22" s="2">
        <v>234.44482449230799</v>
      </c>
      <c r="L22" s="2">
        <v>220.14867064615399</v>
      </c>
      <c r="M22" s="2">
        <v>275.18583830769199</v>
      </c>
      <c r="N22" s="2">
        <v>220.14867064615399</v>
      </c>
      <c r="O22" s="2">
        <v>220.14867064615399</v>
      </c>
      <c r="P22" s="9"/>
      <c r="Q22" s="2">
        <f>SUM(OSRRefD21_0_3x)+IFERROR(SUM(OSRRefE21_0_3x),0)</f>
        <v>2892.542813938463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7497.95</v>
      </c>
      <c r="E23" s="2">
        <v>5940.8879384615402</v>
      </c>
      <c r="F23" s="2">
        <v>5940.8879384615402</v>
      </c>
      <c r="G23" s="2">
        <v>7426.1099230769296</v>
      </c>
      <c r="H23" s="2">
        <v>6526.3494769230801</v>
      </c>
      <c r="I23" s="2">
        <v>6526.3494769230801</v>
      </c>
      <c r="J23" s="2">
        <v>8157.9368461538497</v>
      </c>
      <c r="K23" s="2">
        <v>6526.3494769230801</v>
      </c>
      <c r="L23" s="2">
        <v>5940.8879384615402</v>
      </c>
      <c r="M23" s="2">
        <v>7426.1099230769296</v>
      </c>
      <c r="N23" s="2">
        <v>5940.8879384615402</v>
      </c>
      <c r="O23" s="2">
        <v>5940.8879384615402</v>
      </c>
      <c r="P23" s="9"/>
      <c r="Q23" s="2">
        <f>SUM(OSRRefD21_0_4x)+IFERROR(SUM(OSRRefE21_0_4x),0)</f>
        <v>79791.594815384655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417</v>
      </c>
      <c r="F24" s="2">
        <v>417</v>
      </c>
      <c r="G24" s="2">
        <v>417</v>
      </c>
      <c r="H24" s="2">
        <v>417</v>
      </c>
      <c r="I24" s="2">
        <v>417</v>
      </c>
      <c r="J24" s="2">
        <v>417</v>
      </c>
      <c r="K24" s="2">
        <v>417</v>
      </c>
      <c r="L24" s="2">
        <v>417</v>
      </c>
      <c r="M24" s="2">
        <v>417</v>
      </c>
      <c r="N24" s="2">
        <v>417</v>
      </c>
      <c r="O24" s="2">
        <v>413</v>
      </c>
      <c r="P24" s="9"/>
      <c r="Q24" s="2">
        <f>SUM(OSRRefD21_0_5x)+IFERROR(SUM(OSRRefE21_0_5x),0)</f>
        <v>4583</v>
      </c>
    </row>
    <row r="25" spans="1:17" s="34" customFormat="1" hidden="1" outlineLevel="1" x14ac:dyDescent="0.3">
      <c r="A25" s="35"/>
      <c r="B25" s="10" t="str">
        <f>CONCATENATE("          ","6117", " - ","RETIREMENT STAFF HOURLY")</f>
        <v xml:space="preserve">          6117 - RETIREMENT STAFF HOURLY</v>
      </c>
      <c r="C25" s="14"/>
      <c r="D25" s="2">
        <v>603.48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2">
        <f>SUM(OSRRefD21_0_6x)+IFERROR(SUM(OSRRefE21_0_6x),0)</f>
        <v>603.48</v>
      </c>
    </row>
    <row r="26" spans="1:17" s="34" customFormat="1" hidden="1" outlineLevel="1" x14ac:dyDescent="0.3">
      <c r="A26" s="35"/>
      <c r="B26" s="10" t="str">
        <f>CONCATENATE("          ","6118", " - ","VACATION")</f>
        <v xml:space="preserve">          6118 - VACATION</v>
      </c>
      <c r="C26" s="14"/>
      <c r="D26" s="2">
        <v>6366.21</v>
      </c>
      <c r="E26" s="2">
        <v>4165.0268553846199</v>
      </c>
      <c r="F26" s="2">
        <v>4165.0268553846199</v>
      </c>
      <c r="G26" s="2">
        <v>5206.2835692307799</v>
      </c>
      <c r="H26" s="2">
        <v>4505.4114707692397</v>
      </c>
      <c r="I26" s="2">
        <v>4505.4114707692397</v>
      </c>
      <c r="J26" s="2">
        <v>5631.7643384615403</v>
      </c>
      <c r="K26" s="2">
        <v>4505.4114707692397</v>
      </c>
      <c r="L26" s="2">
        <v>4165.0268553846199</v>
      </c>
      <c r="M26" s="2">
        <v>5206.2835692307799</v>
      </c>
      <c r="N26" s="2">
        <v>4165.0268553846199</v>
      </c>
      <c r="O26" s="2">
        <v>4165.0268553846199</v>
      </c>
      <c r="P26" s="9"/>
      <c r="Q26" s="2">
        <f>SUM(OSRRefD21_0_7x)+IFERROR(SUM(OSRRefE21_0_7x),0)</f>
        <v>56751.91016615391</v>
      </c>
    </row>
    <row r="27" spans="1:17" s="34" customFormat="1" hidden="1" outlineLevel="1" x14ac:dyDescent="0.3">
      <c r="A27" s="35"/>
      <c r="B27" s="10" t="str">
        <f>CONCATENATE("          ","6119", " - ","SICK LEAVE")</f>
        <v xml:space="preserve">          6119 - SICK LEAVE</v>
      </c>
      <c r="C27" s="14"/>
      <c r="D27" s="2">
        <v>4256.4799999999996</v>
      </c>
      <c r="E27" s="2">
        <v>3538.3816984615501</v>
      </c>
      <c r="F27" s="2">
        <v>3605.5816984615499</v>
      </c>
      <c r="G27" s="2">
        <v>4506.9771230769302</v>
      </c>
      <c r="H27" s="2">
        <v>3809.8124676923198</v>
      </c>
      <c r="I27" s="2">
        <v>3809.8124676923198</v>
      </c>
      <c r="J27" s="2">
        <v>4768.1455846153904</v>
      </c>
      <c r="K27" s="2">
        <v>3814.51646769231</v>
      </c>
      <c r="L27" s="2">
        <v>3610.2856984615501</v>
      </c>
      <c r="M27" s="2">
        <v>4512.8571230769303</v>
      </c>
      <c r="N27" s="2">
        <v>3610.2856984615501</v>
      </c>
      <c r="O27" s="2">
        <v>3610.2856984615501</v>
      </c>
      <c r="P27" s="9"/>
      <c r="Q27" s="2">
        <f>SUM(OSRRefD21_0_8x)+IFERROR(SUM(OSRRefE21_0_8x),0)</f>
        <v>47453.421726153945</v>
      </c>
    </row>
    <row r="28" spans="1:17" s="34" customFormat="1" hidden="1" outlineLevel="1" x14ac:dyDescent="0.3">
      <c r="A28" s="35"/>
      <c r="B28" s="10" t="str">
        <f>CONCATENATE("          ","6120", " - ","RETIREES HEALTH INSURANCE")</f>
        <v xml:space="preserve">          6120 - RETIREES HEALTH INSURANCE</v>
      </c>
      <c r="C28" s="14"/>
      <c r="D28" s="2">
        <v>27136.06</v>
      </c>
      <c r="E28" s="2">
        <v>35000</v>
      </c>
      <c r="F28" s="2">
        <v>35000</v>
      </c>
      <c r="G28" s="2">
        <v>35000</v>
      </c>
      <c r="H28" s="2">
        <v>35000</v>
      </c>
      <c r="I28" s="2">
        <v>35000</v>
      </c>
      <c r="J28" s="2">
        <v>35000</v>
      </c>
      <c r="K28" s="2">
        <v>35000</v>
      </c>
      <c r="L28" s="2">
        <v>35000</v>
      </c>
      <c r="M28" s="2">
        <v>35000</v>
      </c>
      <c r="N28" s="2">
        <v>35000</v>
      </c>
      <c r="O28" s="2">
        <v>-400000</v>
      </c>
      <c r="P28" s="9"/>
      <c r="Q28" s="2">
        <f>SUM(OSRRefD21_0_9x)+IFERROR(SUM(OSRRefE21_0_9x),0)</f>
        <v>-22863.94</v>
      </c>
    </row>
    <row r="29" spans="1:17" s="34" customFormat="1" hidden="1" outlineLevel="1" x14ac:dyDescent="0.3">
      <c r="A29" s="35"/>
      <c r="B29" s="10" t="str">
        <f>CONCATENATE("          ","6156", " - ","EMPLOYEE MEALS")</f>
        <v xml:space="preserve">          6156 - EMPLOYEE MEALS</v>
      </c>
      <c r="C29" s="14"/>
      <c r="D29" s="2">
        <v>847.34</v>
      </c>
      <c r="E29" s="2">
        <v>2350</v>
      </c>
      <c r="F29" s="2">
        <v>2400</v>
      </c>
      <c r="G29" s="2">
        <v>2400</v>
      </c>
      <c r="H29" s="2">
        <v>2400</v>
      </c>
      <c r="I29" s="2">
        <v>2450</v>
      </c>
      <c r="J29" s="2">
        <v>2450</v>
      </c>
      <c r="K29" s="2">
        <v>2400</v>
      </c>
      <c r="L29" s="2">
        <v>2400</v>
      </c>
      <c r="M29" s="2">
        <v>2400</v>
      </c>
      <c r="N29" s="2">
        <v>2400</v>
      </c>
      <c r="O29" s="2">
        <v>2400</v>
      </c>
      <c r="P29" s="9"/>
      <c r="Q29" s="2">
        <f>SUM(OSRRefD21_0_10x)+IFERROR(SUM(OSRRefE21_0_10x),0)</f>
        <v>27297.34</v>
      </c>
    </row>
    <row r="30" spans="1:17" s="34" customFormat="1" collapsed="1" x14ac:dyDescent="0.3">
      <c r="A30" s="35"/>
      <c r="B30" s="14" t="str">
        <f>CONCATENATE("     ","*Payroll                                          ")</f>
        <v xml:space="preserve">     *Payroll                                          </v>
      </c>
      <c r="C30" s="14"/>
      <c r="D30" s="1">
        <f>SUM(OSRRefD21_1x_0)</f>
        <v>114654.69</v>
      </c>
      <c r="E30" s="1">
        <f>SUM(OSRRefE21_1x_0)</f>
        <v>93542.851913846098</v>
      </c>
      <c r="F30" s="1">
        <f>SUM(OSRRefE21_1x_1)</f>
        <v>95782.851913846098</v>
      </c>
      <c r="G30" s="1">
        <f>SUM(OSRRefE21_1x_2)</f>
        <v>119728.56489230761</v>
      </c>
      <c r="H30" s="1">
        <f>SUM(OSRRefE21_1x_3)</f>
        <v>102045.92883692309</v>
      </c>
      <c r="I30" s="1">
        <f>SUM(OSRRefE21_1x_4)</f>
        <v>102045.92883692309</v>
      </c>
      <c r="J30" s="1">
        <f>SUM(OSRRefE21_1x_5)</f>
        <v>127753.41104615379</v>
      </c>
      <c r="K30" s="1">
        <f>SUM(OSRRefE21_1x_6)</f>
        <v>102202.7288369231</v>
      </c>
      <c r="L30" s="1">
        <f>SUM(OSRRefE21_1x_7)</f>
        <v>95939.651913846101</v>
      </c>
      <c r="M30" s="1">
        <f>SUM(OSRRefE21_1x_8)</f>
        <v>119924.56489230761</v>
      </c>
      <c r="N30" s="1">
        <f>SUM(OSRRefE21_1x_9)</f>
        <v>95939.651913846086</v>
      </c>
      <c r="O30" s="1">
        <f>SUM(OSRRefE21_1x_10)</f>
        <v>95939.651913846101</v>
      </c>
      <c r="Q30" s="2">
        <f>SUM(OSRRefD20_1x)+IFERROR(SUM(OSRRefE20_1x),0)</f>
        <v>1265500.4769107688</v>
      </c>
    </row>
    <row r="31" spans="1:17" s="34" customFormat="1" hidden="1" outlineLevel="1" x14ac:dyDescent="0.3">
      <c r="A31" s="35"/>
      <c r="B31" s="10" t="str">
        <f>CONCATENATE("          ","6001", " - ","ADMINISTRATIVE SALARIES")</f>
        <v xml:space="preserve">          6001 - ADMINISTRATIVE SALARIES</v>
      </c>
      <c r="C31" s="14"/>
      <c r="D31" s="2">
        <v>29962.34</v>
      </c>
      <c r="E31" s="2">
        <v>27893.119999999999</v>
      </c>
      <c r="F31" s="2">
        <v>27893.119999999999</v>
      </c>
      <c r="G31" s="2">
        <v>34866.400000000001</v>
      </c>
      <c r="H31" s="2">
        <v>34156.196923076997</v>
      </c>
      <c r="I31" s="2">
        <v>34156.196923076997</v>
      </c>
      <c r="J31" s="2">
        <v>42695.246153846201</v>
      </c>
      <c r="K31" s="2">
        <v>34156.196923076997</v>
      </c>
      <c r="L31" s="2">
        <v>27893.119999999999</v>
      </c>
      <c r="M31" s="2">
        <v>34866.400000000001</v>
      </c>
      <c r="N31" s="2">
        <v>27893.119999999999</v>
      </c>
      <c r="O31" s="2">
        <v>27893.119999999999</v>
      </c>
      <c r="P31" s="9"/>
      <c r="Q31" s="2">
        <f>SUM(OSRRefD21_1_0x)+IFERROR(SUM(OSRRefE21_1_0x),0)</f>
        <v>384324.57692307723</v>
      </c>
    </row>
    <row r="32" spans="1:17" s="34" customFormat="1" hidden="1" outlineLevel="1" x14ac:dyDescent="0.3">
      <c r="A32" s="35"/>
      <c r="B32" s="10" t="str">
        <f>CONCATENATE("          ","6002", " - ","STAFF SALARIES")</f>
        <v xml:space="preserve">          6002 - STAFF SALARIES</v>
      </c>
      <c r="C32" s="14"/>
      <c r="D32" s="2">
        <v>57319.14</v>
      </c>
      <c r="E32" s="2">
        <v>35167.686153846102</v>
      </c>
      <c r="F32" s="2">
        <v>35167.686153846102</v>
      </c>
      <c r="G32" s="2">
        <v>43959.607692307603</v>
      </c>
      <c r="H32" s="2">
        <v>35167.686153846102</v>
      </c>
      <c r="I32" s="2">
        <v>35167.686153846102</v>
      </c>
      <c r="J32" s="2">
        <v>43959.607692307603</v>
      </c>
      <c r="K32" s="2">
        <v>35167.686153846102</v>
      </c>
      <c r="L32" s="2">
        <v>35167.686153846102</v>
      </c>
      <c r="M32" s="2">
        <v>43959.607692307603</v>
      </c>
      <c r="N32" s="2">
        <v>35167.686153846102</v>
      </c>
      <c r="O32" s="2">
        <v>35167.686153846102</v>
      </c>
      <c r="P32" s="9"/>
      <c r="Q32" s="2">
        <f>SUM(OSRRefD21_1_1x)+IFERROR(SUM(OSRRefE21_1_1x),0)</f>
        <v>470539.45230769162</v>
      </c>
    </row>
    <row r="33" spans="1:17" s="34" customFormat="1" hidden="1" outlineLevel="1" x14ac:dyDescent="0.3">
      <c r="A33" s="35"/>
      <c r="B33" s="10" t="str">
        <f>CONCATENATE("          ","6003", " - ","STAFF HOURLY-9 MONTH")</f>
        <v xml:space="preserve">          6003 - STAFF HOURLY-9 MONTH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SUM(OSRRefD21_1_2x)+IFERROR(SUM(OSRRefE21_1_2x),0)</f>
        <v>0</v>
      </c>
    </row>
    <row r="34" spans="1:17" s="34" customFormat="1" hidden="1" outlineLevel="1" x14ac:dyDescent="0.3">
      <c r="A34" s="35"/>
      <c r="B34" s="10" t="str">
        <f>CONCATENATE("          ","6004", " - ","STAFF HOURLY")</f>
        <v xml:space="preserve">          6004 - STAFF HOURLY</v>
      </c>
      <c r="C34" s="14"/>
      <c r="D34" s="2">
        <v>18080.89</v>
      </c>
      <c r="E34" s="2">
        <v>24042.045760000001</v>
      </c>
      <c r="F34" s="2">
        <v>24042.045760000001</v>
      </c>
      <c r="G34" s="2">
        <v>30052.557199999999</v>
      </c>
      <c r="H34" s="2">
        <v>24042.045760000001</v>
      </c>
      <c r="I34" s="2">
        <v>24042.045760000001</v>
      </c>
      <c r="J34" s="2">
        <v>30052.557199999999</v>
      </c>
      <c r="K34" s="2">
        <v>24042.045760000001</v>
      </c>
      <c r="L34" s="2">
        <v>24042.045760000001</v>
      </c>
      <c r="M34" s="2">
        <v>30052.557199999999</v>
      </c>
      <c r="N34" s="2">
        <v>24042.045760000001</v>
      </c>
      <c r="O34" s="2">
        <v>24042.045760000001</v>
      </c>
      <c r="P34" s="9"/>
      <c r="Q34" s="2">
        <f>SUM(OSRRefD21_1_3x)+IFERROR(SUM(OSRRefE21_1_3x),0)</f>
        <v>300574.92768000008</v>
      </c>
    </row>
    <row r="35" spans="1:17" s="34" customFormat="1" hidden="1" outlineLevel="1" x14ac:dyDescent="0.3">
      <c r="A35" s="35"/>
      <c r="B35" s="10" t="str">
        <f>CONCATENATE("          ","6005", " - ","TEMPORARY WAGES-HOURLY")</f>
        <v xml:space="preserve">          6005 - TEMPORARY WAGES-HOURLY</v>
      </c>
      <c r="C35" s="14"/>
      <c r="D35" s="2">
        <v>2027</v>
      </c>
      <c r="E35" s="2">
        <v>3880</v>
      </c>
      <c r="F35" s="2">
        <v>3880</v>
      </c>
      <c r="G35" s="2">
        <v>4850</v>
      </c>
      <c r="H35" s="2">
        <v>3880</v>
      </c>
      <c r="I35" s="2">
        <v>3880</v>
      </c>
      <c r="J35" s="2">
        <v>4850</v>
      </c>
      <c r="K35" s="2">
        <v>3880</v>
      </c>
      <c r="L35" s="2">
        <v>3880</v>
      </c>
      <c r="M35" s="2">
        <v>4850</v>
      </c>
      <c r="N35" s="2">
        <v>3880</v>
      </c>
      <c r="O35" s="2">
        <v>3880</v>
      </c>
      <c r="P35" s="9"/>
      <c r="Q35" s="2">
        <f>SUM(OSRRefD21_1_4x)+IFERROR(SUM(OSRRefE21_1_4x),0)</f>
        <v>47617</v>
      </c>
    </row>
    <row r="36" spans="1:17" s="34" customFormat="1" hidden="1" outlineLevel="1" x14ac:dyDescent="0.3">
      <c r="A36" s="35"/>
      <c r="B36" s="10" t="str">
        <f>CONCATENATE("          ","6006", " - ","TEMPORARY PART TIME")</f>
        <v xml:space="preserve">          6006 - TEMPORARY PART TIME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SUM(OSRRefD21_1_5x)+IFERROR(SUM(OSRRefE21_1_5x),0)</f>
        <v>0</v>
      </c>
    </row>
    <row r="37" spans="1:17" s="34" customFormat="1" hidden="1" outlineLevel="1" x14ac:dyDescent="0.3">
      <c r="A37" s="35"/>
      <c r="B37" s="10" t="str">
        <f>CONCATENATE("          ","6007", " - ","STUDENT HOURLY")</f>
        <v xml:space="preserve">          6007 - STUDENT HOURLY</v>
      </c>
      <c r="C37" s="14"/>
      <c r="D37" s="2">
        <v>5494</v>
      </c>
      <c r="E37" s="2">
        <v>2560</v>
      </c>
      <c r="F37" s="2">
        <v>2560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1198.4000000000001</v>
      </c>
      <c r="O37" s="2">
        <v>2396.8000000000002</v>
      </c>
      <c r="P37" s="9"/>
      <c r="Q37" s="2">
        <f>SUM(OSRRefD21_1_6x)+IFERROR(SUM(OSRRefE21_1_6x),0)</f>
        <v>14209.2</v>
      </c>
    </row>
    <row r="38" spans="1:17" s="34" customFormat="1" hidden="1" outlineLevel="1" x14ac:dyDescent="0.3">
      <c r="A38" s="35"/>
      <c r="B38" s="10" t="str">
        <f>CONCATENATE("          ","6008", " - ","STUDENT HOURLY-FICA EXEMPT")</f>
        <v xml:space="preserve">          6008 - STUDENT HOURLY-FICA EXEMPT</v>
      </c>
      <c r="C38" s="14"/>
      <c r="D38" s="2">
        <v>1771.32</v>
      </c>
      <c r="E38" s="2">
        <v>0</v>
      </c>
      <c r="F38" s="2">
        <v>2240</v>
      </c>
      <c r="G38" s="2">
        <v>6000</v>
      </c>
      <c r="H38" s="2">
        <v>4800</v>
      </c>
      <c r="I38" s="2">
        <v>4800</v>
      </c>
      <c r="J38" s="2">
        <v>6196</v>
      </c>
      <c r="K38" s="2">
        <v>4956.8</v>
      </c>
      <c r="L38" s="2">
        <v>4956.8</v>
      </c>
      <c r="M38" s="2">
        <v>6196</v>
      </c>
      <c r="N38" s="2">
        <v>3758.4</v>
      </c>
      <c r="O38" s="2">
        <v>2560</v>
      </c>
      <c r="P38" s="9"/>
      <c r="Q38" s="2">
        <f>SUM(OSRRefD21_1_7x)+IFERROR(SUM(OSRRefE21_1_7x),0)</f>
        <v>48235.32</v>
      </c>
    </row>
    <row r="39" spans="1:17" s="34" customFormat="1" hidden="1" outlineLevel="1" x14ac:dyDescent="0.3">
      <c r="A39" s="35"/>
      <c r="B39" s="10" t="str">
        <f>CONCATENATE("          ","6009", " - ","TEMPORARY-SEASONAL")</f>
        <v xml:space="preserve">          6009 - TEMPORARY-SEASONAL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SUM(OSRRefD21_1_8x)+IFERROR(SUM(OSRRefE21_1_8x),0)</f>
        <v>0</v>
      </c>
    </row>
    <row r="40" spans="1:17" s="34" customFormat="1" hidden="1" outlineLevel="1" x14ac:dyDescent="0.3">
      <c r="A40" s="35"/>
      <c r="B40" s="10" t="str">
        <f>CONCATENATE("          ","6010", " - ","GRATUITY")</f>
        <v xml:space="preserve">          6010 - GRATUITY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SUM(OSRRefD21_1_9x)+IFERROR(SUM(OSRRefE21_1_9x),0)</f>
        <v>0</v>
      </c>
    </row>
    <row r="41" spans="1:17" s="34" customFormat="1" collapsed="1" x14ac:dyDescent="0.3">
      <c r="A41" s="35"/>
      <c r="B41" s="14" t="str">
        <f>CONCATENATE("     ","Advertising/Promo                                 ")</f>
        <v xml:space="preserve">     Advertising/Promo                                 </v>
      </c>
      <c r="C41" s="14"/>
      <c r="D41" s="1">
        <f>SUM(OSRRefD21_2x_0)</f>
        <v>173.21</v>
      </c>
      <c r="E41" s="1">
        <f>SUM(OSRRefE21_2x_0)</f>
        <v>667</v>
      </c>
      <c r="F41" s="1">
        <f>SUM(OSRRefE21_2x_1)</f>
        <v>817</v>
      </c>
      <c r="G41" s="1">
        <f>SUM(OSRRefE21_2x_2)</f>
        <v>817</v>
      </c>
      <c r="H41" s="1">
        <f>SUM(OSRRefE21_2x_3)</f>
        <v>817</v>
      </c>
      <c r="I41" s="1">
        <f>SUM(OSRRefE21_2x_4)</f>
        <v>817</v>
      </c>
      <c r="J41" s="1">
        <f>SUM(OSRRefE21_2x_5)</f>
        <v>817</v>
      </c>
      <c r="K41" s="1">
        <f>SUM(OSRRefE21_2x_6)</f>
        <v>817</v>
      </c>
      <c r="L41" s="1">
        <f>SUM(OSRRefE21_2x_7)</f>
        <v>817</v>
      </c>
      <c r="M41" s="1">
        <f>SUM(OSRRefE21_2x_8)</f>
        <v>817</v>
      </c>
      <c r="N41" s="1">
        <f>SUM(OSRRefE21_2x_9)</f>
        <v>817</v>
      </c>
      <c r="O41" s="1">
        <f>SUM(OSRRefE21_2x_10)</f>
        <v>813</v>
      </c>
      <c r="Q41" s="2">
        <f>SUM(OSRRefD20_2x)+IFERROR(SUM(OSRRefE20_2x),0)</f>
        <v>9006.2099999999991</v>
      </c>
    </row>
    <row r="42" spans="1:17" s="34" customFormat="1" hidden="1" outlineLevel="1" x14ac:dyDescent="0.3">
      <c r="A42" s="35"/>
      <c r="B42" s="10" t="str">
        <f>CONCATENATE("          ","6362", " - ","ADVERTISING EXPENSE")</f>
        <v xml:space="preserve">          6362 - ADVERTISING EXPENSE</v>
      </c>
      <c r="C42" s="14"/>
      <c r="D42" s="2">
        <v>173.21</v>
      </c>
      <c r="E42" s="2">
        <v>667</v>
      </c>
      <c r="F42" s="2">
        <v>817</v>
      </c>
      <c r="G42" s="2">
        <v>817</v>
      </c>
      <c r="H42" s="2">
        <v>817</v>
      </c>
      <c r="I42" s="2">
        <v>817</v>
      </c>
      <c r="J42" s="2">
        <v>817</v>
      </c>
      <c r="K42" s="2">
        <v>817</v>
      </c>
      <c r="L42" s="2">
        <v>817</v>
      </c>
      <c r="M42" s="2">
        <v>817</v>
      </c>
      <c r="N42" s="2">
        <v>817</v>
      </c>
      <c r="O42" s="2">
        <v>813</v>
      </c>
      <c r="P42" s="9"/>
      <c r="Q42" s="2">
        <f>SUM(OSRRefD21_2_0x)+IFERROR(SUM(OSRRefE21_2_0x),0)</f>
        <v>9006.2099999999991</v>
      </c>
    </row>
    <row r="43" spans="1:17" s="34" customFormat="1" collapsed="1" x14ac:dyDescent="0.3">
      <c r="A43" s="35"/>
      <c r="B43" s="14" t="str">
        <f>CONCATENATE("     ","Bank/card Fees                                    ")</f>
        <v xml:space="preserve">     Bank/card Fees                                    </v>
      </c>
      <c r="C43" s="14"/>
      <c r="D43" s="1">
        <f>SUM(OSRRefD21_3x_0)</f>
        <v>2349.86</v>
      </c>
      <c r="E43" s="1">
        <f>SUM(OSRRefE21_3x_0)</f>
        <v>1000</v>
      </c>
      <c r="F43" s="1">
        <f>SUM(OSRRefE21_3x_1)</f>
        <v>2000</v>
      </c>
      <c r="G43" s="1">
        <f>SUM(OSRRefE21_3x_2)</f>
        <v>10000</v>
      </c>
      <c r="H43" s="1">
        <f>SUM(OSRRefE21_3x_3)</f>
        <v>1000</v>
      </c>
      <c r="I43" s="1">
        <f>SUM(OSRRefE21_3x_4)</f>
        <v>2000</v>
      </c>
      <c r="J43" s="1">
        <f>SUM(OSRRefE21_3x_5)</f>
        <v>10000</v>
      </c>
      <c r="K43" s="1">
        <f>SUM(OSRRefE21_3x_6)</f>
        <v>1000</v>
      </c>
      <c r="L43" s="1">
        <f>SUM(OSRRefE21_3x_7)</f>
        <v>2000</v>
      </c>
      <c r="M43" s="1">
        <f>SUM(OSRRefE21_3x_8)</f>
        <v>10000</v>
      </c>
      <c r="N43" s="1">
        <f>SUM(OSRRefE21_3x_9)</f>
        <v>1000</v>
      </c>
      <c r="O43" s="1">
        <f>SUM(OSRRefE21_3x_10)</f>
        <v>2000</v>
      </c>
      <c r="Q43" s="2">
        <f>SUM(OSRRefD20_3x)+IFERROR(SUM(OSRRefE20_3x),0)</f>
        <v>44349.86</v>
      </c>
    </row>
    <row r="44" spans="1:17" s="34" customFormat="1" hidden="1" outlineLevel="1" x14ac:dyDescent="0.3">
      <c r="A44" s="35"/>
      <c r="B44" s="10" t="str">
        <f>CONCATENATE("          ","6381", " - ","BANK/CREDIT CARD FEES")</f>
        <v xml:space="preserve">          6381 - BANK/CREDIT CARD FEES</v>
      </c>
      <c r="C44" s="14"/>
      <c r="D44" s="2">
        <v>2349.86</v>
      </c>
      <c r="E44" s="2">
        <v>1000</v>
      </c>
      <c r="F44" s="2">
        <v>2000</v>
      </c>
      <c r="G44" s="2">
        <v>10000</v>
      </c>
      <c r="H44" s="2">
        <v>1000</v>
      </c>
      <c r="I44" s="2">
        <v>2000</v>
      </c>
      <c r="J44" s="2">
        <v>10000</v>
      </c>
      <c r="K44" s="2">
        <v>1000</v>
      </c>
      <c r="L44" s="2">
        <v>2000</v>
      </c>
      <c r="M44" s="2">
        <v>10000</v>
      </c>
      <c r="N44" s="2">
        <v>1000</v>
      </c>
      <c r="O44" s="2">
        <v>2000</v>
      </c>
      <c r="P44" s="9"/>
      <c r="Q44" s="2">
        <f>SUM(OSRRefD21_3_0x)+IFERROR(SUM(OSRRefE21_3_0x),0)</f>
        <v>44349.86</v>
      </c>
    </row>
    <row r="45" spans="1:17" s="34" customFormat="1" collapsed="1" x14ac:dyDescent="0.3">
      <c r="A45" s="35"/>
      <c r="B45" s="14" t="str">
        <f>CONCATENATE("     ","Board                                             ")</f>
        <v xml:space="preserve">     Board                                             </v>
      </c>
      <c r="C45" s="14"/>
      <c r="D45" s="1">
        <f>SUM(OSRRefD21_4x_0)</f>
        <v>837.74</v>
      </c>
      <c r="E45" s="1">
        <f>SUM(OSRRefE21_4x_0)</f>
        <v>508</v>
      </c>
      <c r="F45" s="1">
        <f>SUM(OSRRefE21_4x_1)</f>
        <v>1508</v>
      </c>
      <c r="G45" s="1">
        <f>SUM(OSRRefE21_4x_2)</f>
        <v>2008</v>
      </c>
      <c r="H45" s="1">
        <f>SUM(OSRRefE21_4x_3)</f>
        <v>2008</v>
      </c>
      <c r="I45" s="1">
        <f>SUM(OSRRefE21_4x_4)</f>
        <v>3008</v>
      </c>
      <c r="J45" s="1">
        <f>SUM(OSRRefE21_4x_5)</f>
        <v>2508</v>
      </c>
      <c r="K45" s="1">
        <f>SUM(OSRRefE21_4x_6)</f>
        <v>1508</v>
      </c>
      <c r="L45" s="1">
        <f>SUM(OSRRefE21_4x_7)</f>
        <v>1508</v>
      </c>
      <c r="M45" s="1">
        <f>SUM(OSRRefE21_4x_8)</f>
        <v>2508</v>
      </c>
      <c r="N45" s="1">
        <f>SUM(OSRRefE21_4x_9)</f>
        <v>1008</v>
      </c>
      <c r="O45" s="1">
        <f>SUM(OSRRefE21_4x_10)</f>
        <v>2508</v>
      </c>
      <c r="Q45" s="2">
        <f>SUM(OSRRefD20_4x)+IFERROR(SUM(OSRRefE20_4x),0)</f>
        <v>21425.74</v>
      </c>
    </row>
    <row r="46" spans="1:17" s="34" customFormat="1" hidden="1" outlineLevel="1" x14ac:dyDescent="0.3">
      <c r="A46" s="35"/>
      <c r="B46" s="10" t="str">
        <f>CONCATENATE("          ","6397", " - ","BOARD EXPENSES")</f>
        <v xml:space="preserve">          6397 - BOARD EXPENSES</v>
      </c>
      <c r="C46" s="14"/>
      <c r="D46" s="2">
        <v>837.74</v>
      </c>
      <c r="E46" s="2">
        <v>508</v>
      </c>
      <c r="F46" s="2">
        <v>1508</v>
      </c>
      <c r="G46" s="2">
        <v>2008</v>
      </c>
      <c r="H46" s="2">
        <v>2008</v>
      </c>
      <c r="I46" s="2">
        <v>3008</v>
      </c>
      <c r="J46" s="2">
        <v>2508</v>
      </c>
      <c r="K46" s="2">
        <v>1508</v>
      </c>
      <c r="L46" s="2">
        <v>1508</v>
      </c>
      <c r="M46" s="2">
        <v>2508</v>
      </c>
      <c r="N46" s="2">
        <v>1008</v>
      </c>
      <c r="O46" s="2">
        <v>2508</v>
      </c>
      <c r="P46" s="9"/>
      <c r="Q46" s="2">
        <f>SUM(OSRRefD21_4_0x)+IFERROR(SUM(OSRRefE21_4_0x),0)</f>
        <v>21425.74</v>
      </c>
    </row>
    <row r="47" spans="1:17" s="34" customFormat="1" collapsed="1" x14ac:dyDescent="0.3">
      <c r="A47" s="35"/>
      <c r="B47" s="14" t="str">
        <f>CONCATENATE("     ","Depreciation                                      ")</f>
        <v xml:space="preserve">     Depreciation                                      </v>
      </c>
      <c r="C47" s="14"/>
      <c r="D47" s="1">
        <f>SUM(OSRRefD21_5x_0)</f>
        <v>6972.12</v>
      </c>
      <c r="E47" s="1">
        <f>SUM(OSRRefE21_5x_0)</f>
        <v>6930</v>
      </c>
      <c r="F47" s="1">
        <f>SUM(OSRRefE21_5x_1)</f>
        <v>6930</v>
      </c>
      <c r="G47" s="1">
        <f>SUM(OSRRefE21_5x_2)</f>
        <v>3973</v>
      </c>
      <c r="H47" s="1">
        <f>SUM(OSRRefE21_5x_3)</f>
        <v>3973</v>
      </c>
      <c r="I47" s="1">
        <f>SUM(OSRRefE21_5x_4)</f>
        <v>3973</v>
      </c>
      <c r="J47" s="1">
        <f>SUM(OSRRefE21_5x_5)</f>
        <v>3973</v>
      </c>
      <c r="K47" s="1">
        <f>SUM(OSRRefE21_5x_6)</f>
        <v>3973</v>
      </c>
      <c r="L47" s="1">
        <f>SUM(OSRRefE21_5x_7)</f>
        <v>2414</v>
      </c>
      <c r="M47" s="1">
        <f>SUM(OSRRefE21_5x_8)</f>
        <v>2414</v>
      </c>
      <c r="N47" s="1">
        <f>SUM(OSRRefE21_5x_9)</f>
        <v>2414</v>
      </c>
      <c r="O47" s="1">
        <f>SUM(OSRRefE21_5x_10)</f>
        <v>1960</v>
      </c>
      <c r="Q47" s="2">
        <f>SUM(OSRRefD20_5x)+IFERROR(SUM(OSRRefE20_5x),0)</f>
        <v>49899.12</v>
      </c>
    </row>
    <row r="48" spans="1:17" s="34" customFormat="1" hidden="1" outlineLevel="1" x14ac:dyDescent="0.3">
      <c r="A48" s="35"/>
      <c r="B48" s="10" t="str">
        <f>CONCATENATE("          ","6322", " - ","EQUIPMENT DEPRECIATION EXPENSE")</f>
        <v xml:space="preserve">          6322 - EQUIPMENT DEPRECIATION EXPENSE</v>
      </c>
      <c r="C48" s="14"/>
      <c r="D48" s="2">
        <v>6972.12</v>
      </c>
      <c r="E48" s="2">
        <v>6430</v>
      </c>
      <c r="F48" s="2">
        <v>6430</v>
      </c>
      <c r="G48" s="2">
        <v>3473</v>
      </c>
      <c r="H48" s="2">
        <v>3473</v>
      </c>
      <c r="I48" s="2">
        <v>3473</v>
      </c>
      <c r="J48" s="2">
        <v>3473</v>
      </c>
      <c r="K48" s="2">
        <v>3473</v>
      </c>
      <c r="L48" s="2">
        <v>1914</v>
      </c>
      <c r="M48" s="2">
        <v>1914</v>
      </c>
      <c r="N48" s="2">
        <v>1914</v>
      </c>
      <c r="O48" s="2">
        <v>1460</v>
      </c>
      <c r="P48" s="9"/>
      <c r="Q48" s="2">
        <f>SUM(OSRRefD21_5_0x)+IFERROR(SUM(OSRRefE21_5_0x),0)</f>
        <v>44399.12</v>
      </c>
    </row>
    <row r="49" spans="1:17" s="34" customFormat="1" hidden="1" outlineLevel="1" x14ac:dyDescent="0.3">
      <c r="A49" s="35"/>
      <c r="B49" s="10" t="str">
        <f>CONCATENATE("          ","6324", " - ","FURNITURE + FIXT DEPRECIATION")</f>
        <v xml:space="preserve">          6324 - FURNITURE + FIXT DEPRECIATION</v>
      </c>
      <c r="C49" s="14"/>
      <c r="D49" s="2"/>
      <c r="E49" s="2">
        <v>500</v>
      </c>
      <c r="F49" s="2">
        <v>500</v>
      </c>
      <c r="G49" s="2">
        <v>500</v>
      </c>
      <c r="H49" s="2">
        <v>500</v>
      </c>
      <c r="I49" s="2">
        <v>500</v>
      </c>
      <c r="J49" s="2">
        <v>500</v>
      </c>
      <c r="K49" s="2">
        <v>500</v>
      </c>
      <c r="L49" s="2">
        <v>500</v>
      </c>
      <c r="M49" s="2">
        <v>500</v>
      </c>
      <c r="N49" s="2">
        <v>500</v>
      </c>
      <c r="O49" s="2">
        <v>500</v>
      </c>
      <c r="P49" s="9"/>
      <c r="Q49" s="2">
        <f>SUM(OSRRefD21_5_1x)+IFERROR(SUM(OSRRefE21_5_1x),0)</f>
        <v>5500</v>
      </c>
    </row>
    <row r="50" spans="1:17" s="34" customFormat="1" collapsed="1" x14ac:dyDescent="0.3">
      <c r="A50" s="35"/>
      <c r="B50" s="14" t="str">
        <f>CONCATENATE("     ","Donations                                         ")</f>
        <v xml:space="preserve">     Donations                                         </v>
      </c>
      <c r="C50" s="14"/>
      <c r="D50" s="1">
        <f>SUM(OSRRefD21_6x_0)</f>
        <v>0</v>
      </c>
      <c r="E50" s="1">
        <f>SUM(OSRRefE21_6x_0)</f>
        <v>26500</v>
      </c>
      <c r="F50" s="1">
        <f>SUM(OSRRefE21_6x_1)</f>
        <v>10000</v>
      </c>
      <c r="G50" s="1">
        <f>SUM(OSRRefE21_6x_2)</f>
        <v>2750</v>
      </c>
      <c r="H50" s="1">
        <f>SUM(OSRRefE21_6x_3)</f>
        <v>500</v>
      </c>
      <c r="I50" s="1">
        <f>SUM(OSRRefE21_6x_4)</f>
        <v>1500</v>
      </c>
      <c r="J50" s="1">
        <f>SUM(OSRRefE21_6x_5)</f>
        <v>10000</v>
      </c>
      <c r="K50" s="1">
        <f>SUM(OSRRefE21_6x_6)</f>
        <v>500</v>
      </c>
      <c r="L50" s="1">
        <f>SUM(OSRRefE21_6x_7)</f>
        <v>500</v>
      </c>
      <c r="M50" s="1">
        <f>SUM(OSRRefE21_6x_8)</f>
        <v>10000</v>
      </c>
      <c r="N50" s="1">
        <f>SUM(OSRRefE21_6x_9)</f>
        <v>500</v>
      </c>
      <c r="O50" s="1">
        <f>SUM(OSRRefE21_6x_10)</f>
        <v>300</v>
      </c>
      <c r="Q50" s="2">
        <f>SUM(OSRRefD20_6x)+IFERROR(SUM(OSRRefE20_6x),0)</f>
        <v>63050</v>
      </c>
    </row>
    <row r="51" spans="1:17" s="34" customFormat="1" hidden="1" outlineLevel="1" x14ac:dyDescent="0.3">
      <c r="A51" s="35"/>
      <c r="B51" s="10" t="str">
        <f>CONCATENATE("          ","6399", " - ","DONATION-ON CAMPUS")</f>
        <v xml:space="preserve">          6399 - DONATION-ON CAMPUS</v>
      </c>
      <c r="C51" s="14"/>
      <c r="D51" s="2"/>
      <c r="E51" s="2">
        <v>26500</v>
      </c>
      <c r="F51" s="2">
        <v>10000</v>
      </c>
      <c r="G51" s="2">
        <v>2750</v>
      </c>
      <c r="H51" s="2">
        <v>500</v>
      </c>
      <c r="I51" s="2">
        <v>1500</v>
      </c>
      <c r="J51" s="2">
        <v>10000</v>
      </c>
      <c r="K51" s="2">
        <v>500</v>
      </c>
      <c r="L51" s="2">
        <v>500</v>
      </c>
      <c r="M51" s="2">
        <v>10000</v>
      </c>
      <c r="N51" s="2">
        <v>500</v>
      </c>
      <c r="O51" s="2">
        <v>300</v>
      </c>
      <c r="P51" s="9"/>
      <c r="Q51" s="2">
        <f>SUM(OSRRefD21_6_0x)+IFERROR(SUM(OSRRefE21_6_0x),0)</f>
        <v>63050</v>
      </c>
    </row>
    <row r="52" spans="1:17" s="34" customFormat="1" collapsed="1" x14ac:dyDescent="0.3">
      <c r="A52" s="35"/>
      <c r="B52" s="14" t="str">
        <f>CONCATENATE("     ","Employees' Appreciation                           ")</f>
        <v xml:space="preserve">     Employees' Appreciation                           </v>
      </c>
      <c r="C52" s="14"/>
      <c r="D52" s="1">
        <f>SUM(OSRRefD21_7x_0)</f>
        <v>0</v>
      </c>
      <c r="E52" s="1">
        <f>SUM(OSRRefE21_7x_0)</f>
        <v>250</v>
      </c>
      <c r="F52" s="1">
        <f>SUM(OSRRefE21_7x_1)</f>
        <v>250</v>
      </c>
      <c r="G52" s="1">
        <f>SUM(OSRRefE21_7x_2)</f>
        <v>250</v>
      </c>
      <c r="H52" s="1">
        <f>SUM(OSRRefE21_7x_3)</f>
        <v>250</v>
      </c>
      <c r="I52" s="1">
        <f>SUM(OSRRefE21_7x_4)</f>
        <v>3250</v>
      </c>
      <c r="J52" s="1">
        <f>SUM(OSRRefE21_7x_5)</f>
        <v>250</v>
      </c>
      <c r="K52" s="1">
        <f>SUM(OSRRefE21_7x_6)</f>
        <v>250</v>
      </c>
      <c r="L52" s="1">
        <f>SUM(OSRRefE21_7x_7)</f>
        <v>250</v>
      </c>
      <c r="M52" s="1">
        <f>SUM(OSRRefE21_7x_8)</f>
        <v>250</v>
      </c>
      <c r="N52" s="1">
        <f>SUM(OSRRefE21_7x_9)</f>
        <v>12750</v>
      </c>
      <c r="O52" s="1">
        <f>SUM(OSRRefE21_7x_10)</f>
        <v>2250</v>
      </c>
      <c r="Q52" s="2">
        <f>SUM(OSRRefD20_7x)+IFERROR(SUM(OSRRefE20_7x),0)</f>
        <v>20250</v>
      </c>
    </row>
    <row r="53" spans="1:17" s="34" customFormat="1" hidden="1" outlineLevel="1" x14ac:dyDescent="0.3">
      <c r="A53" s="35"/>
      <c r="B53" s="10" t="str">
        <f>CONCATENATE("          ","6277", " - ","EMPLOYEE APPRECIATION")</f>
        <v xml:space="preserve">          6277 - EMPLOYEE APPRECIATION</v>
      </c>
      <c r="C53" s="14"/>
      <c r="D53" s="2"/>
      <c r="E53" s="2">
        <v>250</v>
      </c>
      <c r="F53" s="2">
        <v>250</v>
      </c>
      <c r="G53" s="2">
        <v>250</v>
      </c>
      <c r="H53" s="2">
        <v>250</v>
      </c>
      <c r="I53" s="2">
        <v>3250</v>
      </c>
      <c r="J53" s="2">
        <v>250</v>
      </c>
      <c r="K53" s="2">
        <v>250</v>
      </c>
      <c r="L53" s="2">
        <v>250</v>
      </c>
      <c r="M53" s="2">
        <v>250</v>
      </c>
      <c r="N53" s="2">
        <v>12750</v>
      </c>
      <c r="O53" s="2">
        <v>2250</v>
      </c>
      <c r="P53" s="9"/>
      <c r="Q53" s="2">
        <f>SUM(OSRRefD21_7_0x)+IFERROR(SUM(OSRRefE21_7_0x),0)</f>
        <v>20250</v>
      </c>
    </row>
    <row r="54" spans="1:17" s="34" customFormat="1" collapsed="1" x14ac:dyDescent="0.3">
      <c r="A54" s="35"/>
      <c r="B54" s="14" t="str">
        <f>CONCATENATE("     ","Equipment Rental                                  ")</f>
        <v xml:space="preserve">     Equipment Rental                                  </v>
      </c>
      <c r="C54" s="14"/>
      <c r="D54" s="1">
        <f>SUM(OSRRefD21_8x_0)</f>
        <v>208.97</v>
      </c>
      <c r="E54" s="1">
        <f>SUM(OSRRefE21_8x_0)</f>
        <v>284</v>
      </c>
      <c r="F54" s="1">
        <f>SUM(OSRRefE21_8x_1)</f>
        <v>284</v>
      </c>
      <c r="G54" s="1">
        <f>SUM(OSRRefE21_8x_2)</f>
        <v>284</v>
      </c>
      <c r="H54" s="1">
        <f>SUM(OSRRefE21_8x_3)</f>
        <v>284</v>
      </c>
      <c r="I54" s="1">
        <f>SUM(OSRRefE21_8x_4)</f>
        <v>284</v>
      </c>
      <c r="J54" s="1">
        <f>SUM(OSRRefE21_8x_5)</f>
        <v>284</v>
      </c>
      <c r="K54" s="1">
        <f>SUM(OSRRefE21_8x_6)</f>
        <v>284</v>
      </c>
      <c r="L54" s="1">
        <f>SUM(OSRRefE21_8x_7)</f>
        <v>284</v>
      </c>
      <c r="M54" s="1">
        <f>SUM(OSRRefE21_8x_8)</f>
        <v>284</v>
      </c>
      <c r="N54" s="1">
        <f>SUM(OSRRefE21_8x_9)</f>
        <v>284</v>
      </c>
      <c r="O54" s="1">
        <f>SUM(OSRRefE21_8x_10)</f>
        <v>284</v>
      </c>
      <c r="Q54" s="2">
        <f>SUM(OSRRefD20_8x)+IFERROR(SUM(OSRRefE20_8x),0)</f>
        <v>3332.97</v>
      </c>
    </row>
    <row r="55" spans="1:17" s="34" customFormat="1" hidden="1" outlineLevel="1" x14ac:dyDescent="0.3">
      <c r="A55" s="35"/>
      <c r="B55" s="10" t="str">
        <f>CONCATENATE("          ","6351", " - ","EQUIPMENT RENTAL")</f>
        <v xml:space="preserve">          6351 - EQUIPMENT RENTAL</v>
      </c>
      <c r="C55" s="14"/>
      <c r="D55" s="2">
        <v>208.97</v>
      </c>
      <c r="E55" s="2">
        <v>284</v>
      </c>
      <c r="F55" s="2">
        <v>284</v>
      </c>
      <c r="G55" s="2">
        <v>284</v>
      </c>
      <c r="H55" s="2">
        <v>284</v>
      </c>
      <c r="I55" s="2">
        <v>284</v>
      </c>
      <c r="J55" s="2">
        <v>284</v>
      </c>
      <c r="K55" s="2">
        <v>284</v>
      </c>
      <c r="L55" s="2">
        <v>284</v>
      </c>
      <c r="M55" s="2">
        <v>284</v>
      </c>
      <c r="N55" s="2">
        <v>284</v>
      </c>
      <c r="O55" s="2">
        <v>284</v>
      </c>
      <c r="P55" s="9"/>
      <c r="Q55" s="2">
        <f>SUM(OSRRefD21_8_0x)+IFERROR(SUM(OSRRefE21_8_0x),0)</f>
        <v>3332.97</v>
      </c>
    </row>
    <row r="56" spans="1:17" s="34" customFormat="1" collapsed="1" x14ac:dyDescent="0.3">
      <c r="A56" s="35"/>
      <c r="B56" s="14" t="str">
        <f>CONCATENATE("     ","Freight out/Postage                               ")</f>
        <v xml:space="preserve">     Freight out/Postage                               </v>
      </c>
      <c r="C56" s="14"/>
      <c r="D56" s="1">
        <f>SUM(OSRRefD21_9x_0)</f>
        <v>102.73</v>
      </c>
      <c r="E56" s="1">
        <f>SUM(OSRRefE21_9x_0)</f>
        <v>125</v>
      </c>
      <c r="F56" s="1">
        <f>SUM(OSRRefE21_9x_1)</f>
        <v>200</v>
      </c>
      <c r="G56" s="1">
        <f>SUM(OSRRefE21_9x_2)</f>
        <v>125</v>
      </c>
      <c r="H56" s="1">
        <f>SUM(OSRRefE21_9x_3)</f>
        <v>435</v>
      </c>
      <c r="I56" s="1">
        <f>SUM(OSRRefE21_9x_4)</f>
        <v>285</v>
      </c>
      <c r="J56" s="1">
        <f>SUM(OSRRefE21_9x_5)</f>
        <v>210</v>
      </c>
      <c r="K56" s="1">
        <f>SUM(OSRRefE21_9x_6)</f>
        <v>210</v>
      </c>
      <c r="L56" s="1">
        <f>SUM(OSRRefE21_9x_7)</f>
        <v>285</v>
      </c>
      <c r="M56" s="1">
        <f>SUM(OSRRefE21_9x_8)</f>
        <v>210</v>
      </c>
      <c r="N56" s="1">
        <f>SUM(OSRRefE21_9x_9)</f>
        <v>210</v>
      </c>
      <c r="O56" s="1">
        <f>SUM(OSRRefE21_9x_10)</f>
        <v>285</v>
      </c>
      <c r="Q56" s="2">
        <f>SUM(OSRRefD20_9x)+IFERROR(SUM(OSRRefE20_9x),0)</f>
        <v>2682.73</v>
      </c>
    </row>
    <row r="57" spans="1:17" s="34" customFormat="1" hidden="1" outlineLevel="1" x14ac:dyDescent="0.3">
      <c r="A57" s="35"/>
      <c r="B57" s="10" t="str">
        <f>CONCATENATE("          ","6307", " - ","POSTAGE")</f>
        <v xml:space="preserve">          6307 - POSTAGE</v>
      </c>
      <c r="C57" s="14"/>
      <c r="D57" s="2">
        <v>102.73</v>
      </c>
      <c r="E57" s="2">
        <v>125</v>
      </c>
      <c r="F57" s="2">
        <v>200</v>
      </c>
      <c r="G57" s="2">
        <v>125</v>
      </c>
      <c r="H57" s="2">
        <v>435</v>
      </c>
      <c r="I57" s="2">
        <v>285</v>
      </c>
      <c r="J57" s="2">
        <v>210</v>
      </c>
      <c r="K57" s="2">
        <v>210</v>
      </c>
      <c r="L57" s="2">
        <v>285</v>
      </c>
      <c r="M57" s="2">
        <v>210</v>
      </c>
      <c r="N57" s="2">
        <v>210</v>
      </c>
      <c r="O57" s="2">
        <v>285</v>
      </c>
      <c r="P57" s="9"/>
      <c r="Q57" s="2">
        <f>SUM(OSRRefD21_9_0x)+IFERROR(SUM(OSRRefE21_9_0x),0)</f>
        <v>2682.73</v>
      </c>
    </row>
    <row r="58" spans="1:17" s="34" customFormat="1" collapsed="1" x14ac:dyDescent="0.3">
      <c r="A58" s="35"/>
      <c r="B58" s="14" t="str">
        <f>CONCATENATE("     ","General                                           ")</f>
        <v xml:space="preserve">     General                                           </v>
      </c>
      <c r="C58" s="14"/>
      <c r="D58" s="1">
        <f>SUM(OSRRefD21_10x_0)</f>
        <v>1029.5</v>
      </c>
      <c r="E58" s="1">
        <f>SUM(OSRRefE21_10x_0)</f>
        <v>0</v>
      </c>
      <c r="F58" s="1">
        <f>SUM(OSRRefE21_10x_1)</f>
        <v>-150</v>
      </c>
      <c r="G58" s="1">
        <f>SUM(OSRRefE21_10x_2)</f>
        <v>-150</v>
      </c>
      <c r="H58" s="1">
        <f>SUM(OSRRefE21_10x_3)</f>
        <v>-150</v>
      </c>
      <c r="I58" s="1">
        <f>SUM(OSRRefE21_10x_4)</f>
        <v>-150</v>
      </c>
      <c r="J58" s="1">
        <f>SUM(OSRRefE21_10x_5)</f>
        <v>0</v>
      </c>
      <c r="K58" s="1">
        <f>SUM(OSRRefE21_10x_6)</f>
        <v>0</v>
      </c>
      <c r="L58" s="1">
        <f>SUM(OSRRefE21_10x_7)</f>
        <v>-150</v>
      </c>
      <c r="M58" s="1">
        <f>SUM(OSRRefE21_10x_8)</f>
        <v>0</v>
      </c>
      <c r="N58" s="1">
        <f>SUM(OSRRefE21_10x_9)</f>
        <v>0</v>
      </c>
      <c r="O58" s="1">
        <f>SUM(OSRRefE21_10x_10)</f>
        <v>0</v>
      </c>
      <c r="Q58" s="2">
        <f>SUM(OSRRefD20_10x)+IFERROR(SUM(OSRRefE20_10x),0)</f>
        <v>279.5</v>
      </c>
    </row>
    <row r="59" spans="1:17" s="34" customFormat="1" hidden="1" outlineLevel="1" x14ac:dyDescent="0.3">
      <c r="A59" s="35"/>
      <c r="B59" s="10" t="str">
        <f>CONCATENATE("          ","6279", " - ","GENERAL EXPENSE")</f>
        <v xml:space="preserve">          6279 - GENERAL EXPENSE</v>
      </c>
      <c r="C59" s="14"/>
      <c r="D59" s="2">
        <v>1029.5</v>
      </c>
      <c r="E59" s="2">
        <v>0</v>
      </c>
      <c r="F59" s="2">
        <v>-150</v>
      </c>
      <c r="G59" s="2">
        <v>-150</v>
      </c>
      <c r="H59" s="2">
        <v>-150</v>
      </c>
      <c r="I59" s="2">
        <v>-150</v>
      </c>
      <c r="J59" s="2">
        <v>0</v>
      </c>
      <c r="K59" s="2">
        <v>0</v>
      </c>
      <c r="L59" s="2">
        <v>-150</v>
      </c>
      <c r="M59" s="2">
        <v>0</v>
      </c>
      <c r="N59" s="2">
        <v>0</v>
      </c>
      <c r="O59" s="2">
        <v>0</v>
      </c>
      <c r="P59" s="9"/>
      <c r="Q59" s="2">
        <f>SUM(OSRRefD21_10_0x)+IFERROR(SUM(OSRRefE21_10_0x),0)</f>
        <v>279.5</v>
      </c>
    </row>
    <row r="60" spans="1:17" s="34" customFormat="1" collapsed="1" x14ac:dyDescent="0.3">
      <c r="A60" s="35"/>
      <c r="B60" s="14" t="str">
        <f>CONCATENATE("     ","Insurance                                         ")</f>
        <v xml:space="preserve">     Insurance                                         </v>
      </c>
      <c r="C60" s="14"/>
      <c r="D60" s="1">
        <f>SUM(OSRRefD21_11x_0)</f>
        <v>535.05999999999995</v>
      </c>
      <c r="E60" s="1">
        <f>SUM(OSRRefE21_11x_0)</f>
        <v>530</v>
      </c>
      <c r="F60" s="1">
        <f>SUM(OSRRefE21_11x_1)</f>
        <v>530</v>
      </c>
      <c r="G60" s="1">
        <f>SUM(OSRRefE21_11x_2)</f>
        <v>530</v>
      </c>
      <c r="H60" s="1">
        <f>SUM(OSRRefE21_11x_3)</f>
        <v>530</v>
      </c>
      <c r="I60" s="1">
        <f>SUM(OSRRefE21_11x_4)</f>
        <v>530</v>
      </c>
      <c r="J60" s="1">
        <f>SUM(OSRRefE21_11x_5)</f>
        <v>530</v>
      </c>
      <c r="K60" s="1">
        <f>SUM(OSRRefE21_11x_6)</f>
        <v>530</v>
      </c>
      <c r="L60" s="1">
        <f>SUM(OSRRefE21_11x_7)</f>
        <v>530</v>
      </c>
      <c r="M60" s="1">
        <f>SUM(OSRRefE21_11x_8)</f>
        <v>530</v>
      </c>
      <c r="N60" s="1">
        <f>SUM(OSRRefE21_11x_9)</f>
        <v>530</v>
      </c>
      <c r="O60" s="1">
        <f>SUM(OSRRefE21_11x_10)</f>
        <v>530</v>
      </c>
      <c r="Q60" s="2">
        <f>SUM(OSRRefD20_11x)+IFERROR(SUM(OSRRefE20_11x),0)</f>
        <v>6365.0599999999995</v>
      </c>
    </row>
    <row r="61" spans="1:17" s="34" customFormat="1" hidden="1" outlineLevel="1" x14ac:dyDescent="0.3">
      <c r="A61" s="35"/>
      <c r="B61" s="10" t="str">
        <f>CONCATENATE("          ","6314", " - ","LIABILITY INSURANCE")</f>
        <v xml:space="preserve">          6314 - LIABILITY INSURANCE</v>
      </c>
      <c r="C61" s="14"/>
      <c r="D61" s="2">
        <v>535.05999999999995</v>
      </c>
      <c r="E61" s="2">
        <v>530</v>
      </c>
      <c r="F61" s="2">
        <v>530</v>
      </c>
      <c r="G61" s="2">
        <v>530</v>
      </c>
      <c r="H61" s="2">
        <v>530</v>
      </c>
      <c r="I61" s="2">
        <v>530</v>
      </c>
      <c r="J61" s="2">
        <v>530</v>
      </c>
      <c r="K61" s="2">
        <v>530</v>
      </c>
      <c r="L61" s="2">
        <v>530</v>
      </c>
      <c r="M61" s="2">
        <v>530</v>
      </c>
      <c r="N61" s="2">
        <v>530</v>
      </c>
      <c r="O61" s="2">
        <v>530</v>
      </c>
      <c r="P61" s="9"/>
      <c r="Q61" s="2">
        <f>SUM(OSRRefD21_11_0x)+IFERROR(SUM(OSRRefE21_11_0x),0)</f>
        <v>6365.0599999999995</v>
      </c>
    </row>
    <row r="62" spans="1:17" s="34" customFormat="1" collapsed="1" x14ac:dyDescent="0.3">
      <c r="A62" s="35"/>
      <c r="B62" s="14" t="str">
        <f>CONCATENATE("     ","Professional Services                             ")</f>
        <v xml:space="preserve">     Professional Services                             </v>
      </c>
      <c r="C62" s="14"/>
      <c r="D62" s="1">
        <f>SUM(OSRRefD21_12x_0)</f>
        <v>4950</v>
      </c>
      <c r="E62" s="1">
        <f>SUM(OSRRefE21_12x_0)</f>
        <v>1666</v>
      </c>
      <c r="F62" s="1">
        <f>SUM(OSRRefE21_12x_1)</f>
        <v>14666</v>
      </c>
      <c r="G62" s="1">
        <f>SUM(OSRRefE21_12x_2)</f>
        <v>31666</v>
      </c>
      <c r="H62" s="1">
        <f>SUM(OSRRefE21_12x_3)</f>
        <v>30166</v>
      </c>
      <c r="I62" s="1">
        <f>SUM(OSRRefE21_12x_4)</f>
        <v>4666</v>
      </c>
      <c r="J62" s="1">
        <f>SUM(OSRRefE21_12x_5)</f>
        <v>19666</v>
      </c>
      <c r="K62" s="1">
        <f>SUM(OSRRefE21_12x_6)</f>
        <v>1666</v>
      </c>
      <c r="L62" s="1">
        <f>SUM(OSRRefE21_12x_7)</f>
        <v>10666</v>
      </c>
      <c r="M62" s="1">
        <f>SUM(OSRRefE21_12x_8)</f>
        <v>14666</v>
      </c>
      <c r="N62" s="1">
        <f>SUM(OSRRefE21_12x_9)</f>
        <v>2666</v>
      </c>
      <c r="O62" s="1">
        <f>SUM(OSRRefE21_12x_10)</f>
        <v>1674</v>
      </c>
      <c r="Q62" s="2">
        <f>SUM(OSRRefD20_12x)+IFERROR(SUM(OSRRefE20_12x),0)</f>
        <v>138784</v>
      </c>
    </row>
    <row r="63" spans="1:17" s="34" customFormat="1" hidden="1" outlineLevel="1" x14ac:dyDescent="0.3">
      <c r="A63" s="35"/>
      <c r="B63" s="10" t="str">
        <f>CONCATENATE("          ","6331", " - ","INDIRECT COSTS-AUXILIARY ORGAN")</f>
        <v xml:space="preserve">          6331 - INDIRECT COSTS-AUXILIARY ORGAN</v>
      </c>
      <c r="C63" s="14"/>
      <c r="D63" s="2"/>
      <c r="E63" s="2">
        <v>0</v>
      </c>
      <c r="F63" s="2">
        <v>12000</v>
      </c>
      <c r="G63" s="2">
        <v>28000</v>
      </c>
      <c r="H63" s="2">
        <v>19000</v>
      </c>
      <c r="I63" s="2">
        <v>3000</v>
      </c>
      <c r="J63" s="2">
        <v>15000</v>
      </c>
      <c r="K63" s="2">
        <v>0</v>
      </c>
      <c r="L63" s="2">
        <v>0</v>
      </c>
      <c r="M63" s="2">
        <v>13000</v>
      </c>
      <c r="N63" s="2">
        <v>0</v>
      </c>
      <c r="O63" s="2">
        <v>0</v>
      </c>
      <c r="P63" s="9"/>
      <c r="Q63" s="2">
        <f>SUM(OSRRefD21_12_0x)+IFERROR(SUM(OSRRefE21_12_0x),0)</f>
        <v>90000</v>
      </c>
    </row>
    <row r="64" spans="1:17" s="34" customFormat="1" hidden="1" outlineLevel="1" x14ac:dyDescent="0.3">
      <c r="A64" s="35"/>
      <c r="B64" s="10" t="str">
        <f>CONCATENATE("          ","6332", " - ","CONSULTANT FEES")</f>
        <v xml:space="preserve">          6332 - CONSULTANT FEES</v>
      </c>
      <c r="C64" s="14"/>
      <c r="D64" s="2"/>
      <c r="E64" s="2">
        <v>0</v>
      </c>
      <c r="F64" s="2">
        <v>0</v>
      </c>
      <c r="G64" s="2">
        <v>2000</v>
      </c>
      <c r="H64" s="2">
        <v>3000</v>
      </c>
      <c r="I64" s="2">
        <v>0</v>
      </c>
      <c r="J64" s="2">
        <v>3000</v>
      </c>
      <c r="K64" s="2">
        <v>0</v>
      </c>
      <c r="L64" s="2">
        <v>8000</v>
      </c>
      <c r="M64" s="2">
        <v>0</v>
      </c>
      <c r="N64" s="2">
        <v>0</v>
      </c>
      <c r="O64" s="2">
        <v>0</v>
      </c>
      <c r="P64" s="9"/>
      <c r="Q64" s="2">
        <f>SUM(OSRRefD21_12_1x)+IFERROR(SUM(OSRRefE21_12_1x),0)</f>
        <v>16000</v>
      </c>
    </row>
    <row r="65" spans="1:17" s="34" customFormat="1" hidden="1" outlineLevel="1" x14ac:dyDescent="0.3">
      <c r="A65" s="35"/>
      <c r="B65" s="10" t="str">
        <f>CONCATENATE("          ","6334", " - ","LEGAL COUNCIL EXPENSE")</f>
        <v xml:space="preserve">          6334 - LEGAL COUNCIL EXPENSE</v>
      </c>
      <c r="C65" s="14"/>
      <c r="D65" s="2">
        <v>3255</v>
      </c>
      <c r="E65" s="2">
        <v>833</v>
      </c>
      <c r="F65" s="2">
        <v>1833</v>
      </c>
      <c r="G65" s="2">
        <v>833</v>
      </c>
      <c r="H65" s="2">
        <v>2333</v>
      </c>
      <c r="I65" s="2">
        <v>833</v>
      </c>
      <c r="J65" s="2">
        <v>833</v>
      </c>
      <c r="K65" s="2">
        <v>833</v>
      </c>
      <c r="L65" s="2">
        <v>1833</v>
      </c>
      <c r="M65" s="2">
        <v>833</v>
      </c>
      <c r="N65" s="2">
        <v>1833</v>
      </c>
      <c r="O65" s="2">
        <v>837</v>
      </c>
      <c r="P65" s="9"/>
      <c r="Q65" s="2">
        <f>SUM(OSRRefD21_12_2x)+IFERROR(SUM(OSRRefE21_12_2x),0)</f>
        <v>16922</v>
      </c>
    </row>
    <row r="66" spans="1:17" s="34" customFormat="1" hidden="1" outlineLevel="1" x14ac:dyDescent="0.3">
      <c r="A66" s="35"/>
      <c r="B66" s="10" t="str">
        <f>CONCATENATE("          ","6336", " - ","PROFESSIONAL SERVICES")</f>
        <v xml:space="preserve">          6336 - PROFESSIONAL SERVICES</v>
      </c>
      <c r="C66" s="14"/>
      <c r="D66" s="2">
        <v>1695</v>
      </c>
      <c r="E66" s="2">
        <v>833</v>
      </c>
      <c r="F66" s="2">
        <v>833</v>
      </c>
      <c r="G66" s="2">
        <v>833</v>
      </c>
      <c r="H66" s="2">
        <v>5833</v>
      </c>
      <c r="I66" s="2">
        <v>833</v>
      </c>
      <c r="J66" s="2">
        <v>833</v>
      </c>
      <c r="K66" s="2">
        <v>833</v>
      </c>
      <c r="L66" s="2">
        <v>833</v>
      </c>
      <c r="M66" s="2">
        <v>833</v>
      </c>
      <c r="N66" s="2">
        <v>833</v>
      </c>
      <c r="O66" s="2">
        <v>837</v>
      </c>
      <c r="P66" s="9"/>
      <c r="Q66" s="2">
        <f>SUM(OSRRefD21_12_3x)+IFERROR(SUM(OSRRefE21_12_3x),0)</f>
        <v>15862</v>
      </c>
    </row>
    <row r="67" spans="1:17" s="34" customFormat="1" collapsed="1" x14ac:dyDescent="0.3">
      <c r="A67" s="35"/>
      <c r="B67" s="14" t="str">
        <f>CONCATENATE("     ","Repair and Maintenance                            ")</f>
        <v xml:space="preserve">     Repair and Maintenance                            </v>
      </c>
      <c r="C67" s="14"/>
      <c r="D67" s="1">
        <f>SUM(OSRRefD21_13x_0)</f>
        <v>16734.04</v>
      </c>
      <c r="E67" s="1">
        <f>SUM(OSRRefE21_13x_0)</f>
        <v>21607</v>
      </c>
      <c r="F67" s="1">
        <f>SUM(OSRRefE21_13x_1)</f>
        <v>22307</v>
      </c>
      <c r="G67" s="1">
        <f>SUM(OSRRefE21_13x_2)</f>
        <v>22307</v>
      </c>
      <c r="H67" s="1">
        <f>SUM(OSRRefE21_13x_3)</f>
        <v>22307</v>
      </c>
      <c r="I67" s="1">
        <f>SUM(OSRRefE21_13x_4)</f>
        <v>22307</v>
      </c>
      <c r="J67" s="1">
        <f>SUM(OSRRefE21_13x_5)</f>
        <v>26807</v>
      </c>
      <c r="K67" s="1">
        <f>SUM(OSRRefE21_13x_6)</f>
        <v>33307</v>
      </c>
      <c r="L67" s="1">
        <f>SUM(OSRRefE21_13x_7)</f>
        <v>40307</v>
      </c>
      <c r="M67" s="1">
        <f>SUM(OSRRefE21_13x_8)</f>
        <v>27807</v>
      </c>
      <c r="N67" s="1">
        <f>SUM(OSRRefE21_13x_9)</f>
        <v>22307</v>
      </c>
      <c r="O67" s="1">
        <f>SUM(OSRRefE21_13x_10)</f>
        <v>22307</v>
      </c>
      <c r="Q67" s="2">
        <f>SUM(OSRRefD20_13x)+IFERROR(SUM(OSRRefE20_13x),0)</f>
        <v>300411.03999999998</v>
      </c>
    </row>
    <row r="68" spans="1:17" s="34" customFormat="1" hidden="1" outlineLevel="1" x14ac:dyDescent="0.3">
      <c r="A68" s="35"/>
      <c r="B68" s="10" t="str">
        <f>CONCATENATE("          ","6371", " - ","COMPUTER SOFTWARE MAINTENANCE")</f>
        <v xml:space="preserve">          6371 - COMPUTER SOFTWARE MAINTENANCE</v>
      </c>
      <c r="C68" s="14"/>
      <c r="D68" s="2">
        <v>3783.88</v>
      </c>
      <c r="E68" s="2">
        <v>9600</v>
      </c>
      <c r="F68" s="2">
        <v>9600</v>
      </c>
      <c r="G68" s="2">
        <v>9600</v>
      </c>
      <c r="H68" s="2">
        <v>9600</v>
      </c>
      <c r="I68" s="2">
        <v>9600</v>
      </c>
      <c r="J68" s="2">
        <v>9600</v>
      </c>
      <c r="K68" s="2">
        <v>20600</v>
      </c>
      <c r="L68" s="2">
        <v>27600</v>
      </c>
      <c r="M68" s="2">
        <v>14600</v>
      </c>
      <c r="N68" s="2">
        <v>9600</v>
      </c>
      <c r="O68" s="2">
        <v>9600</v>
      </c>
      <c r="P68" s="9"/>
      <c r="Q68" s="2">
        <f>SUM(OSRRefD21_13_0x)+IFERROR(SUM(OSRRefE21_13_0x),0)</f>
        <v>143383.88</v>
      </c>
    </row>
    <row r="69" spans="1:17" s="34" customFormat="1" hidden="1" outlineLevel="1" x14ac:dyDescent="0.3">
      <c r="A69" s="35"/>
      <c r="B69" s="10" t="str">
        <f>CONCATENATE("          ","6372", " - ","COMPUTER HARDWARE MAINTENANCE")</f>
        <v xml:space="preserve">          6372 - COMPUTER HARDWARE MAINTENANCE</v>
      </c>
      <c r="C69" s="14"/>
      <c r="D69" s="2"/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/>
      <c r="L69" s="2"/>
      <c r="M69" s="2"/>
      <c r="N69" s="2"/>
      <c r="O69" s="2"/>
      <c r="P69" s="9"/>
      <c r="Q69" s="2">
        <f>SUM(OSRRefD21_13_1x)+IFERROR(SUM(OSRRefE21_13_1x),0)</f>
        <v>0</v>
      </c>
    </row>
    <row r="70" spans="1:17" s="34" customFormat="1" hidden="1" outlineLevel="1" x14ac:dyDescent="0.3">
      <c r="A70" s="35"/>
      <c r="B70" s="10" t="str">
        <f>CONCATENATE("          ","6373", " - ","MAINTENANCE CONTRACTS")</f>
        <v xml:space="preserve">          6373 - MAINTENANCE CONTRACTS</v>
      </c>
      <c r="C70" s="14"/>
      <c r="D70" s="2">
        <v>12950.16</v>
      </c>
      <c r="E70" s="2">
        <v>11857</v>
      </c>
      <c r="F70" s="2">
        <v>12557</v>
      </c>
      <c r="G70" s="2">
        <v>12557</v>
      </c>
      <c r="H70" s="2">
        <v>12557</v>
      </c>
      <c r="I70" s="2">
        <v>12557</v>
      </c>
      <c r="J70" s="2">
        <v>17057</v>
      </c>
      <c r="K70" s="2">
        <v>12557</v>
      </c>
      <c r="L70" s="2">
        <v>12557</v>
      </c>
      <c r="M70" s="2">
        <v>13057</v>
      </c>
      <c r="N70" s="2">
        <v>12557</v>
      </c>
      <c r="O70" s="2">
        <v>12557</v>
      </c>
      <c r="P70" s="9"/>
      <c r="Q70" s="2">
        <f>SUM(OSRRefD21_13_2x)+IFERROR(SUM(OSRRefE21_13_2x),0)</f>
        <v>155377.16</v>
      </c>
    </row>
    <row r="71" spans="1:17" s="34" customFormat="1" hidden="1" outlineLevel="1" x14ac:dyDescent="0.3">
      <c r="A71" s="35"/>
      <c r="B71" s="10" t="str">
        <f>CONCATENATE("          ","6375", " - ","OUTSIDE REPAIRS &amp; MAINTENANCE")</f>
        <v xml:space="preserve">          6375 - OUTSIDE REPAIRS &amp; MAINTENANCE</v>
      </c>
      <c r="C71" s="14"/>
      <c r="D71" s="2">
        <v>0</v>
      </c>
      <c r="E71" s="2">
        <v>150</v>
      </c>
      <c r="F71" s="2">
        <v>150</v>
      </c>
      <c r="G71" s="2">
        <v>150</v>
      </c>
      <c r="H71" s="2">
        <v>150</v>
      </c>
      <c r="I71" s="2">
        <v>150</v>
      </c>
      <c r="J71" s="2">
        <v>150</v>
      </c>
      <c r="K71" s="2">
        <v>150</v>
      </c>
      <c r="L71" s="2">
        <v>150</v>
      </c>
      <c r="M71" s="2">
        <v>150</v>
      </c>
      <c r="N71" s="2">
        <v>150</v>
      </c>
      <c r="O71" s="2">
        <v>150</v>
      </c>
      <c r="P71" s="9"/>
      <c r="Q71" s="2">
        <f>SUM(OSRRefD21_13_3x)+IFERROR(SUM(OSRRefE21_13_3x),0)</f>
        <v>1650</v>
      </c>
    </row>
    <row r="72" spans="1:17" s="34" customFormat="1" collapsed="1" x14ac:dyDescent="0.3">
      <c r="A72" s="35"/>
      <c r="B72" s="14" t="str">
        <f>CONCATENATE("     ","Services                                          ")</f>
        <v xml:space="preserve">     Services                                          </v>
      </c>
      <c r="C72" s="14"/>
      <c r="D72" s="1">
        <f>SUM(OSRRefD21_14x_0)</f>
        <v>0</v>
      </c>
      <c r="E72" s="1">
        <f>SUM(OSRRefE21_14x_0)</f>
        <v>650</v>
      </c>
      <c r="F72" s="1">
        <f>SUM(OSRRefE21_14x_1)</f>
        <v>650</v>
      </c>
      <c r="G72" s="1">
        <f>SUM(OSRRefE21_14x_2)</f>
        <v>650</v>
      </c>
      <c r="H72" s="1">
        <f>SUM(OSRRefE21_14x_3)</f>
        <v>650</v>
      </c>
      <c r="I72" s="1">
        <f>SUM(OSRRefE21_14x_4)</f>
        <v>650</v>
      </c>
      <c r="J72" s="1">
        <f>SUM(OSRRefE21_14x_5)</f>
        <v>650</v>
      </c>
      <c r="K72" s="1">
        <f>SUM(OSRRefE21_14x_6)</f>
        <v>650</v>
      </c>
      <c r="L72" s="1">
        <f>SUM(OSRRefE21_14x_7)</f>
        <v>650</v>
      </c>
      <c r="M72" s="1">
        <f>SUM(OSRRefE21_14x_8)</f>
        <v>650</v>
      </c>
      <c r="N72" s="1">
        <f>SUM(OSRRefE21_14x_9)</f>
        <v>650</v>
      </c>
      <c r="O72" s="1">
        <f>SUM(OSRRefE21_14x_10)</f>
        <v>650</v>
      </c>
      <c r="Q72" s="2">
        <f>SUM(OSRRefD20_14x)+IFERROR(SUM(OSRRefE20_14x),0)</f>
        <v>7150</v>
      </c>
    </row>
    <row r="73" spans="1:17" s="34" customFormat="1" hidden="1" outlineLevel="1" x14ac:dyDescent="0.3">
      <c r="A73" s="35"/>
      <c r="B73" s="10" t="str">
        <f>CONCATENATE("          ","6281", " - ","STORAGE FEE")</f>
        <v xml:space="preserve">          6281 - STORAGE FEE</v>
      </c>
      <c r="C73" s="14"/>
      <c r="D73" s="2"/>
      <c r="E73" s="2">
        <v>625</v>
      </c>
      <c r="F73" s="2">
        <v>625</v>
      </c>
      <c r="G73" s="2">
        <v>625</v>
      </c>
      <c r="H73" s="2">
        <v>625</v>
      </c>
      <c r="I73" s="2">
        <v>625</v>
      </c>
      <c r="J73" s="2">
        <v>625</v>
      </c>
      <c r="K73" s="2">
        <v>625</v>
      </c>
      <c r="L73" s="2">
        <v>625</v>
      </c>
      <c r="M73" s="2">
        <v>625</v>
      </c>
      <c r="N73" s="2">
        <v>625</v>
      </c>
      <c r="O73" s="2">
        <v>625</v>
      </c>
      <c r="P73" s="9"/>
      <c r="Q73" s="2">
        <f>SUM(OSRRefD21_14_0x)+IFERROR(SUM(OSRRefE21_14_0x),0)</f>
        <v>6875</v>
      </c>
    </row>
    <row r="74" spans="1:17" s="34" customFormat="1" hidden="1" outlineLevel="1" x14ac:dyDescent="0.3">
      <c r="A74" s="35"/>
      <c r="B74" s="10" t="str">
        <f>CONCATENATE("          ","6286", " - ","LAUNDRY EXPENSE")</f>
        <v xml:space="preserve">          6286 - LAUNDRY EXPENSE</v>
      </c>
      <c r="C74" s="14"/>
      <c r="D74" s="2"/>
      <c r="E74" s="2">
        <v>25</v>
      </c>
      <c r="F74" s="2">
        <v>25</v>
      </c>
      <c r="G74" s="2">
        <v>25</v>
      </c>
      <c r="H74" s="2">
        <v>25</v>
      </c>
      <c r="I74" s="2">
        <v>25</v>
      </c>
      <c r="J74" s="2">
        <v>25</v>
      </c>
      <c r="K74" s="2">
        <v>25</v>
      </c>
      <c r="L74" s="2">
        <v>25</v>
      </c>
      <c r="M74" s="2">
        <v>25</v>
      </c>
      <c r="N74" s="2">
        <v>25</v>
      </c>
      <c r="O74" s="2">
        <v>25</v>
      </c>
      <c r="P74" s="9"/>
      <c r="Q74" s="2">
        <f>SUM(OSRRefD21_14_1x)+IFERROR(SUM(OSRRefE21_14_1x),0)</f>
        <v>275</v>
      </c>
    </row>
    <row r="75" spans="1:17" s="34" customFormat="1" collapsed="1" x14ac:dyDescent="0.3">
      <c r="A75" s="35"/>
      <c r="B75" s="14" t="str">
        <f>CONCATENATE("     ","Subscriptions &amp; Dues                              ")</f>
        <v xml:space="preserve">     Subscriptions &amp; Dues                              </v>
      </c>
      <c r="C75" s="14"/>
      <c r="D75" s="1">
        <f>SUM(OSRRefD21_15x_0)</f>
        <v>219</v>
      </c>
      <c r="E75" s="1">
        <f>SUM(OSRRefE21_15x_0)</f>
        <v>725</v>
      </c>
      <c r="F75" s="1">
        <f>SUM(OSRRefE21_15x_1)</f>
        <v>1000</v>
      </c>
      <c r="G75" s="1">
        <f>SUM(OSRRefE21_15x_2)</f>
        <v>1000</v>
      </c>
      <c r="H75" s="1">
        <f>SUM(OSRRefE21_15x_3)</f>
        <v>0</v>
      </c>
      <c r="I75" s="1">
        <f>SUM(OSRRefE21_15x_4)</f>
        <v>600</v>
      </c>
      <c r="J75" s="1">
        <f>SUM(OSRRefE21_15x_5)</f>
        <v>250</v>
      </c>
      <c r="K75" s="1">
        <f>SUM(OSRRefE21_15x_6)</f>
        <v>0</v>
      </c>
      <c r="L75" s="1">
        <f>SUM(OSRRefE21_15x_7)</f>
        <v>0</v>
      </c>
      <c r="M75" s="1">
        <f>SUM(OSRRefE21_15x_8)</f>
        <v>4668</v>
      </c>
      <c r="N75" s="1">
        <f>SUM(OSRRefE21_15x_9)</f>
        <v>1550</v>
      </c>
      <c r="O75" s="1">
        <f>SUM(OSRRefE21_15x_10)</f>
        <v>230</v>
      </c>
      <c r="Q75" s="2">
        <f>SUM(OSRRefD20_15x)+IFERROR(SUM(OSRRefE20_15x),0)</f>
        <v>10242</v>
      </c>
    </row>
    <row r="76" spans="1:17" s="34" customFormat="1" hidden="1" outlineLevel="1" x14ac:dyDescent="0.3">
      <c r="A76" s="35"/>
      <c r="B76" s="10" t="str">
        <f>CONCATENATE("          ","6258", " - ","MEMBERSHIP DUES")</f>
        <v xml:space="preserve">          6258 - MEMBERSHIP DUES</v>
      </c>
      <c r="C76" s="14"/>
      <c r="D76" s="2">
        <v>219</v>
      </c>
      <c r="E76" s="2">
        <v>725</v>
      </c>
      <c r="F76" s="2">
        <v>1000</v>
      </c>
      <c r="G76" s="2">
        <v>1000</v>
      </c>
      <c r="H76" s="2"/>
      <c r="I76" s="2"/>
      <c r="J76" s="2">
        <v>250</v>
      </c>
      <c r="K76" s="2"/>
      <c r="L76" s="2"/>
      <c r="M76" s="2">
        <v>4668</v>
      </c>
      <c r="N76" s="2">
        <v>1550</v>
      </c>
      <c r="O76" s="2">
        <v>230</v>
      </c>
      <c r="P76" s="9"/>
      <c r="Q76" s="2">
        <f>SUM(OSRRefD21_15_0x)+IFERROR(SUM(OSRRefE21_15_0x),0)</f>
        <v>9642</v>
      </c>
    </row>
    <row r="77" spans="1:17" s="34" customFormat="1" hidden="1" outlineLevel="1" x14ac:dyDescent="0.3">
      <c r="A77" s="35"/>
      <c r="B77" s="10" t="str">
        <f>CONCATENATE("          ","6275", " - ","SUBSCRIPTIONS")</f>
        <v xml:space="preserve">          6275 - SUBSCRIPTIONS</v>
      </c>
      <c r="C77" s="14"/>
      <c r="D77" s="2"/>
      <c r="E77" s="2"/>
      <c r="F77" s="2"/>
      <c r="G77" s="2"/>
      <c r="H77" s="2"/>
      <c r="I77" s="2">
        <v>600</v>
      </c>
      <c r="J77" s="2"/>
      <c r="K77" s="2"/>
      <c r="L77" s="2"/>
      <c r="M77" s="2"/>
      <c r="N77" s="2"/>
      <c r="O77" s="2"/>
      <c r="P77" s="9"/>
      <c r="Q77" s="2">
        <f>SUM(OSRRefD21_15_1x)+IFERROR(SUM(OSRRefE21_15_1x),0)</f>
        <v>600</v>
      </c>
    </row>
    <row r="78" spans="1:17" s="34" customFormat="1" collapsed="1" x14ac:dyDescent="0.3">
      <c r="A78" s="35"/>
      <c r="B78" s="14" t="str">
        <f>CONCATENATE("     ","Supplies                                          ")</f>
        <v xml:space="preserve">     Supplies                                          </v>
      </c>
      <c r="C78" s="14"/>
      <c r="D78" s="1">
        <f>SUM(OSRRefD21_16x_0)</f>
        <v>3414.08</v>
      </c>
      <c r="E78" s="1">
        <f>SUM(OSRRefE21_16x_0)</f>
        <v>2784</v>
      </c>
      <c r="F78" s="1">
        <f>SUM(OSRRefE21_16x_1)</f>
        <v>2784</v>
      </c>
      <c r="G78" s="1">
        <f>SUM(OSRRefE21_16x_2)</f>
        <v>2784</v>
      </c>
      <c r="H78" s="1">
        <f>SUM(OSRRefE21_16x_3)</f>
        <v>2784</v>
      </c>
      <c r="I78" s="1">
        <f>SUM(OSRRefE21_16x_4)</f>
        <v>2784</v>
      </c>
      <c r="J78" s="1">
        <f>SUM(OSRRefE21_16x_5)</f>
        <v>2784</v>
      </c>
      <c r="K78" s="1">
        <f>SUM(OSRRefE21_16x_6)</f>
        <v>2784</v>
      </c>
      <c r="L78" s="1">
        <f>SUM(OSRRefE21_16x_7)</f>
        <v>2784</v>
      </c>
      <c r="M78" s="1">
        <f>SUM(OSRRefE21_16x_8)</f>
        <v>2784</v>
      </c>
      <c r="N78" s="1">
        <f>SUM(OSRRefE21_16x_9)</f>
        <v>2784</v>
      </c>
      <c r="O78" s="1">
        <f>SUM(OSRRefE21_16x_10)</f>
        <v>2776</v>
      </c>
      <c r="Q78" s="2">
        <f>SUM(OSRRefD20_16x)+IFERROR(SUM(OSRRefE20_16x),0)</f>
        <v>34030.080000000002</v>
      </c>
    </row>
    <row r="79" spans="1:17" s="34" customFormat="1" hidden="1" outlineLevel="1" x14ac:dyDescent="0.3">
      <c r="A79" s="35"/>
      <c r="B79" s="10" t="str">
        <f>CONCATENATE("          ","6234", " - ","EXPENDABLE SUPPLIES &amp; EQUIPMEN")</f>
        <v xml:space="preserve">          6234 - EXPENDABLE SUPPLIES &amp; EQUIPMEN</v>
      </c>
      <c r="C79" s="14"/>
      <c r="D79" s="2"/>
      <c r="E79" s="2">
        <v>125</v>
      </c>
      <c r="F79" s="2">
        <v>125</v>
      </c>
      <c r="G79" s="2">
        <v>125</v>
      </c>
      <c r="H79" s="2">
        <v>125</v>
      </c>
      <c r="I79" s="2">
        <v>125</v>
      </c>
      <c r="J79" s="2">
        <v>125</v>
      </c>
      <c r="K79" s="2">
        <v>125</v>
      </c>
      <c r="L79" s="2">
        <v>125</v>
      </c>
      <c r="M79" s="2">
        <v>125</v>
      </c>
      <c r="N79" s="2">
        <v>125</v>
      </c>
      <c r="O79" s="2">
        <v>125</v>
      </c>
      <c r="P79" s="9"/>
      <c r="Q79" s="2">
        <f>SUM(OSRRefD21_16_0x)+IFERROR(SUM(OSRRefE21_16_0x),0)</f>
        <v>1375</v>
      </c>
    </row>
    <row r="80" spans="1:17" s="34" customFormat="1" hidden="1" outlineLevel="1" x14ac:dyDescent="0.3">
      <c r="A80" s="35"/>
      <c r="B80" s="10" t="str">
        <f>CONCATENATE("          ","6235", " - ","COVID-19 EXPENSES")</f>
        <v xml:space="preserve">          6235 - COVID-19 EXPENSES</v>
      </c>
      <c r="C80" s="14"/>
      <c r="D80" s="2">
        <v>2447.77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2">
        <f>SUM(OSRRefD21_16_1x)+IFERROR(SUM(OSRRefE21_16_1x),0)</f>
        <v>2447.77</v>
      </c>
    </row>
    <row r="81" spans="1:17" s="34" customFormat="1" hidden="1" outlineLevel="1" x14ac:dyDescent="0.3">
      <c r="A81" s="35"/>
      <c r="B81" s="10" t="str">
        <f>CONCATENATE("          ","6241", " - ","OFFICE EXPENSE")</f>
        <v xml:space="preserve">          6241 - OFFICE EXPENSE</v>
      </c>
      <c r="C81" s="14"/>
      <c r="D81" s="2">
        <v>791.31</v>
      </c>
      <c r="E81" s="2">
        <v>2242</v>
      </c>
      <c r="F81" s="2">
        <v>2242</v>
      </c>
      <c r="G81" s="2">
        <v>2242</v>
      </c>
      <c r="H81" s="2">
        <v>2242</v>
      </c>
      <c r="I81" s="2">
        <v>2242</v>
      </c>
      <c r="J81" s="2">
        <v>2242</v>
      </c>
      <c r="K81" s="2">
        <v>2242</v>
      </c>
      <c r="L81" s="2">
        <v>2242</v>
      </c>
      <c r="M81" s="2">
        <v>2242</v>
      </c>
      <c r="N81" s="2">
        <v>2242</v>
      </c>
      <c r="O81" s="2">
        <v>2238</v>
      </c>
      <c r="P81" s="9"/>
      <c r="Q81" s="2">
        <f>SUM(OSRRefD21_16_2x)+IFERROR(SUM(OSRRefE21_16_2x),0)</f>
        <v>25449.31</v>
      </c>
    </row>
    <row r="82" spans="1:17" s="34" customFormat="1" hidden="1" outlineLevel="1" x14ac:dyDescent="0.3">
      <c r="A82" s="35"/>
      <c r="B82" s="10" t="str">
        <f>CONCATENATE("          ","6244", " - ","SAFETY SUPPLY EXPENSE")</f>
        <v xml:space="preserve">          6244 - SAFETY SUPPLY EXPENSE</v>
      </c>
      <c r="C82" s="14"/>
      <c r="D82" s="2">
        <v>175</v>
      </c>
      <c r="E82" s="2">
        <v>417</v>
      </c>
      <c r="F82" s="2">
        <v>417</v>
      </c>
      <c r="G82" s="2">
        <v>417</v>
      </c>
      <c r="H82" s="2">
        <v>417</v>
      </c>
      <c r="I82" s="2">
        <v>417</v>
      </c>
      <c r="J82" s="2">
        <v>417</v>
      </c>
      <c r="K82" s="2">
        <v>417</v>
      </c>
      <c r="L82" s="2">
        <v>417</v>
      </c>
      <c r="M82" s="2">
        <v>417</v>
      </c>
      <c r="N82" s="2">
        <v>417</v>
      </c>
      <c r="O82" s="2">
        <v>413</v>
      </c>
      <c r="P82" s="9"/>
      <c r="Q82" s="2">
        <f>SUM(OSRRefD21_16_3x)+IFERROR(SUM(OSRRefE21_16_3x),0)</f>
        <v>4758</v>
      </c>
    </row>
    <row r="83" spans="1:17" s="34" customFormat="1" hidden="1" outlineLevel="1" x14ac:dyDescent="0.3">
      <c r="A83" s="35"/>
      <c r="B83" s="10" t="str">
        <f>CONCATENATE("          ","6248", " - ","UNIFORMS")</f>
        <v xml:space="preserve">          6248 - UNIFORMS</v>
      </c>
      <c r="C83" s="14"/>
      <c r="D83" s="2"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2">
        <f>SUM(OSRRefD21_16_4x)+IFERROR(SUM(OSRRefE21_16_4x),0)</f>
        <v>0</v>
      </c>
    </row>
    <row r="84" spans="1:17" s="34" customFormat="1" collapsed="1" x14ac:dyDescent="0.3">
      <c r="A84" s="35"/>
      <c r="B84" s="14" t="str">
        <f>CONCATENATE("     ","Telephone/Data Lines                              ")</f>
        <v xml:space="preserve">     Telephone/Data Lines                              </v>
      </c>
      <c r="C84" s="14"/>
      <c r="D84" s="1">
        <f>SUM(OSRRefD21_17x_0)</f>
        <v>2515.34</v>
      </c>
      <c r="E84" s="1">
        <f>SUM(OSRRefE21_17x_0)</f>
        <v>1805</v>
      </c>
      <c r="F84" s="1">
        <f>SUM(OSRRefE21_17x_1)</f>
        <v>1805</v>
      </c>
      <c r="G84" s="1">
        <f>SUM(OSRRefE21_17x_2)</f>
        <v>1805</v>
      </c>
      <c r="H84" s="1">
        <f>SUM(OSRRefE21_17x_3)</f>
        <v>1805</v>
      </c>
      <c r="I84" s="1">
        <f>SUM(OSRRefE21_17x_4)</f>
        <v>1805</v>
      </c>
      <c r="J84" s="1">
        <f>SUM(OSRRefE21_17x_5)</f>
        <v>1805</v>
      </c>
      <c r="K84" s="1">
        <f>SUM(OSRRefE21_17x_6)</f>
        <v>1805</v>
      </c>
      <c r="L84" s="1">
        <f>SUM(OSRRefE21_17x_7)</f>
        <v>1805</v>
      </c>
      <c r="M84" s="1">
        <f>SUM(OSRRefE21_17x_8)</f>
        <v>1805</v>
      </c>
      <c r="N84" s="1">
        <f>SUM(OSRRefE21_17x_9)</f>
        <v>1905</v>
      </c>
      <c r="O84" s="1">
        <f>SUM(OSRRefE21_17x_10)</f>
        <v>1885</v>
      </c>
      <c r="Q84" s="2">
        <f>SUM(OSRRefD20_17x)+IFERROR(SUM(OSRRefE20_17x),0)</f>
        <v>22550.34</v>
      </c>
    </row>
    <row r="85" spans="1:17" s="34" customFormat="1" hidden="1" outlineLevel="1" x14ac:dyDescent="0.3">
      <c r="A85" s="35"/>
      <c r="B85" s="10" t="str">
        <f>CONCATENATE("          ","6303", " - ","DATA PHONE LINES")</f>
        <v xml:space="preserve">          6303 - DATA PHONE LINES</v>
      </c>
      <c r="C85" s="14"/>
      <c r="D85" s="2">
        <v>161.97999999999999</v>
      </c>
      <c r="E85" s="2">
        <v>236</v>
      </c>
      <c r="F85" s="2">
        <v>236</v>
      </c>
      <c r="G85" s="2">
        <v>236</v>
      </c>
      <c r="H85" s="2">
        <v>236</v>
      </c>
      <c r="I85" s="2">
        <v>236</v>
      </c>
      <c r="J85" s="2">
        <v>236</v>
      </c>
      <c r="K85" s="2">
        <v>236</v>
      </c>
      <c r="L85" s="2">
        <v>236</v>
      </c>
      <c r="M85" s="2">
        <v>236</v>
      </c>
      <c r="N85" s="2">
        <v>336</v>
      </c>
      <c r="O85" s="2">
        <v>316</v>
      </c>
      <c r="P85" s="9"/>
      <c r="Q85" s="2">
        <f>SUM(OSRRefD21_17_0x)+IFERROR(SUM(OSRRefE21_17_0x),0)</f>
        <v>2937.98</v>
      </c>
    </row>
    <row r="86" spans="1:17" s="34" customFormat="1" hidden="1" outlineLevel="1" x14ac:dyDescent="0.3">
      <c r="A86" s="35"/>
      <c r="B86" s="10" t="str">
        <f>CONCATENATE("          ","6309", " - ","TELEPHONE")</f>
        <v xml:space="preserve">          6309 - TELEPHONE</v>
      </c>
      <c r="C86" s="14"/>
      <c r="D86" s="2">
        <v>2353.36</v>
      </c>
      <c r="E86" s="2">
        <v>1569</v>
      </c>
      <c r="F86" s="2">
        <v>1569</v>
      </c>
      <c r="G86" s="2">
        <v>1569</v>
      </c>
      <c r="H86" s="2">
        <v>1569</v>
      </c>
      <c r="I86" s="2">
        <v>1569</v>
      </c>
      <c r="J86" s="2">
        <v>1569</v>
      </c>
      <c r="K86" s="2">
        <v>1569</v>
      </c>
      <c r="L86" s="2">
        <v>1569</v>
      </c>
      <c r="M86" s="2">
        <v>1569</v>
      </c>
      <c r="N86" s="2">
        <v>1569</v>
      </c>
      <c r="O86" s="2">
        <v>1569</v>
      </c>
      <c r="P86" s="9"/>
      <c r="Q86" s="2">
        <f>SUM(OSRRefD21_17_1x)+IFERROR(SUM(OSRRefE21_17_1x),0)</f>
        <v>19612.36</v>
      </c>
    </row>
    <row r="87" spans="1:17" s="34" customFormat="1" collapsed="1" x14ac:dyDescent="0.3">
      <c r="A87" s="35"/>
      <c r="B87" s="14" t="str">
        <f>CONCATENATE("     ","Training                                          ")</f>
        <v xml:space="preserve">     Training                                          </v>
      </c>
      <c r="C87" s="14"/>
      <c r="D87" s="1">
        <f>SUM(OSRRefD21_18x_0)</f>
        <v>0</v>
      </c>
      <c r="E87" s="1">
        <f>SUM(OSRRefE21_18x_0)</f>
        <v>333</v>
      </c>
      <c r="F87" s="1">
        <f>SUM(OSRRefE21_18x_1)</f>
        <v>333</v>
      </c>
      <c r="G87" s="1">
        <f>SUM(OSRRefE21_18x_2)</f>
        <v>583</v>
      </c>
      <c r="H87" s="1">
        <f>SUM(OSRRefE21_18x_3)</f>
        <v>333</v>
      </c>
      <c r="I87" s="1">
        <f>SUM(OSRRefE21_18x_4)</f>
        <v>333</v>
      </c>
      <c r="J87" s="1">
        <f>SUM(OSRRefE21_18x_5)</f>
        <v>5633</v>
      </c>
      <c r="K87" s="1">
        <f>SUM(OSRRefE21_18x_6)</f>
        <v>1833</v>
      </c>
      <c r="L87" s="1">
        <f>SUM(OSRRefE21_18x_7)</f>
        <v>333</v>
      </c>
      <c r="M87" s="1">
        <f>SUM(OSRRefE21_18x_8)</f>
        <v>333</v>
      </c>
      <c r="N87" s="1">
        <f>SUM(OSRRefE21_18x_9)</f>
        <v>333</v>
      </c>
      <c r="O87" s="1">
        <f>SUM(OSRRefE21_18x_10)</f>
        <v>337</v>
      </c>
      <c r="Q87" s="2">
        <f>SUM(OSRRefD20_18x)+IFERROR(SUM(OSRRefE20_18x),0)</f>
        <v>10717</v>
      </c>
    </row>
    <row r="88" spans="1:17" s="34" customFormat="1" hidden="1" outlineLevel="1" x14ac:dyDescent="0.3">
      <c r="A88" s="35"/>
      <c r="B88" s="10" t="str">
        <f>CONCATENATE("          ","6376", " - ","TRAINING")</f>
        <v xml:space="preserve">          6376 - TRAINING</v>
      </c>
      <c r="C88" s="14"/>
      <c r="D88" s="2"/>
      <c r="E88" s="2">
        <v>333</v>
      </c>
      <c r="F88" s="2">
        <v>333</v>
      </c>
      <c r="G88" s="2">
        <v>583</v>
      </c>
      <c r="H88" s="2">
        <v>333</v>
      </c>
      <c r="I88" s="2">
        <v>333</v>
      </c>
      <c r="J88" s="2">
        <v>5633</v>
      </c>
      <c r="K88" s="2">
        <v>1833</v>
      </c>
      <c r="L88" s="2">
        <v>333</v>
      </c>
      <c r="M88" s="2">
        <v>333</v>
      </c>
      <c r="N88" s="2">
        <v>333</v>
      </c>
      <c r="O88" s="2">
        <v>337</v>
      </c>
      <c r="P88" s="9"/>
      <c r="Q88" s="2">
        <f>SUM(OSRRefD21_18_0x)+IFERROR(SUM(OSRRefE21_18_0x),0)</f>
        <v>10717</v>
      </c>
    </row>
    <row r="89" spans="1:17" s="34" customFormat="1" collapsed="1" x14ac:dyDescent="0.3">
      <c r="A89" s="35"/>
      <c r="B89" s="14" t="str">
        <f>CONCATENATE("     ","Travel                                            ")</f>
        <v xml:space="preserve">     Travel                                            </v>
      </c>
      <c r="C89" s="14"/>
      <c r="D89" s="1">
        <f>SUM(OSRRefD21_19x_0)</f>
        <v>17.100000000000001</v>
      </c>
      <c r="E89" s="1">
        <f>SUM(OSRRefE21_19x_0)</f>
        <v>0</v>
      </c>
      <c r="F89" s="1">
        <f>SUM(OSRRefE21_19x_1)</f>
        <v>0</v>
      </c>
      <c r="G89" s="1">
        <f>SUM(OSRRefE21_19x_2)</f>
        <v>0</v>
      </c>
      <c r="H89" s="1">
        <f>SUM(OSRRefE21_19x_3)</f>
        <v>720</v>
      </c>
      <c r="I89" s="1">
        <f>SUM(OSRRefE21_19x_4)</f>
        <v>5000</v>
      </c>
      <c r="J89" s="1">
        <f>SUM(OSRRefE21_19x_5)</f>
        <v>2000</v>
      </c>
      <c r="K89" s="1">
        <f>SUM(OSRRefE21_19x_6)</f>
        <v>0</v>
      </c>
      <c r="L89" s="1">
        <f>SUM(OSRRefE21_19x_7)</f>
        <v>0</v>
      </c>
      <c r="M89" s="1">
        <f>SUM(OSRRefE21_19x_8)</f>
        <v>0</v>
      </c>
      <c r="N89" s="1">
        <f>SUM(OSRRefE21_19x_9)</f>
        <v>0</v>
      </c>
      <c r="O89" s="1">
        <f>SUM(OSRRefE21_19x_10)</f>
        <v>0</v>
      </c>
      <c r="Q89" s="2">
        <f>SUM(OSRRefD20_19x)+IFERROR(SUM(OSRRefE20_19x),0)</f>
        <v>7737.1</v>
      </c>
    </row>
    <row r="90" spans="1:17" s="34" customFormat="1" hidden="1" outlineLevel="1" x14ac:dyDescent="0.3">
      <c r="A90" s="35"/>
      <c r="B90" s="10" t="str">
        <f>CONCATENATE("          ","6292", " - ","TRAVEL/CONFERENCE")</f>
        <v xml:space="preserve">          6292 - TRAVEL/CONFERENCE</v>
      </c>
      <c r="C90" s="14"/>
      <c r="D90" s="2"/>
      <c r="E90" s="2"/>
      <c r="F90" s="2"/>
      <c r="G90" s="2"/>
      <c r="H90" s="2">
        <v>720</v>
      </c>
      <c r="I90" s="2">
        <v>3500</v>
      </c>
      <c r="J90" s="2">
        <v>2000</v>
      </c>
      <c r="K90" s="2"/>
      <c r="L90" s="2"/>
      <c r="M90" s="2"/>
      <c r="N90" s="2"/>
      <c r="O90" s="2"/>
      <c r="P90" s="9"/>
      <c r="Q90" s="2">
        <f>SUM(OSRRefD21_19_0x)+IFERROR(SUM(OSRRefE21_19_0x),0)</f>
        <v>6220</v>
      </c>
    </row>
    <row r="91" spans="1:17" s="34" customFormat="1" hidden="1" outlineLevel="1" x14ac:dyDescent="0.3">
      <c r="A91" s="35"/>
      <c r="B91" s="10" t="str">
        <f>CONCATENATE("          ","6294", " - ","TRAVEL OPERATIONAL")</f>
        <v xml:space="preserve">          6294 - TRAVEL OPERATIONAL</v>
      </c>
      <c r="C91" s="14"/>
      <c r="D91" s="2">
        <v>17.100000000000001</v>
      </c>
      <c r="E91" s="2"/>
      <c r="F91" s="2"/>
      <c r="G91" s="2"/>
      <c r="H91" s="2"/>
      <c r="I91" s="2">
        <v>1500</v>
      </c>
      <c r="J91" s="2"/>
      <c r="K91" s="2"/>
      <c r="L91" s="2"/>
      <c r="M91" s="2"/>
      <c r="N91" s="2"/>
      <c r="O91" s="2"/>
      <c r="P91" s="9"/>
      <c r="Q91" s="2">
        <f>SUM(OSRRefD21_19_1x)+IFERROR(SUM(OSRRefE21_19_1x),0)</f>
        <v>1517.1</v>
      </c>
    </row>
    <row r="92" spans="1:17" s="28" customFormat="1" x14ac:dyDescent="0.3">
      <c r="A92" s="21"/>
      <c r="B92" s="21"/>
      <c r="C92" s="2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1"/>
    </row>
    <row r="93" spans="1:17" s="9" customFormat="1" x14ac:dyDescent="0.3">
      <c r="A93" s="22"/>
      <c r="B93" s="16" t="s">
        <v>293</v>
      </c>
      <c r="C93" s="23"/>
      <c r="D93" s="3">
        <f>0</f>
        <v>0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2">
        <f>SUM(OSRRefD23_0x)+IFERROR(SUM(OSRRefE23_0x),0)</f>
        <v>0</v>
      </c>
    </row>
    <row r="94" spans="1:17" x14ac:dyDescent="0.3">
      <c r="A94" s="5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</row>
    <row r="95" spans="1:17" s="15" customFormat="1" x14ac:dyDescent="0.3">
      <c r="A95" s="6"/>
      <c r="B95" s="17" t="s">
        <v>276</v>
      </c>
      <c r="C95" s="17"/>
      <c r="D95" s="8">
        <f t="shared" ref="D95:O95" si="4">IFERROR(+D14-D17+D93, 0)</f>
        <v>-232914.85999999996</v>
      </c>
      <c r="E95" s="8">
        <f t="shared" si="4"/>
        <v>-242457.21559983998</v>
      </c>
      <c r="F95" s="8">
        <f t="shared" si="4"/>
        <v>-244376.06359983998</v>
      </c>
      <c r="G95" s="8">
        <f t="shared" si="4"/>
        <v>-290561.68349979998</v>
      </c>
      <c r="H95" s="8">
        <f t="shared" si="4"/>
        <v>-255318.69333830161</v>
      </c>
      <c r="I95" s="8">
        <f t="shared" si="4"/>
        <v>-240598.69333830161</v>
      </c>
      <c r="J95" s="8">
        <f t="shared" si="4"/>
        <v>-308227.51587287692</v>
      </c>
      <c r="K95" s="8">
        <f t="shared" si="4"/>
        <v>-238186.01269830164</v>
      </c>
      <c r="L95" s="8">
        <f t="shared" si="4"/>
        <v>-243411.46615984</v>
      </c>
      <c r="M95" s="8">
        <f t="shared" si="4"/>
        <v>-289108.58269979997</v>
      </c>
      <c r="N95" s="8">
        <f t="shared" si="4"/>
        <v>-230228.17971184</v>
      </c>
      <c r="O95" s="8">
        <f t="shared" si="4"/>
        <v>215603.10673616</v>
      </c>
      <c r="Q95" s="8">
        <f>IFERROR(+Q14-Q17+Q93, 0)</f>
        <v>-2599785.8597825817</v>
      </c>
    </row>
    <row r="96" spans="1:17" s="6" customFormat="1" x14ac:dyDescent="0.3">
      <c r="B96" s="16"/>
      <c r="C96" s="16"/>
      <c r="D96" s="4">
        <f t="shared" ref="D96:O96" si="5">IFERROR(D95/D10, 0)</f>
        <v>0</v>
      </c>
      <c r="E96" s="4">
        <f t="shared" si="5"/>
        <v>0</v>
      </c>
      <c r="F96" s="4">
        <f t="shared" si="5"/>
        <v>0</v>
      </c>
      <c r="G96" s="4">
        <f t="shared" si="5"/>
        <v>0</v>
      </c>
      <c r="H96" s="4">
        <f t="shared" si="5"/>
        <v>0</v>
      </c>
      <c r="I96" s="4">
        <f t="shared" si="5"/>
        <v>0</v>
      </c>
      <c r="J96" s="4">
        <f t="shared" si="5"/>
        <v>0</v>
      </c>
      <c r="K96" s="4">
        <f t="shared" si="5"/>
        <v>0</v>
      </c>
      <c r="L96" s="4">
        <f t="shared" si="5"/>
        <v>0</v>
      </c>
      <c r="M96" s="4">
        <f t="shared" si="5"/>
        <v>0</v>
      </c>
      <c r="N96" s="4">
        <f t="shared" si="5"/>
        <v>0</v>
      </c>
      <c r="O96" s="4">
        <f t="shared" si="5"/>
        <v>0</v>
      </c>
      <c r="P96" s="18"/>
      <c r="Q96" s="4">
        <f>IFERROR(Q95/Q10, 0)</f>
        <v>0</v>
      </c>
    </row>
    <row r="97" spans="1:17" x14ac:dyDescent="0.3">
      <c r="A97" s="5"/>
      <c r="B97" s="6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</row>
    <row r="98" spans="1:17" x14ac:dyDescent="0.3">
      <c r="A98" s="5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</row>
    <row r="99" spans="1:17" s="15" customFormat="1" ht="15" thickBot="1" x14ac:dyDescent="0.35">
      <c r="A99" s="6"/>
      <c r="B99" s="17" t="s">
        <v>124</v>
      </c>
      <c r="C99" s="17"/>
      <c r="D99" s="7">
        <f>IFERROR(+D95-#REF!, 0)</f>
        <v>0</v>
      </c>
      <c r="E99" s="7">
        <f>IFERROR(+E95-#REF!, 0)</f>
        <v>0</v>
      </c>
      <c r="F99" s="7">
        <f>IFERROR(+F95-#REF!, 0)</f>
        <v>0</v>
      </c>
      <c r="G99" s="7">
        <f>IFERROR(+G95-#REF!, 0)</f>
        <v>0</v>
      </c>
      <c r="H99" s="7">
        <f>IFERROR(+H95-#REF!, 0)</f>
        <v>0</v>
      </c>
      <c r="I99" s="7">
        <f>IFERROR(+I95-#REF!, 0)</f>
        <v>0</v>
      </c>
      <c r="J99" s="7">
        <f>IFERROR(+J95-#REF!, 0)</f>
        <v>0</v>
      </c>
      <c r="K99" s="7">
        <f>IFERROR(+K95-#REF!, 0)</f>
        <v>0</v>
      </c>
      <c r="L99" s="7">
        <f>IFERROR(+L95-#REF!, 0)</f>
        <v>0</v>
      </c>
      <c r="M99" s="7">
        <f>IFERROR(+M95-#REF!, 0)</f>
        <v>0</v>
      </c>
      <c r="N99" s="7">
        <f>IFERROR(+N95-#REF!, 0)</f>
        <v>0</v>
      </c>
      <c r="O99" s="7">
        <f>IFERROR(+O95-#REF!, 0)</f>
        <v>0</v>
      </c>
      <c r="Q99" s="7">
        <f>IFERROR(+Q95-#REF!, 0)</f>
        <v>0</v>
      </c>
    </row>
    <row r="100" spans="1:17" ht="15" thickTop="1" x14ac:dyDescent="0.3">
      <c r="A100" s="5"/>
      <c r="B100" s="5"/>
      <c r="C100" s="5"/>
      <c r="D100" s="4">
        <f t="shared" ref="D100:O100" si="6">IFERROR(D99/D10, 0)</f>
        <v>0</v>
      </c>
      <c r="E100" s="4">
        <f t="shared" si="6"/>
        <v>0</v>
      </c>
      <c r="F100" s="4">
        <f t="shared" si="6"/>
        <v>0</v>
      </c>
      <c r="G100" s="4">
        <f t="shared" si="6"/>
        <v>0</v>
      </c>
      <c r="H100" s="4">
        <f t="shared" si="6"/>
        <v>0</v>
      </c>
      <c r="I100" s="4">
        <f t="shared" si="6"/>
        <v>0</v>
      </c>
      <c r="J100" s="4">
        <f t="shared" si="6"/>
        <v>0</v>
      </c>
      <c r="K100" s="4">
        <f t="shared" si="6"/>
        <v>0</v>
      </c>
      <c r="L100" s="4">
        <f t="shared" si="6"/>
        <v>0</v>
      </c>
      <c r="M100" s="4">
        <f t="shared" si="6"/>
        <v>0</v>
      </c>
      <c r="N100" s="4">
        <f t="shared" si="6"/>
        <v>0</v>
      </c>
      <c r="O100" s="4">
        <f t="shared" si="6"/>
        <v>0</v>
      </c>
      <c r="P100" s="18"/>
      <c r="Q100" s="4">
        <f>IFERROR(Q99/Q10, 0)</f>
        <v>0</v>
      </c>
    </row>
    <row r="101" spans="1:17" x14ac:dyDescent="0.3">
      <c r="A101" s="5"/>
      <c r="B101" s="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</row>
    <row r="102" spans="1:17" x14ac:dyDescent="0.3">
      <c r="A102" s="5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</row>
    <row r="103" spans="1:17" s="15" customFormat="1" ht="15" thickBot="1" x14ac:dyDescent="0.35">
      <c r="A103" s="6"/>
      <c r="B103" s="17" t="s">
        <v>294</v>
      </c>
      <c r="C103" s="17"/>
      <c r="D103" s="7">
        <f t="shared" ref="D103:O103" si="7">IFERROR(SUM(D99:D102), 0)</f>
        <v>0</v>
      </c>
      <c r="E103" s="7">
        <f t="shared" si="7"/>
        <v>0</v>
      </c>
      <c r="F103" s="7">
        <f t="shared" si="7"/>
        <v>0</v>
      </c>
      <c r="G103" s="7">
        <f t="shared" si="7"/>
        <v>0</v>
      </c>
      <c r="H103" s="7">
        <f t="shared" si="7"/>
        <v>0</v>
      </c>
      <c r="I103" s="7">
        <f t="shared" si="7"/>
        <v>0</v>
      </c>
      <c r="J103" s="7">
        <f t="shared" si="7"/>
        <v>0</v>
      </c>
      <c r="K103" s="7">
        <f t="shared" si="7"/>
        <v>0</v>
      </c>
      <c r="L103" s="7">
        <f t="shared" si="7"/>
        <v>0</v>
      </c>
      <c r="M103" s="7">
        <f t="shared" si="7"/>
        <v>0</v>
      </c>
      <c r="N103" s="7">
        <f t="shared" si="7"/>
        <v>0</v>
      </c>
      <c r="O103" s="7">
        <f t="shared" si="7"/>
        <v>0</v>
      </c>
      <c r="Q103" s="7">
        <f>IFERROR(SUM(Q99:Q102), 0)</f>
        <v>0</v>
      </c>
    </row>
    <row r="104" spans="1:17" ht="15" thickTop="1" x14ac:dyDescent="0.3">
      <c r="A104" s="5"/>
      <c r="C104" s="5"/>
      <c r="D104" s="4">
        <f t="shared" ref="D104:O104" si="8">IFERROR(D103/D10, 0)</f>
        <v>0</v>
      </c>
      <c r="E104" s="4">
        <f t="shared" si="8"/>
        <v>0</v>
      </c>
      <c r="F104" s="4">
        <f t="shared" si="8"/>
        <v>0</v>
      </c>
      <c r="G104" s="4">
        <f t="shared" si="8"/>
        <v>0</v>
      </c>
      <c r="H104" s="4">
        <f t="shared" si="8"/>
        <v>0</v>
      </c>
      <c r="I104" s="4">
        <f t="shared" si="8"/>
        <v>0</v>
      </c>
      <c r="J104" s="4">
        <f t="shared" si="8"/>
        <v>0</v>
      </c>
      <c r="K104" s="4">
        <f t="shared" si="8"/>
        <v>0</v>
      </c>
      <c r="L104" s="4">
        <f t="shared" si="8"/>
        <v>0</v>
      </c>
      <c r="M104" s="4">
        <f t="shared" si="8"/>
        <v>0</v>
      </c>
      <c r="N104" s="4">
        <f t="shared" si="8"/>
        <v>0</v>
      </c>
      <c r="O104" s="4">
        <f t="shared" si="8"/>
        <v>0</v>
      </c>
      <c r="P104" s="18"/>
      <c r="Q104" s="4">
        <f>IFERROR(Q103/Q10, 0)</f>
        <v>0</v>
      </c>
    </row>
    <row r="105" spans="1:17" x14ac:dyDescent="0.3">
      <c r="A105" s="5"/>
      <c r="B105" s="30">
        <v>44462.678381562502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Q105" s="11"/>
    </row>
    <row r="106" spans="1:17" x14ac:dyDescent="0.3">
      <c r="A106" s="5"/>
      <c r="B106" s="31" t="s">
        <v>54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1"/>
    </row>
    <row r="107" spans="1:17" x14ac:dyDescent="0.3">
      <c r="A107" s="5"/>
      <c r="B107" s="2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Q107" s="11"/>
    </row>
    <row r="108" spans="1:17" x14ac:dyDescent="0.3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Q10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  <outlinePr summaryBelow="0" summaryRight="0"/>
    <pageSetUpPr fitToPage="1"/>
  </sheetPr>
  <dimension ref="A2:R44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","200", " - ", "Corporate Expense")</f>
        <v>Department 200 - Corporate Expense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30323.660000000003</v>
      </c>
      <c r="E17" s="13">
        <f>SUM(OSRRefE20x_0)</f>
        <v>36508</v>
      </c>
      <c r="F17" s="13">
        <f>SUM(OSRRefE20x_1)</f>
        <v>38508</v>
      </c>
      <c r="G17" s="13">
        <f>SUM(OSRRefE20x_2)</f>
        <v>62008</v>
      </c>
      <c r="H17" s="13">
        <f>SUM(OSRRefE20x_3)</f>
        <v>41008</v>
      </c>
      <c r="I17" s="13">
        <f>SUM(OSRRefE20x_4)</f>
        <v>40008</v>
      </c>
      <c r="J17" s="13">
        <f>SUM(OSRRefE20x_5)</f>
        <v>63508</v>
      </c>
      <c r="K17" s="13">
        <f>SUM(OSRRefE20x_6)</f>
        <v>37508</v>
      </c>
      <c r="L17" s="13">
        <f>SUM(OSRRefE20x_7)</f>
        <v>46508</v>
      </c>
      <c r="M17" s="13">
        <f>SUM(OSRRefE20x_8)</f>
        <v>60508</v>
      </c>
      <c r="N17" s="13">
        <f>SUM(OSRRefE20x_9)</f>
        <v>37008</v>
      </c>
      <c r="O17" s="13">
        <f>SUM(OSRRefE20x_10)</f>
        <v>-395492</v>
      </c>
      <c r="Q17" s="13">
        <f>SUM(OSRRefG20x)</f>
        <v>97911.66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27136.06</v>
      </c>
      <c r="E18" s="1">
        <f>SUM(OSRRefE21_0x_0)</f>
        <v>35000</v>
      </c>
      <c r="F18" s="1">
        <f>SUM(OSRRefE21_0x_1)</f>
        <v>35000</v>
      </c>
      <c r="G18" s="1">
        <f>SUM(OSRRefE21_0x_2)</f>
        <v>35000</v>
      </c>
      <c r="H18" s="1">
        <f>SUM(OSRRefE21_0x_3)</f>
        <v>35000</v>
      </c>
      <c r="I18" s="1">
        <f>SUM(OSRRefE21_0x_4)</f>
        <v>35000</v>
      </c>
      <c r="J18" s="1">
        <f>SUM(OSRRefE21_0x_5)</f>
        <v>35000</v>
      </c>
      <c r="K18" s="1">
        <f>SUM(OSRRefE21_0x_6)</f>
        <v>35000</v>
      </c>
      <c r="L18" s="1">
        <f>SUM(OSRRefE21_0x_7)</f>
        <v>35000</v>
      </c>
      <c r="M18" s="1">
        <f>SUM(OSRRefE21_0x_8)</f>
        <v>35000</v>
      </c>
      <c r="N18" s="1">
        <f>SUM(OSRRefE21_0x_9)</f>
        <v>35000</v>
      </c>
      <c r="O18" s="1">
        <f>SUM(OSRRefE21_0x_10)</f>
        <v>-400000</v>
      </c>
      <c r="Q18" s="2">
        <f>SUM(OSRRefD20_0x)+IFERROR(SUM(OSRRefE20_0x),0)</f>
        <v>-22863.94</v>
      </c>
    </row>
    <row r="19" spans="1:17" s="34" customFormat="1" hidden="1" outlineLevel="1" x14ac:dyDescent="0.3">
      <c r="A19" s="35"/>
      <c r="B19" s="10" t="str">
        <f>CONCATENATE("          ","6120", " - ","RETIREES HEALTH INSURANCE")</f>
        <v xml:space="preserve">          6120 - RETIREES HEALTH INSURANCE</v>
      </c>
      <c r="C19" s="14"/>
      <c r="D19" s="2">
        <v>27136.06</v>
      </c>
      <c r="E19" s="2">
        <v>35000</v>
      </c>
      <c r="F19" s="2">
        <v>35000</v>
      </c>
      <c r="G19" s="2">
        <v>35000</v>
      </c>
      <c r="H19" s="2">
        <v>35000</v>
      </c>
      <c r="I19" s="2">
        <v>35000</v>
      </c>
      <c r="J19" s="2">
        <v>35000</v>
      </c>
      <c r="K19" s="2">
        <v>35000</v>
      </c>
      <c r="L19" s="2">
        <v>35000</v>
      </c>
      <c r="M19" s="2">
        <v>35000</v>
      </c>
      <c r="N19" s="2">
        <v>35000</v>
      </c>
      <c r="O19" s="2">
        <v>-400000</v>
      </c>
      <c r="P19" s="9"/>
      <c r="Q19" s="2">
        <f>SUM(OSRRefD21_0_0x)+IFERROR(SUM(OSRRefE21_0_0x),0)</f>
        <v>-22863.94</v>
      </c>
    </row>
    <row r="20" spans="1:17" s="34" customFormat="1" collapsed="1" x14ac:dyDescent="0.3">
      <c r="A20" s="35"/>
      <c r="B20" s="14" t="str">
        <f>CONCATENATE("     ","Bank/card Fees                                    ")</f>
        <v xml:space="preserve">     Bank/card Fees                                    </v>
      </c>
      <c r="C20" s="14"/>
      <c r="D20" s="1">
        <f>SUM(OSRRefD21_1x_0)</f>
        <v>2349.86</v>
      </c>
      <c r="E20" s="1">
        <f>SUM(OSRRefE21_1x_0)</f>
        <v>1000</v>
      </c>
      <c r="F20" s="1">
        <f>SUM(OSRRefE21_1x_1)</f>
        <v>2000</v>
      </c>
      <c r="G20" s="1">
        <f>SUM(OSRRefE21_1x_2)</f>
        <v>10000</v>
      </c>
      <c r="H20" s="1">
        <f>SUM(OSRRefE21_1x_3)</f>
        <v>1000</v>
      </c>
      <c r="I20" s="1">
        <f>SUM(OSRRefE21_1x_4)</f>
        <v>2000</v>
      </c>
      <c r="J20" s="1">
        <f>SUM(OSRRefE21_1x_5)</f>
        <v>10000</v>
      </c>
      <c r="K20" s="1">
        <f>SUM(OSRRefE21_1x_6)</f>
        <v>1000</v>
      </c>
      <c r="L20" s="1">
        <f>SUM(OSRRefE21_1x_7)</f>
        <v>2000</v>
      </c>
      <c r="M20" s="1">
        <f>SUM(OSRRefE21_1x_8)</f>
        <v>10000</v>
      </c>
      <c r="N20" s="1">
        <f>SUM(OSRRefE21_1x_9)</f>
        <v>1000</v>
      </c>
      <c r="O20" s="1">
        <f>SUM(OSRRefE21_1x_10)</f>
        <v>2000</v>
      </c>
      <c r="Q20" s="2">
        <f>SUM(OSRRefD20_1x)+IFERROR(SUM(OSRRefE20_1x),0)</f>
        <v>44349.86</v>
      </c>
    </row>
    <row r="21" spans="1:17" s="34" customFormat="1" hidden="1" outlineLevel="1" x14ac:dyDescent="0.3">
      <c r="A21" s="35"/>
      <c r="B21" s="10" t="str">
        <f>CONCATENATE("          ","6381", " - ","BANK/CREDIT CARD FEES")</f>
        <v xml:space="preserve">          6381 - BANK/CREDIT CARD FEES</v>
      </c>
      <c r="C21" s="14"/>
      <c r="D21" s="2">
        <v>2349.86</v>
      </c>
      <c r="E21" s="2">
        <v>1000</v>
      </c>
      <c r="F21" s="2">
        <v>2000</v>
      </c>
      <c r="G21" s="2">
        <v>10000</v>
      </c>
      <c r="H21" s="2">
        <v>1000</v>
      </c>
      <c r="I21" s="2">
        <v>2000</v>
      </c>
      <c r="J21" s="2">
        <v>10000</v>
      </c>
      <c r="K21" s="2">
        <v>1000</v>
      </c>
      <c r="L21" s="2">
        <v>2000</v>
      </c>
      <c r="M21" s="2">
        <v>10000</v>
      </c>
      <c r="N21" s="2">
        <v>1000</v>
      </c>
      <c r="O21" s="2">
        <v>2000</v>
      </c>
      <c r="P21" s="9"/>
      <c r="Q21" s="2">
        <f>SUM(OSRRefD21_1_0x)+IFERROR(SUM(OSRRefE21_1_0x),0)</f>
        <v>44349.86</v>
      </c>
    </row>
    <row r="22" spans="1:17" s="34" customFormat="1" collapsed="1" x14ac:dyDescent="0.3">
      <c r="A22" s="35"/>
      <c r="B22" s="14" t="str">
        <f>CONCATENATE("     ","Board                                             ")</f>
        <v xml:space="preserve">     Board                                             </v>
      </c>
      <c r="C22" s="14"/>
      <c r="D22" s="1">
        <f>SUM(OSRRefD21_2x_0)</f>
        <v>837.74</v>
      </c>
      <c r="E22" s="1">
        <f>SUM(OSRRefE21_2x_0)</f>
        <v>508</v>
      </c>
      <c r="F22" s="1">
        <f>SUM(OSRRefE21_2x_1)</f>
        <v>1508</v>
      </c>
      <c r="G22" s="1">
        <f>SUM(OSRRefE21_2x_2)</f>
        <v>2008</v>
      </c>
      <c r="H22" s="1">
        <f>SUM(OSRRefE21_2x_3)</f>
        <v>2008</v>
      </c>
      <c r="I22" s="1">
        <f>SUM(OSRRefE21_2x_4)</f>
        <v>3008</v>
      </c>
      <c r="J22" s="1">
        <f>SUM(OSRRefE21_2x_5)</f>
        <v>2508</v>
      </c>
      <c r="K22" s="1">
        <f>SUM(OSRRefE21_2x_6)</f>
        <v>1508</v>
      </c>
      <c r="L22" s="1">
        <f>SUM(OSRRefE21_2x_7)</f>
        <v>1508</v>
      </c>
      <c r="M22" s="1">
        <f>SUM(OSRRefE21_2x_8)</f>
        <v>2508</v>
      </c>
      <c r="N22" s="1">
        <f>SUM(OSRRefE21_2x_9)</f>
        <v>1008</v>
      </c>
      <c r="O22" s="1">
        <f>SUM(OSRRefE21_2x_10)</f>
        <v>2508</v>
      </c>
      <c r="Q22" s="2">
        <f>SUM(OSRRefD20_2x)+IFERROR(SUM(OSRRefE20_2x),0)</f>
        <v>21425.74</v>
      </c>
    </row>
    <row r="23" spans="1:17" s="34" customFormat="1" hidden="1" outlineLevel="1" x14ac:dyDescent="0.3">
      <c r="A23" s="35"/>
      <c r="B23" s="10" t="str">
        <f>CONCATENATE("          ","6397", " - ","BOARD EXPENSES")</f>
        <v xml:space="preserve">          6397 - BOARD EXPENSES</v>
      </c>
      <c r="C23" s="14"/>
      <c r="D23" s="2">
        <v>837.74</v>
      </c>
      <c r="E23" s="2">
        <v>508</v>
      </c>
      <c r="F23" s="2">
        <v>1508</v>
      </c>
      <c r="G23" s="2">
        <v>2008</v>
      </c>
      <c r="H23" s="2">
        <v>2008</v>
      </c>
      <c r="I23" s="2">
        <v>3008</v>
      </c>
      <c r="J23" s="2">
        <v>2508</v>
      </c>
      <c r="K23" s="2">
        <v>1508</v>
      </c>
      <c r="L23" s="2">
        <v>1508</v>
      </c>
      <c r="M23" s="2">
        <v>2508</v>
      </c>
      <c r="N23" s="2">
        <v>1008</v>
      </c>
      <c r="O23" s="2">
        <v>2508</v>
      </c>
      <c r="P23" s="9"/>
      <c r="Q23" s="2">
        <f>SUM(OSRRefD21_2_0x)+IFERROR(SUM(OSRRefE21_2_0x),0)</f>
        <v>21425.74</v>
      </c>
    </row>
    <row r="24" spans="1:17" s="34" customFormat="1" collapsed="1" x14ac:dyDescent="0.3">
      <c r="A24" s="35"/>
      <c r="B24" s="14" t="str">
        <f>CONCATENATE("     ","Professional Services                             ")</f>
        <v xml:space="preserve">     Professional Services                             </v>
      </c>
      <c r="C24" s="14"/>
      <c r="D24" s="1">
        <f>SUM(OSRRefD21_3x_0)</f>
        <v>0</v>
      </c>
      <c r="E24" s="1">
        <f>SUM(OSRRefE21_3x_0)</f>
        <v>0</v>
      </c>
      <c r="F24" s="1">
        <f>SUM(OSRRefE21_3x_1)</f>
        <v>0</v>
      </c>
      <c r="G24" s="1">
        <f>SUM(OSRRefE21_3x_2)</f>
        <v>15000</v>
      </c>
      <c r="H24" s="1">
        <f>SUM(OSRRefE21_3x_3)</f>
        <v>3000</v>
      </c>
      <c r="I24" s="1">
        <f>SUM(OSRRefE21_3x_4)</f>
        <v>0</v>
      </c>
      <c r="J24" s="1">
        <f>SUM(OSRRefE21_3x_5)</f>
        <v>16000</v>
      </c>
      <c r="K24" s="1">
        <f>SUM(OSRRefE21_3x_6)</f>
        <v>0</v>
      </c>
      <c r="L24" s="1">
        <f>SUM(OSRRefE21_3x_7)</f>
        <v>8000</v>
      </c>
      <c r="M24" s="1">
        <f>SUM(OSRRefE21_3x_8)</f>
        <v>13000</v>
      </c>
      <c r="N24" s="1">
        <f>SUM(OSRRefE21_3x_9)</f>
        <v>0</v>
      </c>
      <c r="O24" s="1">
        <f>SUM(OSRRefE21_3x_10)</f>
        <v>0</v>
      </c>
      <c r="Q24" s="2">
        <f>SUM(OSRRefD20_3x)+IFERROR(SUM(OSRRefE20_3x),0)</f>
        <v>55000</v>
      </c>
    </row>
    <row r="25" spans="1:17" s="34" customFormat="1" hidden="1" outlineLevel="1" x14ac:dyDescent="0.3">
      <c r="A25" s="35"/>
      <c r="B25" s="10" t="str">
        <f>CONCATENATE("          ","6331", " - ","INDIRECT COSTS-AUXILIARY ORGAN")</f>
        <v xml:space="preserve">          6331 - INDIRECT COSTS-AUXILIARY ORGAN</v>
      </c>
      <c r="C25" s="14"/>
      <c r="D25" s="2"/>
      <c r="E25" s="2">
        <v>0</v>
      </c>
      <c r="F25" s="2">
        <v>0</v>
      </c>
      <c r="G25" s="2">
        <v>13000</v>
      </c>
      <c r="H25" s="2"/>
      <c r="I25" s="2"/>
      <c r="J25" s="2">
        <v>13000</v>
      </c>
      <c r="K25" s="2">
        <v>0</v>
      </c>
      <c r="L25" s="2">
        <v>0</v>
      </c>
      <c r="M25" s="2">
        <v>13000</v>
      </c>
      <c r="N25" s="2">
        <v>0</v>
      </c>
      <c r="O25" s="2">
        <v>0</v>
      </c>
      <c r="P25" s="9"/>
      <c r="Q25" s="2">
        <f>SUM(OSRRefD21_3_0x)+IFERROR(SUM(OSRRefE21_3_0x),0)</f>
        <v>39000</v>
      </c>
    </row>
    <row r="26" spans="1:17" s="34" customFormat="1" hidden="1" outlineLevel="1" x14ac:dyDescent="0.3">
      <c r="A26" s="35"/>
      <c r="B26" s="10" t="str">
        <f>CONCATENATE("          ","6332", " - ","CONSULTANT FEES")</f>
        <v xml:space="preserve">          6332 - CONSULTANT FEES</v>
      </c>
      <c r="C26" s="14"/>
      <c r="D26" s="2"/>
      <c r="E26" s="2"/>
      <c r="F26" s="2"/>
      <c r="G26" s="2">
        <v>2000</v>
      </c>
      <c r="H26" s="2">
        <v>3000</v>
      </c>
      <c r="I26" s="2"/>
      <c r="J26" s="2">
        <v>3000</v>
      </c>
      <c r="K26" s="2"/>
      <c r="L26" s="2">
        <v>8000</v>
      </c>
      <c r="M26" s="2"/>
      <c r="N26" s="2"/>
      <c r="O26" s="2"/>
      <c r="P26" s="9"/>
      <c r="Q26" s="2">
        <f>SUM(OSRRefD21_3_1x)+IFERROR(SUM(OSRRefE21_3_1x),0)</f>
        <v>16000</v>
      </c>
    </row>
    <row r="27" spans="1:17" s="28" customFormat="1" x14ac:dyDescent="0.3">
      <c r="A27" s="21"/>
      <c r="B27" s="21"/>
      <c r="C27" s="2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Q27" s="1"/>
    </row>
    <row r="28" spans="1:17" s="9" customFormat="1" x14ac:dyDescent="0.3">
      <c r="A28" s="22"/>
      <c r="B28" s="16" t="s">
        <v>293</v>
      </c>
      <c r="C28" s="23"/>
      <c r="D28" s="3">
        <f>0</f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2">
        <f>SUM(OSRRefD23_0x)+IFERROR(SUM(OSRRefE23_0x),0)</f>
        <v>0</v>
      </c>
    </row>
    <row r="29" spans="1:17" x14ac:dyDescent="0.3">
      <c r="A29" s="5"/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</row>
    <row r="30" spans="1:17" s="15" customFormat="1" x14ac:dyDescent="0.3">
      <c r="A30" s="6"/>
      <c r="B30" s="17" t="s">
        <v>276</v>
      </c>
      <c r="C30" s="17"/>
      <c r="D30" s="8">
        <f t="shared" ref="D30:O30" si="4">IFERROR(+D14-D17+D28, 0)</f>
        <v>-30323.660000000003</v>
      </c>
      <c r="E30" s="8">
        <f t="shared" si="4"/>
        <v>-36508</v>
      </c>
      <c r="F30" s="8">
        <f t="shared" si="4"/>
        <v>-38508</v>
      </c>
      <c r="G30" s="8">
        <f t="shared" si="4"/>
        <v>-62008</v>
      </c>
      <c r="H30" s="8">
        <f t="shared" si="4"/>
        <v>-41008</v>
      </c>
      <c r="I30" s="8">
        <f t="shared" si="4"/>
        <v>-40008</v>
      </c>
      <c r="J30" s="8">
        <f t="shared" si="4"/>
        <v>-63508</v>
      </c>
      <c r="K30" s="8">
        <f t="shared" si="4"/>
        <v>-37508</v>
      </c>
      <c r="L30" s="8">
        <f t="shared" si="4"/>
        <v>-46508</v>
      </c>
      <c r="M30" s="8">
        <f t="shared" si="4"/>
        <v>-60508</v>
      </c>
      <c r="N30" s="8">
        <f t="shared" si="4"/>
        <v>-37008</v>
      </c>
      <c r="O30" s="8">
        <f t="shared" si="4"/>
        <v>395492</v>
      </c>
      <c r="Q30" s="8">
        <f>IFERROR(+Q14-Q17+Q28, 0)</f>
        <v>-97911.66</v>
      </c>
    </row>
    <row r="31" spans="1:17" s="6" customFormat="1" x14ac:dyDescent="0.3">
      <c r="B31" s="16"/>
      <c r="C31" s="16"/>
      <c r="D31" s="4">
        <f t="shared" ref="D31:O31" si="5">IFERROR(D30/D10, 0)</f>
        <v>0</v>
      </c>
      <c r="E31" s="4">
        <f t="shared" si="5"/>
        <v>0</v>
      </c>
      <c r="F31" s="4">
        <f t="shared" si="5"/>
        <v>0</v>
      </c>
      <c r="G31" s="4">
        <f t="shared" si="5"/>
        <v>0</v>
      </c>
      <c r="H31" s="4">
        <f t="shared" si="5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4">
        <f t="shared" si="5"/>
        <v>0</v>
      </c>
      <c r="P31" s="18"/>
      <c r="Q31" s="4">
        <f>IFERROR(Q30/Q10, 0)</f>
        <v>0</v>
      </c>
    </row>
    <row r="32" spans="1:17" x14ac:dyDescent="0.3">
      <c r="A32" s="5"/>
      <c r="B32" s="6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s="15" customFormat="1" x14ac:dyDescent="0.3">
      <c r="A33" s="25"/>
      <c r="B33" s="6" t="s">
        <v>125</v>
      </c>
      <c r="C33" s="6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2">
        <f>SUM(OSRRefD28_0x)+IFERROR(SUM(OSRRefE28_0x),0)</f>
        <v>0</v>
      </c>
    </row>
    <row r="34" spans="1:17" x14ac:dyDescent="0.3">
      <c r="A34" s="5"/>
      <c r="B34" s="6"/>
      <c r="C34" s="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</row>
    <row r="35" spans="1:17" s="15" customFormat="1" ht="15" thickBot="1" x14ac:dyDescent="0.35">
      <c r="A35" s="6"/>
      <c r="B35" s="17" t="s">
        <v>124</v>
      </c>
      <c r="C35" s="17"/>
      <c r="D35" s="7">
        <f t="shared" ref="D35:O35" si="6">IFERROR(+D30-D33, 0)</f>
        <v>-30323.660000000003</v>
      </c>
      <c r="E35" s="7">
        <f t="shared" si="6"/>
        <v>-36508</v>
      </c>
      <c r="F35" s="7">
        <f t="shared" si="6"/>
        <v>-38508</v>
      </c>
      <c r="G35" s="7">
        <f t="shared" si="6"/>
        <v>-62008</v>
      </c>
      <c r="H35" s="7">
        <f t="shared" si="6"/>
        <v>-41008</v>
      </c>
      <c r="I35" s="7">
        <f t="shared" si="6"/>
        <v>-40008</v>
      </c>
      <c r="J35" s="7">
        <f t="shared" si="6"/>
        <v>-63508</v>
      </c>
      <c r="K35" s="7">
        <f t="shared" si="6"/>
        <v>-37508</v>
      </c>
      <c r="L35" s="7">
        <f t="shared" si="6"/>
        <v>-46508</v>
      </c>
      <c r="M35" s="7">
        <f t="shared" si="6"/>
        <v>-60508</v>
      </c>
      <c r="N35" s="7">
        <f t="shared" si="6"/>
        <v>-37008</v>
      </c>
      <c r="O35" s="7">
        <f t="shared" si="6"/>
        <v>395492</v>
      </c>
      <c r="Q35" s="7">
        <f>IFERROR(+Q30-Q33, 0)</f>
        <v>-97911.66</v>
      </c>
    </row>
    <row r="36" spans="1:17" ht="15" thickTop="1" x14ac:dyDescent="0.3">
      <c r="A36" s="5"/>
      <c r="B36" s="5"/>
      <c r="C36" s="5"/>
      <c r="D36" s="4">
        <f t="shared" ref="D36:O36" si="7">IFERROR(D35/D10, 0)</f>
        <v>0</v>
      </c>
      <c r="E36" s="4">
        <f t="shared" si="7"/>
        <v>0</v>
      </c>
      <c r="F36" s="4">
        <f t="shared" si="7"/>
        <v>0</v>
      </c>
      <c r="G36" s="4">
        <f t="shared" si="7"/>
        <v>0</v>
      </c>
      <c r="H36" s="4">
        <f t="shared" si="7"/>
        <v>0</v>
      </c>
      <c r="I36" s="4">
        <f t="shared" si="7"/>
        <v>0</v>
      </c>
      <c r="J36" s="4">
        <f t="shared" si="7"/>
        <v>0</v>
      </c>
      <c r="K36" s="4">
        <f t="shared" si="7"/>
        <v>0</v>
      </c>
      <c r="L36" s="4">
        <f t="shared" si="7"/>
        <v>0</v>
      </c>
      <c r="M36" s="4">
        <f t="shared" si="7"/>
        <v>0</v>
      </c>
      <c r="N36" s="4">
        <f t="shared" si="7"/>
        <v>0</v>
      </c>
      <c r="O36" s="4">
        <f t="shared" si="7"/>
        <v>0</v>
      </c>
      <c r="P36" s="18"/>
      <c r="Q36" s="4">
        <f>IFERROR(Q35/Q10, 0)</f>
        <v>0</v>
      </c>
    </row>
    <row r="37" spans="1:17" x14ac:dyDescent="0.3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</row>
    <row r="38" spans="1:17" x14ac:dyDescent="0.3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</row>
    <row r="39" spans="1:17" s="15" customFormat="1" ht="15" thickBot="1" x14ac:dyDescent="0.35">
      <c r="A39" s="6"/>
      <c r="B39" s="17" t="s">
        <v>294</v>
      </c>
      <c r="C39" s="17"/>
      <c r="D39" s="7">
        <f t="shared" ref="D39:O39" si="8">IFERROR(SUM(D35:D38), 0)</f>
        <v>-30323.660000000003</v>
      </c>
      <c r="E39" s="7">
        <f t="shared" si="8"/>
        <v>-36508</v>
      </c>
      <c r="F39" s="7">
        <f t="shared" si="8"/>
        <v>-38508</v>
      </c>
      <c r="G39" s="7">
        <f t="shared" si="8"/>
        <v>-62008</v>
      </c>
      <c r="H39" s="7">
        <f t="shared" si="8"/>
        <v>-41008</v>
      </c>
      <c r="I39" s="7">
        <f t="shared" si="8"/>
        <v>-40008</v>
      </c>
      <c r="J39" s="7">
        <f t="shared" si="8"/>
        <v>-63508</v>
      </c>
      <c r="K39" s="7">
        <f t="shared" si="8"/>
        <v>-37508</v>
      </c>
      <c r="L39" s="7">
        <f t="shared" si="8"/>
        <v>-46508</v>
      </c>
      <c r="M39" s="7">
        <f t="shared" si="8"/>
        <v>-60508</v>
      </c>
      <c r="N39" s="7">
        <f t="shared" si="8"/>
        <v>-37008</v>
      </c>
      <c r="O39" s="7">
        <f t="shared" si="8"/>
        <v>395492</v>
      </c>
      <c r="Q39" s="7">
        <f>IFERROR(SUM(Q35:Q38), 0)</f>
        <v>-97911.66</v>
      </c>
    </row>
    <row r="40" spans="1:17" ht="15" thickTop="1" x14ac:dyDescent="0.3">
      <c r="A40" s="5"/>
      <c r="C40" s="5"/>
      <c r="D40" s="4">
        <f t="shared" ref="D40:O40" si="9">IFERROR(D39/D10, 0)</f>
        <v>0</v>
      </c>
      <c r="E40" s="4">
        <f t="shared" si="9"/>
        <v>0</v>
      </c>
      <c r="F40" s="4">
        <f t="shared" si="9"/>
        <v>0</v>
      </c>
      <c r="G40" s="4">
        <f t="shared" si="9"/>
        <v>0</v>
      </c>
      <c r="H40" s="4">
        <f t="shared" si="9"/>
        <v>0</v>
      </c>
      <c r="I40" s="4">
        <f t="shared" si="9"/>
        <v>0</v>
      </c>
      <c r="J40" s="4">
        <f t="shared" si="9"/>
        <v>0</v>
      </c>
      <c r="K40" s="4">
        <f t="shared" si="9"/>
        <v>0</v>
      </c>
      <c r="L40" s="4">
        <f t="shared" si="9"/>
        <v>0</v>
      </c>
      <c r="M40" s="4">
        <f t="shared" si="9"/>
        <v>0</v>
      </c>
      <c r="N40" s="4">
        <f t="shared" si="9"/>
        <v>0</v>
      </c>
      <c r="O40" s="4">
        <f t="shared" si="9"/>
        <v>0</v>
      </c>
      <c r="P40" s="18"/>
      <c r="Q40" s="4">
        <f>IFERROR(Q39/Q10, 0)</f>
        <v>0</v>
      </c>
    </row>
    <row r="41" spans="1:17" x14ac:dyDescent="0.3">
      <c r="A41" s="5"/>
      <c r="B41" s="30">
        <v>44462.678423958336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Q41" s="11"/>
    </row>
    <row r="42" spans="1:17" x14ac:dyDescent="0.3">
      <c r="A42" s="5"/>
      <c r="B42" s="31" t="s">
        <v>54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Q42" s="11"/>
    </row>
    <row r="43" spans="1:17" x14ac:dyDescent="0.3">
      <c r="A43" s="5"/>
      <c r="B43" s="2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Q43" s="11"/>
    </row>
    <row r="44" spans="1:17" x14ac:dyDescent="0.3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Q44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outlinePr summaryBelow="0" summaryRight="0"/>
    <pageSetUpPr fitToPage="1"/>
  </sheetPr>
  <dimension ref="A2:R155"/>
  <sheetViews>
    <sheetView zoomScale="80" workbookViewId="0">
      <pane xSplit="3" ySplit="8" topLeftCell="D95" activePane="bottomRight" state="frozen"/>
      <selection pane="topRight" activeCell="D1" sqref="D1"/>
      <selection pane="bottomLeft" activeCell="A11" sqref="A11"/>
      <selection pane="bottomRight" activeCell="D88" sqref="D88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102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220498.22000000003</v>
      </c>
      <c r="E10" s="3">
        <f>SUM(OSRRefE11x_0)</f>
        <v>2753756</v>
      </c>
      <c r="F10" s="3">
        <f>SUM(OSRRefE11x_1)</f>
        <v>860120</v>
      </c>
      <c r="G10" s="3">
        <f>SUM(OSRRefE11x_2)</f>
        <v>434337</v>
      </c>
      <c r="H10" s="3">
        <f>SUM(OSRRefE11x_3)</f>
        <v>291666</v>
      </c>
      <c r="I10" s="3">
        <f>SUM(OSRRefE11x_4)</f>
        <v>437137</v>
      </c>
      <c r="J10" s="3">
        <f>SUM(OSRRefE11x_5)</f>
        <v>2029660</v>
      </c>
      <c r="K10" s="3">
        <f>SUM(OSRRefE11x_6)</f>
        <v>644404</v>
      </c>
      <c r="L10" s="3">
        <f>SUM(OSRRefE11x_7)</f>
        <v>453103</v>
      </c>
      <c r="M10" s="3">
        <f>SUM(OSRRefE11x_8)</f>
        <v>437221</v>
      </c>
      <c r="N10" s="3">
        <f>SUM(OSRRefE11x_9)</f>
        <v>423189</v>
      </c>
      <c r="O10" s="3">
        <f>SUM(OSRRefE11x_10)</f>
        <v>297500</v>
      </c>
      <c r="P10" s="24"/>
      <c r="Q10" s="3">
        <f>SUM(OSRRefG11x)</f>
        <v>9282591.2200000007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--188048.33</f>
        <v>188048.33</v>
      </c>
      <c r="E11" s="2">
        <v>2728214</v>
      </c>
      <c r="F11" s="2">
        <v>787219</v>
      </c>
      <c r="G11" s="2">
        <v>345683</v>
      </c>
      <c r="H11" s="2">
        <v>240452</v>
      </c>
      <c r="I11" s="2">
        <v>395890</v>
      </c>
      <c r="J11" s="2">
        <v>1974057</v>
      </c>
      <c r="K11" s="2">
        <v>513665</v>
      </c>
      <c r="L11" s="2">
        <v>323822</v>
      </c>
      <c r="M11" s="2">
        <v>322118</v>
      </c>
      <c r="N11" s="2">
        <v>354760</v>
      </c>
      <c r="O11" s="2">
        <v>284530</v>
      </c>
      <c r="Q11" s="2">
        <f>SUM(OSRRefD11_0x)+IFERROR(SUM(OSRRefE11_0x),0)</f>
        <v>8458458.3300000001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--39098.54</f>
        <v>39098.54</v>
      </c>
      <c r="E12" s="2">
        <v>25542</v>
      </c>
      <c r="F12" s="2">
        <v>72901</v>
      </c>
      <c r="G12" s="2">
        <v>88654</v>
      </c>
      <c r="H12" s="2">
        <v>51214</v>
      </c>
      <c r="I12" s="2">
        <v>41247</v>
      </c>
      <c r="J12" s="2">
        <v>55603</v>
      </c>
      <c r="K12" s="2">
        <v>130739</v>
      </c>
      <c r="L12" s="2">
        <v>129281</v>
      </c>
      <c r="M12" s="2">
        <v>115103</v>
      </c>
      <c r="N12" s="2">
        <v>68429</v>
      </c>
      <c r="O12" s="2">
        <v>12970</v>
      </c>
      <c r="Q12" s="2">
        <f>SUM(OSRRefD11_1x)+IFERROR(SUM(OSRRefE11_1x),0)</f>
        <v>830781.54</v>
      </c>
    </row>
    <row r="13" spans="1:18" s="9" customFormat="1" hidden="1" outlineLevel="1" x14ac:dyDescent="0.3">
      <c r="A13" s="22"/>
      <c r="B13" s="10" t="str">
        <f>CONCATENATE("          ","4146", " - ","NON-TAXABLE SALES-COIN OP MACH")</f>
        <v xml:space="preserve">          4146 - NON-TAXABLE SALES-COIN OP MACH</v>
      </c>
      <c r="C13" s="23"/>
      <c r="D13" s="2">
        <f>--20.2</f>
        <v>20.2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20.2</v>
      </c>
    </row>
    <row r="14" spans="1:18" s="9" customFormat="1" hidden="1" outlineLevel="1" x14ac:dyDescent="0.3">
      <c r="A14" s="22"/>
      <c r="B14" s="10" t="str">
        <f>CONCATENATE("          ","4200", " - ","TAXABLE RETURNS")</f>
        <v xml:space="preserve">          4200 - TAXABLE RETURNS</v>
      </c>
      <c r="C14" s="23"/>
      <c r="D14" s="2">
        <f>-5566.27</f>
        <v>-5566.27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-5566.27</v>
      </c>
    </row>
    <row r="15" spans="1:18" s="9" customFormat="1" hidden="1" outlineLevel="1" x14ac:dyDescent="0.3">
      <c r="A15" s="22"/>
      <c r="B15" s="10" t="str">
        <f>CONCATENATE("          ","4300", " - ","NON-TAX RETURNS")</f>
        <v xml:space="preserve">          4300 - NON-TAX RETURNS</v>
      </c>
      <c r="C15" s="23"/>
      <c r="D15" s="2">
        <f>-1102.58</f>
        <v>-1102.58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>
        <f>SUM(OSRRefD11_4x)+IFERROR(SUM(OSRRefE11_4x),0)</f>
        <v>-1102.58</v>
      </c>
    </row>
    <row r="16" spans="1:18" x14ac:dyDescent="0.3">
      <c r="A16" s="5"/>
      <c r="B16" s="6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9" customFormat="1" collapsed="1" x14ac:dyDescent="0.3">
      <c r="A17" s="22"/>
      <c r="B17" s="16" t="s">
        <v>218</v>
      </c>
      <c r="C17" s="23"/>
      <c r="D17" s="3">
        <f>SUM(OSRRefD14x_0)</f>
        <v>127421.44</v>
      </c>
      <c r="E17" s="3">
        <f>SUM(OSRRefE14x_0)</f>
        <v>1861556</v>
      </c>
      <c r="F17" s="3">
        <f>SUM(OSRRefE14x_1)</f>
        <v>522513</v>
      </c>
      <c r="G17" s="3">
        <f>SUM(OSRRefE14x_2)</f>
        <v>214085</v>
      </c>
      <c r="H17" s="3">
        <f>SUM(OSRRefE14x_3)</f>
        <v>144593</v>
      </c>
      <c r="I17" s="3">
        <f>SUM(OSRRefE14x_4)</f>
        <v>224294</v>
      </c>
      <c r="J17" s="3">
        <f>SUM(OSRRefE14x_5)</f>
        <v>1329492</v>
      </c>
      <c r="K17" s="3">
        <f>SUM(OSRRefE14x_6)</f>
        <v>345609</v>
      </c>
      <c r="L17" s="3">
        <f>SUM(OSRRefE14x_7)</f>
        <v>203868</v>
      </c>
      <c r="M17" s="3">
        <f>SUM(OSRRefE14x_8)</f>
        <v>198098</v>
      </c>
      <c r="N17" s="3">
        <f>SUM(OSRRefE14x_9)</f>
        <v>199811</v>
      </c>
      <c r="O17" s="3">
        <f>SUM(OSRRefE14x_10)</f>
        <v>156900</v>
      </c>
      <c r="Q17" s="3">
        <f>SUM(OSRRefG14x)</f>
        <v>5528240.4400000004</v>
      </c>
    </row>
    <row r="18" spans="1:17" s="9" customFormat="1" hidden="1" outlineLevel="1" x14ac:dyDescent="0.3">
      <c r="A18" s="22"/>
      <c r="B18" s="10" t="str">
        <f>CONCATENATE("          ","5000", " - ","PURCHASES @ COST")</f>
        <v xml:space="preserve">          5000 - PURCHASES @ COST</v>
      </c>
      <c r="C18" s="23"/>
      <c r="D18" s="2">
        <v>344773.67</v>
      </c>
      <c r="E18" s="2">
        <v>1861556</v>
      </c>
      <c r="F18" s="2">
        <v>522513</v>
      </c>
      <c r="G18" s="2">
        <v>214085</v>
      </c>
      <c r="H18" s="2">
        <v>144593</v>
      </c>
      <c r="I18" s="2">
        <v>224294</v>
      </c>
      <c r="J18" s="2">
        <v>1329492</v>
      </c>
      <c r="K18" s="2">
        <v>345609</v>
      </c>
      <c r="L18" s="2">
        <v>203868</v>
      </c>
      <c r="M18" s="2">
        <v>198098</v>
      </c>
      <c r="N18" s="2">
        <v>199811</v>
      </c>
      <c r="O18" s="2">
        <v>156900</v>
      </c>
      <c r="Q18" s="2">
        <f>SUM(OSRRefD14_0x)+IFERROR(SUM(OSRRefE14_0x),0)</f>
        <v>5745592.6699999999</v>
      </c>
    </row>
    <row r="19" spans="1:17" s="9" customFormat="1" hidden="1" outlineLevel="1" x14ac:dyDescent="0.3">
      <c r="A19" s="22"/>
      <c r="B19" s="10" t="str">
        <f>CONCATENATE("          ","5001", " - ","PURCHASES @ COST-NEW TEXT")</f>
        <v xml:space="preserve">          5001 - PURCHASES @ COST-NEW TEXT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SUM(OSRRefD14_1x)+IFERROR(SUM(OSRRefE14_1x),0)</f>
        <v>0</v>
      </c>
    </row>
    <row r="20" spans="1:17" s="9" customFormat="1" hidden="1" outlineLevel="1" x14ac:dyDescent="0.3">
      <c r="A20" s="22"/>
      <c r="B20" s="10" t="str">
        <f>CONCATENATE("          ","5002", " - ","PURCHASES @ COST-USED TEXT")</f>
        <v xml:space="preserve">          5002 - PURCHASES @ COST-USED TEXT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SUM(OSRRefD14_2x)+IFERROR(SUM(OSRRefE14_2x),0)</f>
        <v>0</v>
      </c>
    </row>
    <row r="21" spans="1:17" s="9" customFormat="1" hidden="1" outlineLevel="1" x14ac:dyDescent="0.3">
      <c r="A21" s="22"/>
      <c r="B21" s="10" t="str">
        <f>CONCATENATE("          ","5004", " - ","PURCHASES @ COST-DIGITAL TEXT")</f>
        <v xml:space="preserve">          5004 - PURCHASES @ COST-DIGITAL TEXT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SUM(OSRRefD14_3x)+IFERROR(SUM(OSRRefE14_3x),0)</f>
        <v>0</v>
      </c>
    </row>
    <row r="22" spans="1:17" s="9" customFormat="1" hidden="1" outlineLevel="1" x14ac:dyDescent="0.3">
      <c r="A22" s="22"/>
      <c r="B22" s="10" t="str">
        <f>CONCATENATE("          ","5040", " - ","PURCHASES @ COST-LOGO CLOTHING")</f>
        <v xml:space="preserve">          5040 - PURCHASES @ COST-LOGO CLOTHING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SUM(OSRRefD14_4x)+IFERROR(SUM(OSRRefE14_4x),0)</f>
        <v>0</v>
      </c>
    </row>
    <row r="23" spans="1:17" s="9" customFormat="1" hidden="1" outlineLevel="1" x14ac:dyDescent="0.3">
      <c r="A23" s="22"/>
      <c r="B23" s="10" t="str">
        <f>CONCATENATE("          ","5041", " - ","PURCHASES @ COST-LOGO GIFTS")</f>
        <v xml:space="preserve">          5041 - PURCHASES @ COST-LOGO GIFTS</v>
      </c>
      <c r="C23" s="23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SUM(OSRRefD14_5x)+IFERROR(SUM(OSRRefE14_5x),0)</f>
        <v>0</v>
      </c>
    </row>
    <row r="24" spans="1:17" s="9" customFormat="1" hidden="1" outlineLevel="1" x14ac:dyDescent="0.3">
      <c r="A24" s="22"/>
      <c r="B24" s="10" t="str">
        <f>CONCATENATE("          ","5042", " - ","PURCHASES @ COST-EVERYDAY GIFT")</f>
        <v xml:space="preserve">          5042 - PURCHASES @ COST-EVERYDAY GIFT</v>
      </c>
      <c r="C24" s="23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SUM(OSRRefD14_6x)+IFERROR(SUM(OSRRefE14_6x),0)</f>
        <v>0</v>
      </c>
    </row>
    <row r="25" spans="1:17" s="9" customFormat="1" hidden="1" outlineLevel="1" x14ac:dyDescent="0.3">
      <c r="A25" s="22"/>
      <c r="B25" s="10" t="str">
        <f>CONCATENATE("          ","5043", " - ","PURCHASES @ COST-CARDS")</f>
        <v xml:space="preserve">          5043 - PURCHASES @ COST-CARDS</v>
      </c>
      <c r="C25" s="23"/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SUM(OSRRefD14_7x)+IFERROR(SUM(OSRRefE14_7x),0)</f>
        <v>0</v>
      </c>
    </row>
    <row r="26" spans="1:17" s="9" customFormat="1" hidden="1" outlineLevel="1" x14ac:dyDescent="0.3">
      <c r="A26" s="22"/>
      <c r="B26" s="10" t="str">
        <f>CONCATENATE("          ","5044", " - ","PURCHASES @ COST-ACCESSORIES")</f>
        <v xml:space="preserve">          5044 - PURCHASES @ COST-ACCESSORIES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SUM(OSRRefD14_8x)+IFERROR(SUM(OSRRefE14_8x),0)</f>
        <v>0</v>
      </c>
    </row>
    <row r="27" spans="1:17" s="9" customFormat="1" hidden="1" outlineLevel="1" x14ac:dyDescent="0.3">
      <c r="A27" s="22"/>
      <c r="B27" s="10" t="str">
        <f>CONCATENATE("          ","5045", " - ","PURCHASES @ COST-SPECIAL ORDER")</f>
        <v xml:space="preserve">          5045 - PURCHASES @ COST-SPECIAL ORDER</v>
      </c>
      <c r="C27" s="23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>
        <f>SUM(OSRRefD14_9x)+IFERROR(SUM(OSRRefE14_9x),0)</f>
        <v>0</v>
      </c>
    </row>
    <row r="28" spans="1:17" s="9" customFormat="1" hidden="1" outlineLevel="1" x14ac:dyDescent="0.3">
      <c r="A28" s="22"/>
      <c r="B28" s="10" t="str">
        <f>CONCATENATE("          ","5053", " - ","PURCHASES @ COST-FOOD")</f>
        <v xml:space="preserve">          5053 - PURCHASES @ COST-FOOD</v>
      </c>
      <c r="C28" s="23"/>
      <c r="D28" s="2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>
        <f>SUM(OSRRefD14_10x)+IFERROR(SUM(OSRRefE14_10x),0)</f>
        <v>0</v>
      </c>
    </row>
    <row r="29" spans="1:17" s="9" customFormat="1" hidden="1" outlineLevel="1" x14ac:dyDescent="0.3">
      <c r="A29" s="22"/>
      <c r="B29" s="10" t="str">
        <f>CONCATENATE("          ","5200", " - ","PURCHASES OFFSET")</f>
        <v xml:space="preserve">          5200 - PURCHASES OFFSET</v>
      </c>
      <c r="C29" s="23"/>
      <c r="D29" s="2">
        <v>-346348.67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>
        <f>SUM(OSRRefD14_11x)+IFERROR(SUM(OSRRefE14_11x),0)</f>
        <v>-346348.67</v>
      </c>
    </row>
    <row r="30" spans="1:17" s="9" customFormat="1" hidden="1" outlineLevel="1" x14ac:dyDescent="0.3">
      <c r="A30" s="22"/>
      <c r="B30" s="10" t="str">
        <f>CONCATENATE("          ","5300", " - ","COG$ OFFSET")</f>
        <v xml:space="preserve">          5300 - COG$ OFFSET</v>
      </c>
      <c r="C30" s="23"/>
      <c r="D30" s="2">
        <v>125411.41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>
        <f>SUM(OSRRefD14_12x)+IFERROR(SUM(OSRRefE14_12x),0)</f>
        <v>125411.41</v>
      </c>
    </row>
    <row r="31" spans="1:17" s="9" customFormat="1" hidden="1" outlineLevel="1" x14ac:dyDescent="0.3">
      <c r="A31" s="22"/>
      <c r="B31" s="10" t="str">
        <f>CONCATENATE("          ","5500", " - ","FREIGHT-IN")</f>
        <v xml:space="preserve">          5500 - FREIGHT-IN</v>
      </c>
      <c r="C31" s="23"/>
      <c r="D31" s="2">
        <v>3585.03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>
        <f>SUM(OSRRefD14_13x)+IFERROR(SUM(OSRRefE14_13x),0)</f>
        <v>3585.03</v>
      </c>
    </row>
    <row r="32" spans="1:17" s="9" customFormat="1" hidden="1" outlineLevel="1" x14ac:dyDescent="0.3">
      <c r="A32" s="22"/>
      <c r="B32" s="10" t="str">
        <f>CONCATENATE("          ","5501", " - ","FREIGHT-IN-NEW TEXT")</f>
        <v xml:space="preserve">          5501 - FREIGHT-IN-NEW TEXT</v>
      </c>
      <c r="C32" s="23"/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>
        <f>SUM(OSRRefD14_14x)+IFERROR(SUM(OSRRefE14_14x),0)</f>
        <v>0</v>
      </c>
    </row>
    <row r="33" spans="1:17" s="9" customFormat="1" hidden="1" outlineLevel="1" x14ac:dyDescent="0.3">
      <c r="A33" s="22"/>
      <c r="B33" s="10" t="str">
        <f>CONCATENATE("          ","5502", " - ","FREIGHT-IN-USED TEXT")</f>
        <v xml:space="preserve">          5502 - FREIGHT-IN-USED TEXT</v>
      </c>
      <c r="C33" s="23"/>
      <c r="D33" s="2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>
        <f>SUM(OSRRefD14_15x)+IFERROR(SUM(OSRRefE14_15x),0)</f>
        <v>0</v>
      </c>
    </row>
    <row r="34" spans="1:17" s="9" customFormat="1" hidden="1" outlineLevel="1" x14ac:dyDescent="0.3">
      <c r="A34" s="22"/>
      <c r="B34" s="10" t="str">
        <f>CONCATENATE("          ","5518", " - ","FREIGHT-IN-STUDY GUIDES")</f>
        <v xml:space="preserve">          5518 - FREIGHT-IN-STUDY GUIDES</v>
      </c>
      <c r="C34" s="23"/>
      <c r="D34" s="2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>
        <f>SUM(OSRRefD14_16x)+IFERROR(SUM(OSRRefE14_16x),0)</f>
        <v>0</v>
      </c>
    </row>
    <row r="35" spans="1:17" s="9" customFormat="1" hidden="1" outlineLevel="1" x14ac:dyDescent="0.3">
      <c r="A35" s="22"/>
      <c r="B35" s="10" t="str">
        <f>CONCATENATE("          ","5540", " - ","FREIGHT-IN-LOGO CLOTHING")</f>
        <v xml:space="preserve">          5540 - FREIGHT-IN-LOGO CLOTHING</v>
      </c>
      <c r="C35" s="23"/>
      <c r="D35" s="2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>
        <f>SUM(OSRRefD14_17x)+IFERROR(SUM(OSRRefE14_17x),0)</f>
        <v>0</v>
      </c>
    </row>
    <row r="36" spans="1:17" s="9" customFormat="1" hidden="1" outlineLevel="1" x14ac:dyDescent="0.3">
      <c r="A36" s="22"/>
      <c r="B36" s="10" t="str">
        <f>CONCATENATE("          ","5541", " - ","FREIGHT-IN-LOGO GIFTS")</f>
        <v xml:space="preserve">          5541 - FREIGHT-IN-LOGO GIFTS</v>
      </c>
      <c r="C36" s="23"/>
      <c r="D36" s="2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>
        <f>SUM(OSRRefD14_18x)+IFERROR(SUM(OSRRefE14_18x),0)</f>
        <v>0</v>
      </c>
    </row>
    <row r="37" spans="1:17" s="9" customFormat="1" hidden="1" outlineLevel="1" x14ac:dyDescent="0.3">
      <c r="A37" s="22"/>
      <c r="B37" s="10" t="str">
        <f>CONCATENATE("          ","5542", " - ","FREIGHT-IN-EVERYDAY GIFTS")</f>
        <v xml:space="preserve">          5542 - FREIGHT-IN-EVERYDAY GIFTS</v>
      </c>
      <c r="C37" s="23"/>
      <c r="D37" s="2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>
        <f>SUM(OSRRefD14_19x)+IFERROR(SUM(OSRRefE14_19x),0)</f>
        <v>0</v>
      </c>
    </row>
    <row r="38" spans="1:17" s="9" customFormat="1" hidden="1" outlineLevel="1" x14ac:dyDescent="0.3">
      <c r="A38" s="22"/>
      <c r="B38" s="10" t="str">
        <f>CONCATENATE("          ","5544", " - ","FREIGHT-IN-ACCESSORIES")</f>
        <v xml:space="preserve">          5544 - FREIGHT-IN-ACCESSORIES</v>
      </c>
      <c r="C38" s="23"/>
      <c r="D38" s="2"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>
        <f>SUM(OSRRefD14_20x)+IFERROR(SUM(OSRRefE14_20x),0)</f>
        <v>0</v>
      </c>
    </row>
    <row r="39" spans="1:17" s="9" customFormat="1" hidden="1" outlineLevel="1" x14ac:dyDescent="0.3">
      <c r="A39" s="22"/>
      <c r="B39" s="10" t="str">
        <f>CONCATENATE("          ","5545", " - ","FREIGHT-IN-SPECIAL ORDERS")</f>
        <v xml:space="preserve">          5545 - FREIGHT-IN-SPECIAL ORDERS</v>
      </c>
      <c r="C39" s="23"/>
      <c r="D39" s="2"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>
        <f>SUM(OSRRefD14_21x)+IFERROR(SUM(OSRRefE14_21x),0)</f>
        <v>0</v>
      </c>
    </row>
    <row r="40" spans="1:17" x14ac:dyDescent="0.3">
      <c r="A40" s="5"/>
      <c r="B40" s="6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</row>
    <row r="41" spans="1:17" s="15" customFormat="1" x14ac:dyDescent="0.3">
      <c r="A41" s="6"/>
      <c r="B41" s="17" t="s">
        <v>105</v>
      </c>
      <c r="C41" s="17"/>
      <c r="D41" s="8">
        <f t="shared" ref="D41:O41" si="0">IFERROR(+D10-D17, 0)</f>
        <v>93076.780000000028</v>
      </c>
      <c r="E41" s="8">
        <f t="shared" si="0"/>
        <v>892200</v>
      </c>
      <c r="F41" s="8">
        <f t="shared" si="0"/>
        <v>337607</v>
      </c>
      <c r="G41" s="8">
        <f t="shared" si="0"/>
        <v>220252</v>
      </c>
      <c r="H41" s="8">
        <f t="shared" si="0"/>
        <v>147073</v>
      </c>
      <c r="I41" s="8">
        <f t="shared" si="0"/>
        <v>212843</v>
      </c>
      <c r="J41" s="8">
        <f t="shared" si="0"/>
        <v>700168</v>
      </c>
      <c r="K41" s="8">
        <f t="shared" si="0"/>
        <v>298795</v>
      </c>
      <c r="L41" s="8">
        <f t="shared" si="0"/>
        <v>249235</v>
      </c>
      <c r="M41" s="8">
        <f t="shared" si="0"/>
        <v>239123</v>
      </c>
      <c r="N41" s="8">
        <f t="shared" si="0"/>
        <v>223378</v>
      </c>
      <c r="O41" s="8">
        <f t="shared" si="0"/>
        <v>140600</v>
      </c>
      <c r="Q41" s="8">
        <f>IFERROR(+Q10-Q17, 0)</f>
        <v>3754350.7800000003</v>
      </c>
    </row>
    <row r="42" spans="1:17" s="6" customFormat="1" x14ac:dyDescent="0.3">
      <c r="B42" s="16"/>
      <c r="C42" s="16"/>
      <c r="D42" s="4">
        <f t="shared" ref="D42:O42" si="1">IFERROR(D41/D10, 0)</f>
        <v>0.42212032369240904</v>
      </c>
      <c r="E42" s="4">
        <f t="shared" si="1"/>
        <v>0.32399384694940292</v>
      </c>
      <c r="F42" s="4">
        <f t="shared" si="1"/>
        <v>0.39251151002185741</v>
      </c>
      <c r="G42" s="4">
        <f t="shared" si="1"/>
        <v>0.50709932609931918</v>
      </c>
      <c r="H42" s="4">
        <f t="shared" si="1"/>
        <v>0.50425143828900176</v>
      </c>
      <c r="I42" s="4">
        <f t="shared" si="1"/>
        <v>0.48690227548800491</v>
      </c>
      <c r="J42" s="4">
        <f t="shared" si="1"/>
        <v>0.34496812273976923</v>
      </c>
      <c r="K42" s="4">
        <f t="shared" si="1"/>
        <v>0.46367651349153638</v>
      </c>
      <c r="L42" s="4">
        <f t="shared" si="1"/>
        <v>0.55006256855505264</v>
      </c>
      <c r="M42" s="4">
        <f t="shared" si="1"/>
        <v>0.54691563305513691</v>
      </c>
      <c r="N42" s="4">
        <f t="shared" si="1"/>
        <v>0.52784453282103272</v>
      </c>
      <c r="O42" s="4">
        <f t="shared" si="1"/>
        <v>0.4726050420168067</v>
      </c>
      <c r="P42" s="18"/>
      <c r="Q42" s="4">
        <f>IFERROR(Q41/Q10, 0)</f>
        <v>0.40445072836030799</v>
      </c>
    </row>
    <row r="43" spans="1:17" x14ac:dyDescent="0.3">
      <c r="A43" s="5"/>
      <c r="B43" s="6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</row>
    <row r="44" spans="1:17" s="15" customFormat="1" x14ac:dyDescent="0.3">
      <c r="A44" s="6"/>
      <c r="B44" s="16" t="s">
        <v>255</v>
      </c>
      <c r="C44" s="6"/>
      <c r="D44" s="13">
        <f>SUM(OSRRefD20x_0)</f>
        <v>375360.22999999992</v>
      </c>
      <c r="E44" s="13">
        <f>SUM(OSRRefE20x_0)</f>
        <v>385749.69293902814</v>
      </c>
      <c r="F44" s="13">
        <f>SUM(OSRRefE20x_1)</f>
        <v>355754.33987922047</v>
      </c>
      <c r="G44" s="13">
        <f>SUM(OSRRefE20x_2)</f>
        <v>416014.71067114105</v>
      </c>
      <c r="H44" s="13">
        <f>SUM(OSRRefE20x_3)</f>
        <v>319535.9622369128</v>
      </c>
      <c r="I44" s="13">
        <f>SUM(OSRRefE20x_4)</f>
        <v>327511.28073191288</v>
      </c>
      <c r="J44" s="13">
        <f>SUM(OSRRefE20x_5)</f>
        <v>472252.470923891</v>
      </c>
      <c r="K44" s="13">
        <f>SUM(OSRRefE20x_6)</f>
        <v>367788.3406835628</v>
      </c>
      <c r="L44" s="13">
        <f>SUM(OSRRefE20x_7)</f>
        <v>318379.89686681284</v>
      </c>
      <c r="M44" s="13">
        <f>SUM(OSRRefE20x_8)</f>
        <v>373196.93499389105</v>
      </c>
      <c r="N44" s="13">
        <f>SUM(OSRRefE20x_9)</f>
        <v>317370.49562256283</v>
      </c>
      <c r="O44" s="13">
        <f>SUM(OSRRefE20x_10)</f>
        <v>307047.75167221285</v>
      </c>
      <c r="Q44" s="13">
        <f>SUM(OSRRefG20x)</f>
        <v>4335962.107221148</v>
      </c>
    </row>
    <row r="45" spans="1:17" s="34" customFormat="1" collapsed="1" x14ac:dyDescent="0.3">
      <c r="A45" s="35"/>
      <c r="B45" s="14" t="str">
        <f>CONCATENATE("     ","*Benefits                                         ")</f>
        <v xml:space="preserve">     *Benefits                                         </v>
      </c>
      <c r="C45" s="14"/>
      <c r="D45" s="1">
        <f>SUM(OSRRefD21_0x_0)</f>
        <v>47426.359999999993</v>
      </c>
      <c r="E45" s="1">
        <f>SUM(OSRRefE21_0x_0)</f>
        <v>55965.672201466667</v>
      </c>
      <c r="F45" s="1">
        <f>SUM(OSRRefE21_0x_1)</f>
        <v>50812.845103197491</v>
      </c>
      <c r="G45" s="1">
        <f>SUM(OSRRefE21_0x_2)</f>
        <v>55161.167778035204</v>
      </c>
      <c r="H45" s="1">
        <f>SUM(OSRRefE21_0x_3)</f>
        <v>46924.208422428237</v>
      </c>
      <c r="I45" s="1">
        <f>SUM(OSRRefE21_0x_4)</f>
        <v>47715.624417428262</v>
      </c>
      <c r="J45" s="1">
        <f>SUM(OSRRefE21_0x_5)</f>
        <v>59996.798855785208</v>
      </c>
      <c r="K45" s="1">
        <f>SUM(OSRRefE21_0x_6)</f>
        <v>48492.150844078249</v>
      </c>
      <c r="L45" s="1">
        <f>SUM(OSRRefE21_0x_7)</f>
        <v>47708.070127328254</v>
      </c>
      <c r="M45" s="1">
        <f>SUM(OSRRefE21_0x_8)</f>
        <v>55782.52702578521</v>
      </c>
      <c r="N45" s="1">
        <f>SUM(OSRRefE21_0x_9)</f>
        <v>47509.395483078246</v>
      </c>
      <c r="O45" s="1">
        <f>SUM(OSRRefE21_0x_10)</f>
        <v>46827.007907728257</v>
      </c>
      <c r="Q45" s="2">
        <f>SUM(OSRRefD20_0x)+IFERROR(SUM(OSRRefE20_0x),0)</f>
        <v>610321.82816633931</v>
      </c>
    </row>
    <row r="46" spans="1:17" s="34" customFormat="1" hidden="1" outlineLevel="1" x14ac:dyDescent="0.3">
      <c r="A46" s="35"/>
      <c r="B46" s="10" t="str">
        <f>CONCATENATE("          ","6111", " - ","F.I.C.A.")</f>
        <v xml:space="preserve">          6111 - F.I.C.A.</v>
      </c>
      <c r="C46" s="14"/>
      <c r="D46" s="2">
        <v>9628.01</v>
      </c>
      <c r="E46" s="2">
        <v>11244.463494710501</v>
      </c>
      <c r="F46" s="2">
        <v>9589.5066599028505</v>
      </c>
      <c r="G46" s="2">
        <v>11604.9323969939</v>
      </c>
      <c r="H46" s="2">
        <v>9205.6939925951501</v>
      </c>
      <c r="I46" s="2">
        <v>9311.2288625951605</v>
      </c>
      <c r="J46" s="2">
        <v>12895.0617442439</v>
      </c>
      <c r="K46" s="2">
        <v>9769.8333569951501</v>
      </c>
      <c r="L46" s="2">
        <v>9627.6310507451508</v>
      </c>
      <c r="M46" s="2">
        <v>12039.984401243901</v>
      </c>
      <c r="N46" s="2">
        <v>9523.8391514951509</v>
      </c>
      <c r="O46" s="2">
        <v>9259.5489188951506</v>
      </c>
      <c r="P46" s="9"/>
      <c r="Q46" s="2">
        <f>SUM(OSRRefD21_0_0x)+IFERROR(SUM(OSRRefE21_0_0x),0)</f>
        <v>123699.73403041596</v>
      </c>
    </row>
    <row r="47" spans="1:17" s="34" customFormat="1" hidden="1" outlineLevel="1" x14ac:dyDescent="0.3">
      <c r="A47" s="35"/>
      <c r="B47" s="10" t="str">
        <f>CONCATENATE("          ","6112", " - ","COMPENSATION INSURANCE")</f>
        <v xml:space="preserve">          6112 - COMPENSATION INSURANCE</v>
      </c>
      <c r="C47" s="14"/>
      <c r="D47" s="2">
        <v>1973.41</v>
      </c>
      <c r="E47" s="2">
        <v>3865.8361408646201</v>
      </c>
      <c r="F47" s="2">
        <v>3369.8006908646198</v>
      </c>
      <c r="G47" s="2">
        <v>3644.1595635807698</v>
      </c>
      <c r="H47" s="2">
        <v>2754.3170408646101</v>
      </c>
      <c r="I47" s="2">
        <v>3007.0552408646199</v>
      </c>
      <c r="J47" s="2">
        <v>4730.2511730807701</v>
      </c>
      <c r="K47" s="2">
        <v>3224.3015278646199</v>
      </c>
      <c r="L47" s="2">
        <v>2978.8359683646199</v>
      </c>
      <c r="M47" s="2">
        <v>3751.0977040807702</v>
      </c>
      <c r="N47" s="2">
        <v>2867.6546088646101</v>
      </c>
      <c r="O47" s="2">
        <v>2726.3259538646198</v>
      </c>
      <c r="P47" s="9"/>
      <c r="Q47" s="2">
        <f>SUM(OSRRefD21_0_1x)+IFERROR(SUM(OSRRefE21_0_1x),0)</f>
        <v>38893.045613159251</v>
      </c>
    </row>
    <row r="48" spans="1:17" s="34" customFormat="1" hidden="1" outlineLevel="1" x14ac:dyDescent="0.3">
      <c r="A48" s="35"/>
      <c r="B48" s="10" t="str">
        <f>CONCATENATE("          ","6113", " - ","GROUP INSURANCE")</f>
        <v xml:space="preserve">          6113 - GROUP INSURANCE</v>
      </c>
      <c r="C48" s="14"/>
      <c r="D48" s="2">
        <v>17896.5</v>
      </c>
      <c r="E48" s="2">
        <v>19669.9230769231</v>
      </c>
      <c r="F48" s="2">
        <v>18681.4230769231</v>
      </c>
      <c r="G48" s="2">
        <v>18761.1538461538</v>
      </c>
      <c r="H48" s="2">
        <v>17692.9230769231</v>
      </c>
      <c r="I48" s="2">
        <v>17692.9230769231</v>
      </c>
      <c r="J48" s="2">
        <v>18761.1538461538</v>
      </c>
      <c r="K48" s="2">
        <v>17692.9230769231</v>
      </c>
      <c r="L48" s="2">
        <v>17692.9230769231</v>
      </c>
      <c r="M48" s="2">
        <v>18761.1538461538</v>
      </c>
      <c r="N48" s="2">
        <v>17692.9230769231</v>
      </c>
      <c r="O48" s="2">
        <v>17692.9230769231</v>
      </c>
      <c r="P48" s="9"/>
      <c r="Q48" s="2">
        <f>SUM(OSRRefD21_0_2x)+IFERROR(SUM(OSRRefE21_0_2x),0)</f>
        <v>218688.84615384619</v>
      </c>
    </row>
    <row r="49" spans="1:17" s="34" customFormat="1" hidden="1" outlineLevel="1" x14ac:dyDescent="0.3">
      <c r="A49" s="35"/>
      <c r="B49" s="10" t="str">
        <f>CONCATENATE("          ","6114", " - ","STATE UNEMPLOYMENT INSURANCE")</f>
        <v xml:space="preserve">          6114 - STATE UNEMPLOYMENT INSURANCE</v>
      </c>
      <c r="C49" s="14"/>
      <c r="D49" s="2">
        <v>357.53</v>
      </c>
      <c r="E49" s="2">
        <v>480.60879669923099</v>
      </c>
      <c r="F49" s="2">
        <v>400.68186785307699</v>
      </c>
      <c r="G49" s="2">
        <v>421.54769250865399</v>
      </c>
      <c r="H49" s="2">
        <v>328.11438900692298</v>
      </c>
      <c r="I49" s="2">
        <v>365.219814006923</v>
      </c>
      <c r="J49" s="2">
        <v>592.44151350865297</v>
      </c>
      <c r="K49" s="2">
        <v>373.32508425692299</v>
      </c>
      <c r="L49" s="2">
        <v>347.39153325692303</v>
      </c>
      <c r="M49" s="2">
        <v>436.73789550865399</v>
      </c>
      <c r="N49" s="2">
        <v>348.45779775692301</v>
      </c>
      <c r="O49" s="2">
        <v>330.351435006923</v>
      </c>
      <c r="P49" s="9"/>
      <c r="Q49" s="2">
        <f>SUM(OSRRefD21_0_3x)+IFERROR(SUM(OSRRefE21_0_3x),0)</f>
        <v>4782.4078193698069</v>
      </c>
    </row>
    <row r="50" spans="1:17" s="34" customFormat="1" hidden="1" outlineLevel="1" x14ac:dyDescent="0.3">
      <c r="A50" s="35"/>
      <c r="B50" s="10" t="str">
        <f>CONCATENATE("          ","6115", " - ","P.E.R.S.")</f>
        <v xml:space="preserve">          6115 - P.E.R.S.</v>
      </c>
      <c r="C50" s="14"/>
      <c r="D50" s="2">
        <v>6296.23</v>
      </c>
      <c r="E50" s="2">
        <v>5274.4699354922996</v>
      </c>
      <c r="F50" s="2">
        <v>4943.9983970307703</v>
      </c>
      <c r="G50" s="2">
        <v>5766.90857321154</v>
      </c>
      <c r="H50" s="2">
        <v>4613.5268585692302</v>
      </c>
      <c r="I50" s="2">
        <v>4613.5268585692302</v>
      </c>
      <c r="J50" s="2">
        <v>5766.90857321154</v>
      </c>
      <c r="K50" s="2">
        <v>4613.5268585692302</v>
      </c>
      <c r="L50" s="2">
        <v>4613.5268585692302</v>
      </c>
      <c r="M50" s="2">
        <v>5766.90857321154</v>
      </c>
      <c r="N50" s="2">
        <v>4613.5268585692302</v>
      </c>
      <c r="O50" s="2">
        <v>4613.5268585692302</v>
      </c>
      <c r="P50" s="9"/>
      <c r="Q50" s="2">
        <f>SUM(OSRRefD21_0_4x)+IFERROR(SUM(OSRRefE21_0_4x),0)</f>
        <v>61496.585203573079</v>
      </c>
    </row>
    <row r="51" spans="1:17" s="34" customFormat="1" hidden="1" outlineLevel="1" x14ac:dyDescent="0.3">
      <c r="A51" s="35"/>
      <c r="B51" s="10" t="str">
        <f>CONCATENATE("          ","6116", " - ","EDUCATIONAL BENEFITS")</f>
        <v xml:space="preserve">          6116 - EDUCATIONAL BENEFITS</v>
      </c>
      <c r="C51" s="14"/>
      <c r="D51" s="2"/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9"/>
      <c r="Q51" s="2">
        <f>SUM(OSRRefD21_0_5x)+IFERROR(SUM(OSRRefE21_0_5x),0)</f>
        <v>0</v>
      </c>
    </row>
    <row r="52" spans="1:17" s="34" customFormat="1" hidden="1" outlineLevel="1" x14ac:dyDescent="0.3">
      <c r="A52" s="35"/>
      <c r="B52" s="10" t="str">
        <f>CONCATENATE("          ","6117", " - ","RETIREMENT STAFF HOURLY")</f>
        <v xml:space="preserve">          6117 - RETIREMENT STAFF HOURLY</v>
      </c>
      <c r="C52" s="14"/>
      <c r="D52" s="2">
        <v>552.85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2">
        <f>SUM(OSRRefD21_0_6x)+IFERROR(SUM(OSRRefE21_0_6x),0)</f>
        <v>552.85</v>
      </c>
    </row>
    <row r="53" spans="1:17" s="34" customFormat="1" hidden="1" outlineLevel="1" x14ac:dyDescent="0.3">
      <c r="A53" s="35"/>
      <c r="B53" s="10" t="str">
        <f>CONCATENATE("          ","6118", " - ","VACATION")</f>
        <v xml:space="preserve">          6118 - VACATION</v>
      </c>
      <c r="C53" s="14"/>
      <c r="D53" s="2">
        <v>5400.79</v>
      </c>
      <c r="E53" s="2">
        <v>4793.0760803615303</v>
      </c>
      <c r="F53" s="2">
        <v>4408.8068495922998</v>
      </c>
      <c r="G53" s="2">
        <v>5030.6720235288503</v>
      </c>
      <c r="H53" s="2">
        <v>4024.5376188230798</v>
      </c>
      <c r="I53" s="2">
        <v>4024.5376188230798</v>
      </c>
      <c r="J53" s="2">
        <v>5030.6720235288503</v>
      </c>
      <c r="K53" s="2">
        <v>4024.5376188230798</v>
      </c>
      <c r="L53" s="2">
        <v>4024.5376188230798</v>
      </c>
      <c r="M53" s="2">
        <v>5030.6720235288503</v>
      </c>
      <c r="N53" s="2">
        <v>4024.5376188230798</v>
      </c>
      <c r="O53" s="2">
        <v>4024.5376188230798</v>
      </c>
      <c r="P53" s="9"/>
      <c r="Q53" s="2">
        <f>SUM(OSRRefD21_0_7x)+IFERROR(SUM(OSRRefE21_0_7x),0)</f>
        <v>53841.914713478865</v>
      </c>
    </row>
    <row r="54" spans="1:17" s="34" customFormat="1" hidden="1" outlineLevel="1" x14ac:dyDescent="0.3">
      <c r="A54" s="35"/>
      <c r="B54" s="10" t="str">
        <f>CONCATENATE("          ","6119", " - ","SICK LEAVE")</f>
        <v xml:space="preserve">          6119 - SICK LEAVE</v>
      </c>
      <c r="C54" s="14"/>
      <c r="D54" s="2">
        <v>3886.05</v>
      </c>
      <c r="E54" s="2">
        <v>8187.2946764153803</v>
      </c>
      <c r="F54" s="2">
        <v>6968.6275610307703</v>
      </c>
      <c r="G54" s="2">
        <v>7481.7936820576897</v>
      </c>
      <c r="H54" s="2">
        <v>5855.0954456461504</v>
      </c>
      <c r="I54" s="2">
        <v>6426.1329456461499</v>
      </c>
      <c r="J54" s="2">
        <v>9945.3099820576899</v>
      </c>
      <c r="K54" s="2">
        <v>6518.7033206461501</v>
      </c>
      <c r="L54" s="2">
        <v>6148.2240206461502</v>
      </c>
      <c r="M54" s="2">
        <v>7720.9725820576896</v>
      </c>
      <c r="N54" s="2">
        <v>6163.4563706461504</v>
      </c>
      <c r="O54" s="2">
        <v>5904.7940456461502</v>
      </c>
      <c r="P54" s="9"/>
      <c r="Q54" s="2">
        <f>SUM(OSRRefD21_0_8x)+IFERROR(SUM(OSRRefE21_0_8x),0)</f>
        <v>81206.454632496127</v>
      </c>
    </row>
    <row r="55" spans="1:17" s="34" customFormat="1" hidden="1" outlineLevel="1" x14ac:dyDescent="0.3">
      <c r="A55" s="35"/>
      <c r="B55" s="10" t="str">
        <f>CONCATENATE("          ","6156", " - ","EMPLOYEE MEALS")</f>
        <v xml:space="preserve">          6156 - EMPLOYEE MEALS</v>
      </c>
      <c r="C55" s="14"/>
      <c r="D55" s="2">
        <v>1434.99</v>
      </c>
      <c r="E55" s="2">
        <v>2450</v>
      </c>
      <c r="F55" s="2">
        <v>2450</v>
      </c>
      <c r="G55" s="2">
        <v>2450</v>
      </c>
      <c r="H55" s="2">
        <v>2450</v>
      </c>
      <c r="I55" s="2">
        <v>2275</v>
      </c>
      <c r="J55" s="2">
        <v>2275</v>
      </c>
      <c r="K55" s="2">
        <v>2275</v>
      </c>
      <c r="L55" s="2">
        <v>2275</v>
      </c>
      <c r="M55" s="2">
        <v>2275</v>
      </c>
      <c r="N55" s="2">
        <v>2275</v>
      </c>
      <c r="O55" s="2">
        <v>2275</v>
      </c>
      <c r="P55" s="9"/>
      <c r="Q55" s="2">
        <f>SUM(OSRRefD21_0_9x)+IFERROR(SUM(OSRRefE21_0_9x),0)</f>
        <v>27159.99</v>
      </c>
    </row>
    <row r="56" spans="1:17" s="34" customFormat="1" collapsed="1" x14ac:dyDescent="0.3">
      <c r="A56" s="35"/>
      <c r="B56" s="14" t="str">
        <f>CONCATENATE("     ","*Payroll                                          ")</f>
        <v xml:space="preserve">     *Payroll                                          </v>
      </c>
      <c r="C56" s="14"/>
      <c r="D56" s="1">
        <f>SUM(OSRRefD21_1x_0)</f>
        <v>166272.59000000003</v>
      </c>
      <c r="E56" s="1">
        <f>SUM(OSRRefE21_1x_0)</f>
        <v>220681.77073756146</v>
      </c>
      <c r="F56" s="1">
        <f>SUM(OSRRefE21_1x_1)</f>
        <v>182784.99477602297</v>
      </c>
      <c r="G56" s="1">
        <f>SUM(OSRRefE21_1x_2)</f>
        <v>191149.04289310583</v>
      </c>
      <c r="H56" s="1">
        <f>SUM(OSRRefE21_1x_3)</f>
        <v>148696.25381448457</v>
      </c>
      <c r="I56" s="1">
        <f>SUM(OSRRefE21_1x_4)</f>
        <v>166442.6563144846</v>
      </c>
      <c r="J56" s="1">
        <f>SUM(OSRRefE21_1x_5)</f>
        <v>273411.17206810578</v>
      </c>
      <c r="K56" s="1">
        <f>SUM(OSRRefE21_1x_6)</f>
        <v>170189.18983948458</v>
      </c>
      <c r="L56" s="1">
        <f>SUM(OSRRefE21_1x_7)</f>
        <v>157795.57673948459</v>
      </c>
      <c r="M56" s="1">
        <f>SUM(OSRRefE21_1x_8)</f>
        <v>198406.15796810584</v>
      </c>
      <c r="N56" s="1">
        <f>SUM(OSRRefE21_1x_9)</f>
        <v>158512.10013948457</v>
      </c>
      <c r="O56" s="1">
        <f>SUM(OSRRefE21_1x_10)</f>
        <v>149740.24376448459</v>
      </c>
      <c r="Q56" s="2">
        <f>SUM(OSRRefD20_1x)+IFERROR(SUM(OSRRefE20_1x),0)</f>
        <v>2184081.7490548091</v>
      </c>
    </row>
    <row r="57" spans="1:17" s="34" customFormat="1" hidden="1" outlineLevel="1" x14ac:dyDescent="0.3">
      <c r="A57" s="35"/>
      <c r="B57" s="10" t="str">
        <f>CONCATENATE("          ","6001", " - ","ADMINISTRATIVE SALARIES")</f>
        <v xml:space="preserve">          6001 - ADMINISTRATIVE SALARIES</v>
      </c>
      <c r="C57" s="14"/>
      <c r="D57" s="2">
        <v>5599.1</v>
      </c>
      <c r="E57" s="2">
        <v>4139.8076923076896</v>
      </c>
      <c r="F57" s="2">
        <v>4139.8076923076896</v>
      </c>
      <c r="G57" s="2">
        <v>5174.7596153846198</v>
      </c>
      <c r="H57" s="2">
        <v>4139.8076923076896</v>
      </c>
      <c r="I57" s="2">
        <v>4139.8076923076896</v>
      </c>
      <c r="J57" s="2">
        <v>5174.7596153846198</v>
      </c>
      <c r="K57" s="2">
        <v>4139.8076923076896</v>
      </c>
      <c r="L57" s="2">
        <v>4139.8076923076896</v>
      </c>
      <c r="M57" s="2">
        <v>5174.7596153846198</v>
      </c>
      <c r="N57" s="2">
        <v>4139.8076923076896</v>
      </c>
      <c r="O57" s="2">
        <v>4139.8076923076896</v>
      </c>
      <c r="P57" s="9"/>
      <c r="Q57" s="2">
        <f>SUM(OSRRefD21_1_0x)+IFERROR(SUM(OSRRefE21_1_0x),0)</f>
        <v>54241.840384615367</v>
      </c>
    </row>
    <row r="58" spans="1:17" s="34" customFormat="1" hidden="1" outlineLevel="1" x14ac:dyDescent="0.3">
      <c r="A58" s="35"/>
      <c r="B58" s="10" t="str">
        <f>CONCATENATE("          ","6002", " - ","STAFF SALARIES")</f>
        <v xml:space="preserve">          6002 - STAFF SALARIES</v>
      </c>
      <c r="C58" s="14"/>
      <c r="D58" s="2">
        <v>68536.740000000005</v>
      </c>
      <c r="E58" s="2">
        <v>50764.3507772538</v>
      </c>
      <c r="F58" s="2">
        <v>47498.062315715302</v>
      </c>
      <c r="G58" s="2">
        <v>55289.717317721203</v>
      </c>
      <c r="H58" s="2">
        <v>44231.773854176899</v>
      </c>
      <c r="I58" s="2">
        <v>44231.773854176899</v>
      </c>
      <c r="J58" s="2">
        <v>55289.717317721203</v>
      </c>
      <c r="K58" s="2">
        <v>44231.773854176899</v>
      </c>
      <c r="L58" s="2">
        <v>44231.773854176899</v>
      </c>
      <c r="M58" s="2">
        <v>55289.717317721203</v>
      </c>
      <c r="N58" s="2">
        <v>44231.773854176899</v>
      </c>
      <c r="O58" s="2">
        <v>44231.773854176899</v>
      </c>
      <c r="P58" s="9"/>
      <c r="Q58" s="2">
        <f>SUM(OSRRefD21_1_1x)+IFERROR(SUM(OSRRefE21_1_1x),0)</f>
        <v>598058.94817119418</v>
      </c>
    </row>
    <row r="59" spans="1:17" s="34" customFormat="1" hidden="1" outlineLevel="1" x14ac:dyDescent="0.3">
      <c r="A59" s="35"/>
      <c r="B59" s="10" t="str">
        <f>CONCATENATE("          ","6003", " - ","STAFF HOURLY-9 MONTH")</f>
        <v xml:space="preserve">          6003 - STAFF HOURLY-9 MONTH</v>
      </c>
      <c r="C59" s="14"/>
      <c r="D59" s="2"/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9"/>
      <c r="Q59" s="2">
        <f>SUM(OSRRefD21_1_2x)+IFERROR(SUM(OSRRefE21_1_2x),0)</f>
        <v>0</v>
      </c>
    </row>
    <row r="60" spans="1:17" s="34" customFormat="1" hidden="1" outlineLevel="1" x14ac:dyDescent="0.3">
      <c r="A60" s="35"/>
      <c r="B60" s="10" t="str">
        <f>CONCATENATE("          ","6004", " - ","STAFF HOURLY")</f>
        <v xml:space="preserve">          6004 - STAFF HOURLY</v>
      </c>
      <c r="C60" s="14"/>
      <c r="D60" s="2">
        <v>18084.38</v>
      </c>
      <c r="E60" s="2">
        <v>37637.889768000001</v>
      </c>
      <c r="F60" s="2">
        <v>36815.814767999997</v>
      </c>
      <c r="G60" s="2">
        <v>46245.293460000001</v>
      </c>
      <c r="H60" s="2">
        <v>35950.089767999998</v>
      </c>
      <c r="I60" s="2">
        <v>37762.039768000002</v>
      </c>
      <c r="J60" s="2">
        <v>47719.27521</v>
      </c>
      <c r="K60" s="2">
        <v>40856.588567999999</v>
      </c>
      <c r="L60" s="2">
        <v>39446.679318000002</v>
      </c>
      <c r="M60" s="2">
        <v>49570.966710000001</v>
      </c>
      <c r="N60" s="2">
        <v>38131.141067999997</v>
      </c>
      <c r="O60" s="2">
        <v>37741.525068000003</v>
      </c>
      <c r="P60" s="9"/>
      <c r="Q60" s="2">
        <f>SUM(OSRRefD21_1_3x)+IFERROR(SUM(OSRRefE21_1_3x),0)</f>
        <v>465961.68347400002</v>
      </c>
    </row>
    <row r="61" spans="1:17" s="34" customFormat="1" hidden="1" outlineLevel="1" x14ac:dyDescent="0.3">
      <c r="A61" s="35"/>
      <c r="B61" s="10" t="str">
        <f>CONCATENATE("          ","6005", " - ","TEMPORARY WAGES-HOURLY")</f>
        <v xml:space="preserve">          6005 - TEMPORARY WAGES-HOURLY</v>
      </c>
      <c r="C61" s="14"/>
      <c r="D61" s="2">
        <v>9447.7999999999993</v>
      </c>
      <c r="E61" s="2">
        <v>4181</v>
      </c>
      <c r="F61" s="2">
        <v>3455</v>
      </c>
      <c r="G61" s="2">
        <v>3445</v>
      </c>
      <c r="H61" s="2">
        <v>3080</v>
      </c>
      <c r="I61" s="2">
        <v>4198</v>
      </c>
      <c r="J61" s="2">
        <v>3009.34</v>
      </c>
      <c r="K61" s="2">
        <v>1802</v>
      </c>
      <c r="L61" s="2">
        <v>1802</v>
      </c>
      <c r="M61" s="2">
        <v>2396.66</v>
      </c>
      <c r="N61" s="2">
        <v>2252.5</v>
      </c>
      <c r="O61" s="2">
        <v>2396.66</v>
      </c>
      <c r="P61" s="9"/>
      <c r="Q61" s="2">
        <f>SUM(OSRRefD21_1_4x)+IFERROR(SUM(OSRRefE21_1_4x),0)</f>
        <v>41465.96</v>
      </c>
    </row>
    <row r="62" spans="1:17" s="34" customFormat="1" hidden="1" outlineLevel="1" x14ac:dyDescent="0.3">
      <c r="A62" s="35"/>
      <c r="B62" s="10" t="str">
        <f>CONCATENATE("          ","6006", " - ","TEMPORARY PART TIME")</f>
        <v xml:space="preserve">          6006 - TEMPORARY PART TIME</v>
      </c>
      <c r="C62" s="14"/>
      <c r="D62" s="2">
        <v>2864.4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9"/>
      <c r="Q62" s="2">
        <f>SUM(OSRRefD21_1_5x)+IFERROR(SUM(OSRRefE21_1_5x),0)</f>
        <v>2864.4</v>
      </c>
    </row>
    <row r="63" spans="1:17" s="34" customFormat="1" hidden="1" outlineLevel="1" x14ac:dyDescent="0.3">
      <c r="A63" s="35"/>
      <c r="B63" s="10" t="str">
        <f>CONCATENATE("          ","6007", " - ","STUDENT HOURLY")</f>
        <v xml:space="preserve">          6007 - STUDENT HOURLY</v>
      </c>
      <c r="C63" s="14"/>
      <c r="D63" s="2">
        <v>51955.82</v>
      </c>
      <c r="E63" s="2">
        <v>45942.8675</v>
      </c>
      <c r="F63" s="2">
        <v>28753.599999999999</v>
      </c>
      <c r="G63" s="2">
        <v>35509.4</v>
      </c>
      <c r="H63" s="2">
        <v>28465.200000000001</v>
      </c>
      <c r="I63" s="2">
        <v>27936</v>
      </c>
      <c r="J63" s="2">
        <v>50998.61</v>
      </c>
      <c r="K63" s="2">
        <v>30933.624</v>
      </c>
      <c r="L63" s="2">
        <v>30466.416000000001</v>
      </c>
      <c r="M63" s="2">
        <v>37849.415999999997</v>
      </c>
      <c r="N63" s="2">
        <v>30466.416000000001</v>
      </c>
      <c r="O63" s="2">
        <v>27441.011350000001</v>
      </c>
      <c r="P63" s="9"/>
      <c r="Q63" s="2">
        <f>SUM(OSRRefD21_1_6x)+IFERROR(SUM(OSRRefE21_1_6x),0)</f>
        <v>426718.38085000002</v>
      </c>
    </row>
    <row r="64" spans="1:17" s="34" customFormat="1" hidden="1" outlineLevel="1" x14ac:dyDescent="0.3">
      <c r="A64" s="35"/>
      <c r="B64" s="10" t="str">
        <f>CONCATENATE("          ","6008", " - ","STUDENT HOURLY-FICA EXEMPT")</f>
        <v xml:space="preserve">          6008 - STUDENT HOURLY-FICA EXEMPT</v>
      </c>
      <c r="C64" s="14"/>
      <c r="D64" s="2">
        <v>9784.35</v>
      </c>
      <c r="E64" s="2">
        <v>78015.854999999996</v>
      </c>
      <c r="F64" s="2">
        <v>62122.71</v>
      </c>
      <c r="G64" s="2">
        <v>45484.872499999998</v>
      </c>
      <c r="H64" s="2">
        <v>32829.3825</v>
      </c>
      <c r="I64" s="2">
        <v>48175.035000000003</v>
      </c>
      <c r="J64" s="2">
        <v>111219.469925</v>
      </c>
      <c r="K64" s="2">
        <v>48225.395725000002</v>
      </c>
      <c r="L64" s="2">
        <v>37708.899875000003</v>
      </c>
      <c r="M64" s="2">
        <v>48124.638325</v>
      </c>
      <c r="N64" s="2">
        <v>39290.461524999999</v>
      </c>
      <c r="O64" s="2">
        <v>33789.465799999998</v>
      </c>
      <c r="P64" s="9"/>
      <c r="Q64" s="2">
        <f>SUM(OSRRefD21_1_7x)+IFERROR(SUM(OSRRefE21_1_7x),0)</f>
        <v>594770.53617500002</v>
      </c>
    </row>
    <row r="65" spans="1:17" s="34" customFormat="1" hidden="1" outlineLevel="1" x14ac:dyDescent="0.3">
      <c r="A65" s="35"/>
      <c r="B65" s="10" t="str">
        <f>CONCATENATE("          ","6009", " - ","TEMPORARY-SEASONAL")</f>
        <v xml:space="preserve">          6009 - TEMPORARY-SEASONAL</v>
      </c>
      <c r="C65" s="14"/>
      <c r="D65" s="2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9"/>
      <c r="Q65" s="2">
        <f>SUM(OSRRefD21_1_8x)+IFERROR(SUM(OSRRefE21_1_8x),0)</f>
        <v>0</v>
      </c>
    </row>
    <row r="66" spans="1:17" s="34" customFormat="1" hidden="1" outlineLevel="1" x14ac:dyDescent="0.3">
      <c r="A66" s="35"/>
      <c r="B66" s="10" t="str">
        <f>CONCATENATE("          ","6010", " - ","GRATUITY")</f>
        <v xml:space="preserve">          6010 - GRATUITY</v>
      </c>
      <c r="C66" s="14"/>
      <c r="D66" s="2"/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9"/>
      <c r="Q66" s="2">
        <f>SUM(OSRRefD21_1_9x)+IFERROR(SUM(OSRRefE21_1_9x),0)</f>
        <v>0</v>
      </c>
    </row>
    <row r="67" spans="1:17" s="34" customFormat="1" collapsed="1" x14ac:dyDescent="0.3">
      <c r="A67" s="35"/>
      <c r="B67" s="14" t="str">
        <f>CONCATENATE("     ","Advertising/Promo                                 ")</f>
        <v xml:space="preserve">     Advertising/Promo                                 </v>
      </c>
      <c r="C67" s="14"/>
      <c r="D67" s="1">
        <f>SUM(OSRRefD21_2x_0)</f>
        <v>493.63</v>
      </c>
      <c r="E67" s="1">
        <f>SUM(OSRRefE21_2x_0)</f>
        <v>600</v>
      </c>
      <c r="F67" s="1">
        <f>SUM(OSRRefE21_2x_1)</f>
        <v>300</v>
      </c>
      <c r="G67" s="1">
        <f>SUM(OSRRefE21_2x_2)</f>
        <v>300</v>
      </c>
      <c r="H67" s="1">
        <f>SUM(OSRRefE21_2x_3)</f>
        <v>300</v>
      </c>
      <c r="I67" s="1">
        <f>SUM(OSRRefE21_2x_4)</f>
        <v>400</v>
      </c>
      <c r="J67" s="1">
        <f>SUM(OSRRefE21_2x_5)</f>
        <v>600</v>
      </c>
      <c r="K67" s="1">
        <f>SUM(OSRRefE21_2x_6)</f>
        <v>300</v>
      </c>
      <c r="L67" s="1">
        <f>SUM(OSRRefE21_2x_7)</f>
        <v>300</v>
      </c>
      <c r="M67" s="1">
        <f>SUM(OSRRefE21_2x_8)</f>
        <v>300</v>
      </c>
      <c r="N67" s="1">
        <f>SUM(OSRRefE21_2x_9)</f>
        <v>400</v>
      </c>
      <c r="O67" s="1">
        <f>SUM(OSRRefE21_2x_10)</f>
        <v>300</v>
      </c>
      <c r="Q67" s="2">
        <f>SUM(OSRRefD20_2x)+IFERROR(SUM(OSRRefE20_2x),0)</f>
        <v>4593.63</v>
      </c>
    </row>
    <row r="68" spans="1:17" s="34" customFormat="1" hidden="1" outlineLevel="1" x14ac:dyDescent="0.3">
      <c r="A68" s="35"/>
      <c r="B68" s="10" t="str">
        <f>CONCATENATE("          ","6362", " - ","ADVERTISING EXPENSE")</f>
        <v xml:space="preserve">          6362 - ADVERTISING EXPENSE</v>
      </c>
      <c r="C68" s="14"/>
      <c r="D68" s="2">
        <v>493.63</v>
      </c>
      <c r="E68" s="2">
        <v>600</v>
      </c>
      <c r="F68" s="2">
        <v>300</v>
      </c>
      <c r="G68" s="2">
        <v>300</v>
      </c>
      <c r="H68" s="2">
        <v>300</v>
      </c>
      <c r="I68" s="2">
        <v>400</v>
      </c>
      <c r="J68" s="2">
        <v>600</v>
      </c>
      <c r="K68" s="2">
        <v>300</v>
      </c>
      <c r="L68" s="2">
        <v>300</v>
      </c>
      <c r="M68" s="2">
        <v>300</v>
      </c>
      <c r="N68" s="2">
        <v>400</v>
      </c>
      <c r="O68" s="2">
        <v>300</v>
      </c>
      <c r="P68" s="9"/>
      <c r="Q68" s="2">
        <f>SUM(OSRRefD21_2_0x)+IFERROR(SUM(OSRRefE21_2_0x),0)</f>
        <v>4593.63</v>
      </c>
    </row>
    <row r="69" spans="1:17" s="34" customFormat="1" collapsed="1" x14ac:dyDescent="0.3">
      <c r="A69" s="35"/>
      <c r="B69" s="14" t="str">
        <f>CONCATENATE("     ","Bad Debts/Over/Short                              ")</f>
        <v xml:space="preserve">     Bad Debts/Over/Short                              </v>
      </c>
      <c r="C69" s="14"/>
      <c r="D69" s="1">
        <f>SUM(OSRRefD21_3x_0)</f>
        <v>1.27</v>
      </c>
      <c r="E69" s="1">
        <f>SUM(OSRRefE21_3x_0)</f>
        <v>235</v>
      </c>
      <c r="F69" s="1">
        <f>SUM(OSRRefE21_3x_1)</f>
        <v>235</v>
      </c>
      <c r="G69" s="1">
        <f>SUM(OSRRefE21_3x_2)</f>
        <v>235</v>
      </c>
      <c r="H69" s="1">
        <f>SUM(OSRRefE21_3x_3)</f>
        <v>235</v>
      </c>
      <c r="I69" s="1">
        <f>SUM(OSRRefE21_3x_4)</f>
        <v>235</v>
      </c>
      <c r="J69" s="1">
        <f>SUM(OSRRefE21_3x_5)</f>
        <v>235</v>
      </c>
      <c r="K69" s="1">
        <f>SUM(OSRRefE21_3x_6)</f>
        <v>235</v>
      </c>
      <c r="L69" s="1">
        <f>SUM(OSRRefE21_3x_7)</f>
        <v>235</v>
      </c>
      <c r="M69" s="1">
        <f>SUM(OSRRefE21_3x_8)</f>
        <v>235</v>
      </c>
      <c r="N69" s="1">
        <f>SUM(OSRRefE21_3x_9)</f>
        <v>235</v>
      </c>
      <c r="O69" s="1">
        <f>SUM(OSRRefE21_3x_10)</f>
        <v>235</v>
      </c>
      <c r="Q69" s="2">
        <f>SUM(OSRRefD20_3x)+IFERROR(SUM(OSRRefE20_3x),0)</f>
        <v>2586.27</v>
      </c>
    </row>
    <row r="70" spans="1:17" s="34" customFormat="1" hidden="1" outlineLevel="1" x14ac:dyDescent="0.3">
      <c r="A70" s="35"/>
      <c r="B70" s="10" t="str">
        <f>CONCATENATE("          ","6272", " - ","CASH (OVER/SHORT)")</f>
        <v xml:space="preserve">          6272 - CASH (OVER/SHORT)</v>
      </c>
      <c r="C70" s="14"/>
      <c r="D70" s="2">
        <v>1.27</v>
      </c>
      <c r="E70" s="2">
        <v>235</v>
      </c>
      <c r="F70" s="2">
        <v>235</v>
      </c>
      <c r="G70" s="2">
        <v>235</v>
      </c>
      <c r="H70" s="2">
        <v>235</v>
      </c>
      <c r="I70" s="2">
        <v>235</v>
      </c>
      <c r="J70" s="2">
        <v>235</v>
      </c>
      <c r="K70" s="2">
        <v>235</v>
      </c>
      <c r="L70" s="2">
        <v>235</v>
      </c>
      <c r="M70" s="2">
        <v>235</v>
      </c>
      <c r="N70" s="2">
        <v>235</v>
      </c>
      <c r="O70" s="2">
        <v>235</v>
      </c>
      <c r="P70" s="9"/>
      <c r="Q70" s="2">
        <f>SUM(OSRRefD21_3_0x)+IFERROR(SUM(OSRRefE21_3_0x),0)</f>
        <v>2586.27</v>
      </c>
    </row>
    <row r="71" spans="1:17" s="34" customFormat="1" collapsed="1" x14ac:dyDescent="0.3">
      <c r="A71" s="35"/>
      <c r="B71" s="14" t="str">
        <f>CONCATENATE("     ","Bank/card Fees                                    ")</f>
        <v xml:space="preserve">     Bank/card Fees                                    </v>
      </c>
      <c r="C71" s="14"/>
      <c r="D71" s="1">
        <f>SUM(OSRRefD21_4x_0)</f>
        <v>4037.34</v>
      </c>
      <c r="E71" s="1">
        <f>SUM(OSRRefE21_4x_0)</f>
        <v>48976.25</v>
      </c>
      <c r="F71" s="1">
        <f>SUM(OSRRefE21_4x_1)</f>
        <v>18503.5</v>
      </c>
      <c r="G71" s="1">
        <f>SUM(OSRRefE21_4x_2)</f>
        <v>11235.5</v>
      </c>
      <c r="H71" s="1">
        <f>SUM(OSRRefE21_4x_3)</f>
        <v>8152.5</v>
      </c>
      <c r="I71" s="1">
        <f>SUM(OSRRefE21_4x_4)</f>
        <v>9352</v>
      </c>
      <c r="J71" s="1">
        <f>SUM(OSRRefE21_4x_5)</f>
        <v>36934.5</v>
      </c>
      <c r="K71" s="1">
        <f>SUM(OSRRefE21_4x_6)</f>
        <v>14012</v>
      </c>
      <c r="L71" s="1">
        <f>SUM(OSRRefE21_4x_7)</f>
        <v>12177.25</v>
      </c>
      <c r="M71" s="1">
        <f>SUM(OSRRefE21_4x_8)</f>
        <v>13931.25</v>
      </c>
      <c r="N71" s="1">
        <f>SUM(OSRRefE21_4x_9)</f>
        <v>16249</v>
      </c>
      <c r="O71" s="1">
        <f>SUM(OSRRefE21_4x_10)</f>
        <v>7825.5</v>
      </c>
      <c r="Q71" s="2">
        <f>SUM(OSRRefD20_4x)+IFERROR(SUM(OSRRefE20_4x),0)</f>
        <v>201386.59</v>
      </c>
    </row>
    <row r="72" spans="1:17" s="34" customFormat="1" hidden="1" outlineLevel="1" x14ac:dyDescent="0.3">
      <c r="A72" s="35"/>
      <c r="B72" s="10" t="str">
        <f>CONCATENATE("          ","6381", " - ","BANK/CREDIT CARD FEES")</f>
        <v xml:space="preserve">          6381 - BANK/CREDIT CARD FEES</v>
      </c>
      <c r="C72" s="14"/>
      <c r="D72" s="2">
        <v>4037.34</v>
      </c>
      <c r="E72" s="2">
        <v>48976.25</v>
      </c>
      <c r="F72" s="2">
        <v>18503.5</v>
      </c>
      <c r="G72" s="2">
        <v>11235.5</v>
      </c>
      <c r="H72" s="2">
        <v>8152.5</v>
      </c>
      <c r="I72" s="2">
        <v>9352</v>
      </c>
      <c r="J72" s="2">
        <v>36934.5</v>
      </c>
      <c r="K72" s="2">
        <v>14012</v>
      </c>
      <c r="L72" s="2">
        <v>12177.25</v>
      </c>
      <c r="M72" s="2">
        <v>13931.25</v>
      </c>
      <c r="N72" s="2">
        <v>16249</v>
      </c>
      <c r="O72" s="2">
        <v>7825.5</v>
      </c>
      <c r="P72" s="9"/>
      <c r="Q72" s="2">
        <f>SUM(OSRRefD21_4_0x)+IFERROR(SUM(OSRRefE21_4_0x),0)</f>
        <v>201386.59</v>
      </c>
    </row>
    <row r="73" spans="1:17" s="34" customFormat="1" collapsed="1" x14ac:dyDescent="0.3">
      <c r="A73" s="35"/>
      <c r="B73" s="14" t="str">
        <f>CONCATENATE("     ","Depreciation                                      ")</f>
        <v xml:space="preserve">     Depreciation                                      </v>
      </c>
      <c r="C73" s="14"/>
      <c r="D73" s="1">
        <f>SUM(OSRRefD21_5x_0)</f>
        <v>37856.22</v>
      </c>
      <c r="E73" s="1">
        <f>SUM(OSRRefE21_5x_0)</f>
        <v>37734</v>
      </c>
      <c r="F73" s="1">
        <f>SUM(OSRRefE21_5x_1)</f>
        <v>37733</v>
      </c>
      <c r="G73" s="1">
        <f>SUM(OSRRefE21_5x_2)</f>
        <v>36818</v>
      </c>
      <c r="H73" s="1">
        <f>SUM(OSRRefE21_5x_3)</f>
        <v>36818</v>
      </c>
      <c r="I73" s="1">
        <f>SUM(OSRRefE21_5x_4)</f>
        <v>36818</v>
      </c>
      <c r="J73" s="1">
        <f>SUM(OSRRefE21_5x_5)</f>
        <v>34553</v>
      </c>
      <c r="K73" s="1">
        <f>SUM(OSRRefE21_5x_6)</f>
        <v>33743</v>
      </c>
      <c r="L73" s="1">
        <f>SUM(OSRRefE21_5x_7)</f>
        <v>33743</v>
      </c>
      <c r="M73" s="1">
        <f>SUM(OSRRefE21_5x_8)</f>
        <v>22583</v>
      </c>
      <c r="N73" s="1">
        <f>SUM(OSRRefE21_5x_9)</f>
        <v>22583</v>
      </c>
      <c r="O73" s="1">
        <f>SUM(OSRRefE21_5x_10)</f>
        <v>22425</v>
      </c>
      <c r="Q73" s="2">
        <f>SUM(OSRRefD20_5x)+IFERROR(SUM(OSRRefE20_5x),0)</f>
        <v>393407.22</v>
      </c>
    </row>
    <row r="74" spans="1:17" s="34" customFormat="1" hidden="1" outlineLevel="1" x14ac:dyDescent="0.3">
      <c r="A74" s="35"/>
      <c r="B74" s="10" t="str">
        <f>CONCATENATE("          ","6321", " - ","BUILDING DEPRECIATION")</f>
        <v xml:space="preserve">          6321 - BUILDING DEPRECIATION</v>
      </c>
      <c r="C74" s="14"/>
      <c r="D74" s="2">
        <v>21477.03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2">
        <f>SUM(OSRRefD21_5_0x)+IFERROR(SUM(OSRRefE21_5_0x),0)</f>
        <v>21477.03</v>
      </c>
    </row>
    <row r="75" spans="1:17" s="34" customFormat="1" hidden="1" outlineLevel="1" x14ac:dyDescent="0.3">
      <c r="A75" s="35"/>
      <c r="B75" s="10" t="str">
        <f>CONCATENATE("          ","6322", " - ","EQUIPMENT DEPRECIATION EXPENSE")</f>
        <v xml:space="preserve">          6322 - EQUIPMENT DEPRECIATION EXPENSE</v>
      </c>
      <c r="C75" s="14"/>
      <c r="D75" s="2">
        <v>16379.19</v>
      </c>
      <c r="E75" s="2">
        <v>37734</v>
      </c>
      <c r="F75" s="2">
        <v>37733</v>
      </c>
      <c r="G75" s="2">
        <v>36818</v>
      </c>
      <c r="H75" s="2">
        <v>36818</v>
      </c>
      <c r="I75" s="2">
        <v>36818</v>
      </c>
      <c r="J75" s="2">
        <v>34553</v>
      </c>
      <c r="K75" s="2">
        <v>33743</v>
      </c>
      <c r="L75" s="2">
        <v>33743</v>
      </c>
      <c r="M75" s="2">
        <v>22583</v>
      </c>
      <c r="N75" s="2">
        <v>22583</v>
      </c>
      <c r="O75" s="2">
        <v>22425</v>
      </c>
      <c r="P75" s="9"/>
      <c r="Q75" s="2">
        <f>SUM(OSRRefD21_5_1x)+IFERROR(SUM(OSRRefE21_5_1x),0)</f>
        <v>371930.19</v>
      </c>
    </row>
    <row r="76" spans="1:17" s="34" customFormat="1" collapsed="1" x14ac:dyDescent="0.3">
      <c r="A76" s="35"/>
      <c r="B76" s="14" t="str">
        <f>CONCATENATE("     ","Discounts and Markdowns                           ")</f>
        <v xml:space="preserve">     Discounts and Markdowns                           </v>
      </c>
      <c r="C76" s="14"/>
      <c r="D76" s="1">
        <f>SUM(OSRRefD21_6x_0)</f>
        <v>-0.68</v>
      </c>
      <c r="E76" s="1">
        <f>SUM(OSRRefE21_6x_0)</f>
        <v>0</v>
      </c>
      <c r="F76" s="1">
        <f>SUM(OSRRefE21_6x_1)</f>
        <v>0</v>
      </c>
      <c r="G76" s="1">
        <f>SUM(OSRRefE21_6x_2)</f>
        <v>0</v>
      </c>
      <c r="H76" s="1">
        <f>SUM(OSRRefE21_6x_3)</f>
        <v>0</v>
      </c>
      <c r="I76" s="1">
        <f>SUM(OSRRefE21_6x_4)</f>
        <v>0</v>
      </c>
      <c r="J76" s="1">
        <f>SUM(OSRRefE21_6x_5)</f>
        <v>0</v>
      </c>
      <c r="K76" s="1">
        <f>SUM(OSRRefE21_6x_6)</f>
        <v>0</v>
      </c>
      <c r="L76" s="1">
        <f>SUM(OSRRefE21_6x_7)</f>
        <v>0</v>
      </c>
      <c r="M76" s="1">
        <f>SUM(OSRRefE21_6x_8)</f>
        <v>0</v>
      </c>
      <c r="N76" s="1">
        <f>SUM(OSRRefE21_6x_9)</f>
        <v>0</v>
      </c>
      <c r="O76" s="1">
        <f>SUM(OSRRefE21_6x_10)</f>
        <v>0</v>
      </c>
      <c r="Q76" s="2">
        <f>SUM(OSRRefD20_6x)+IFERROR(SUM(OSRRefE20_6x),0)</f>
        <v>-0.68</v>
      </c>
    </row>
    <row r="77" spans="1:17" s="34" customFormat="1" hidden="1" outlineLevel="1" x14ac:dyDescent="0.3">
      <c r="A77" s="35"/>
      <c r="B77" s="10" t="str">
        <f>CONCATENATE("          ","6382", " - ","DISCOUNTS/MARK DOWNS")</f>
        <v xml:space="preserve">          6382 - DISCOUNTS/MARK DOWNS</v>
      </c>
      <c r="C77" s="14"/>
      <c r="D77" s="2"/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2">
        <f>SUM(OSRRefD21_6_0x)+IFERROR(SUM(OSRRefE21_6_0x),0)</f>
        <v>0</v>
      </c>
    </row>
    <row r="78" spans="1:17" s="34" customFormat="1" hidden="1" outlineLevel="1" x14ac:dyDescent="0.3">
      <c r="A78" s="35"/>
      <c r="B78" s="10" t="str">
        <f>CONCATENATE("          ","9175", " - ","EARNED DISCOUNTS")</f>
        <v xml:space="preserve">          9175 - EARNED DISCOUNTS</v>
      </c>
      <c r="C78" s="14"/>
      <c r="D78" s="2">
        <v>-0.68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2">
        <f>SUM(OSRRefD21_6_1x)+IFERROR(SUM(OSRRefE21_6_1x),0)</f>
        <v>-0.68</v>
      </c>
    </row>
    <row r="79" spans="1:17" s="34" customFormat="1" collapsed="1" x14ac:dyDescent="0.3">
      <c r="A79" s="35"/>
      <c r="B79" s="14" t="str">
        <f>CONCATENATE("     ","Donations                                         ")</f>
        <v xml:space="preserve">     Donations                                         </v>
      </c>
      <c r="C79" s="14"/>
      <c r="D79" s="1">
        <f>SUM(OSRRefD21_7x_0)</f>
        <v>0</v>
      </c>
      <c r="E79" s="1">
        <f>SUM(OSRRefE21_7x_0)</f>
        <v>1250</v>
      </c>
      <c r="F79" s="1">
        <f>SUM(OSRRefE21_7x_1)</f>
        <v>1250</v>
      </c>
      <c r="G79" s="1">
        <f>SUM(OSRRefE21_7x_2)</f>
        <v>1250</v>
      </c>
      <c r="H79" s="1">
        <f>SUM(OSRRefE21_7x_3)</f>
        <v>1250</v>
      </c>
      <c r="I79" s="1">
        <f>SUM(OSRRefE21_7x_4)</f>
        <v>1250</v>
      </c>
      <c r="J79" s="1">
        <f>SUM(OSRRefE21_7x_5)</f>
        <v>1250</v>
      </c>
      <c r="K79" s="1">
        <f>SUM(OSRRefE21_7x_6)</f>
        <v>1250</v>
      </c>
      <c r="L79" s="1">
        <f>SUM(OSRRefE21_7x_7)</f>
        <v>1250</v>
      </c>
      <c r="M79" s="1">
        <f>SUM(OSRRefE21_7x_8)</f>
        <v>1250</v>
      </c>
      <c r="N79" s="1">
        <f>SUM(OSRRefE21_7x_9)</f>
        <v>1250</v>
      </c>
      <c r="O79" s="1">
        <f>SUM(OSRRefE21_7x_10)</f>
        <v>1250</v>
      </c>
      <c r="Q79" s="2">
        <f>SUM(OSRRefD20_7x)+IFERROR(SUM(OSRRefE20_7x),0)</f>
        <v>13750</v>
      </c>
    </row>
    <row r="80" spans="1:17" s="34" customFormat="1" hidden="1" outlineLevel="1" x14ac:dyDescent="0.3">
      <c r="A80" s="35"/>
      <c r="B80" s="10" t="str">
        <f>CONCATENATE("          ","6399", " - ","DONATION-ON CAMPUS")</f>
        <v xml:space="preserve">          6399 - DONATION-ON CAMPUS</v>
      </c>
      <c r="C80" s="14"/>
      <c r="D80" s="2"/>
      <c r="E80" s="2">
        <v>1250</v>
      </c>
      <c r="F80" s="2">
        <v>1250</v>
      </c>
      <c r="G80" s="2">
        <v>1250</v>
      </c>
      <c r="H80" s="2">
        <v>1250</v>
      </c>
      <c r="I80" s="2">
        <v>1250</v>
      </c>
      <c r="J80" s="2">
        <v>1250</v>
      </c>
      <c r="K80" s="2">
        <v>1250</v>
      </c>
      <c r="L80" s="2">
        <v>1250</v>
      </c>
      <c r="M80" s="2">
        <v>1250</v>
      </c>
      <c r="N80" s="2">
        <v>1250</v>
      </c>
      <c r="O80" s="2">
        <v>1250</v>
      </c>
      <c r="P80" s="9"/>
      <c r="Q80" s="2">
        <f>SUM(OSRRefD21_7_0x)+IFERROR(SUM(OSRRefE21_7_0x),0)</f>
        <v>13750</v>
      </c>
    </row>
    <row r="81" spans="1:17" s="34" customFormat="1" collapsed="1" x14ac:dyDescent="0.3">
      <c r="A81" s="35"/>
      <c r="B81" s="14" t="str">
        <f>CONCATENATE("     ","Employees' Appreciation                           ")</f>
        <v xml:space="preserve">     Employees' Appreciation                           </v>
      </c>
      <c r="C81" s="14"/>
      <c r="D81" s="1">
        <f>SUM(OSRRefD21_8x_0)</f>
        <v>537.36</v>
      </c>
      <c r="E81" s="1">
        <f>SUM(OSRRefE21_8x_0)</f>
        <v>225</v>
      </c>
      <c r="F81" s="1">
        <f>SUM(OSRRefE21_8x_1)</f>
        <v>225</v>
      </c>
      <c r="G81" s="1">
        <f>SUM(OSRRefE21_8x_2)</f>
        <v>225</v>
      </c>
      <c r="H81" s="1">
        <f>SUM(OSRRefE21_8x_3)</f>
        <v>225</v>
      </c>
      <c r="I81" s="1">
        <f>SUM(OSRRefE21_8x_4)</f>
        <v>275</v>
      </c>
      <c r="J81" s="1">
        <f>SUM(OSRRefE21_8x_5)</f>
        <v>225</v>
      </c>
      <c r="K81" s="1">
        <f>SUM(OSRRefE21_8x_6)</f>
        <v>225</v>
      </c>
      <c r="L81" s="1">
        <f>SUM(OSRRefE21_8x_7)</f>
        <v>225</v>
      </c>
      <c r="M81" s="1">
        <f>SUM(OSRRefE21_8x_8)</f>
        <v>225</v>
      </c>
      <c r="N81" s="1">
        <f>SUM(OSRRefE21_8x_9)</f>
        <v>275</v>
      </c>
      <c r="O81" s="1">
        <f>SUM(OSRRefE21_8x_10)</f>
        <v>225</v>
      </c>
      <c r="Q81" s="2">
        <f>SUM(OSRRefD20_8x)+IFERROR(SUM(OSRRefE20_8x),0)</f>
        <v>3112.36</v>
      </c>
    </row>
    <row r="82" spans="1:17" s="34" customFormat="1" hidden="1" outlineLevel="1" x14ac:dyDescent="0.3">
      <c r="A82" s="35"/>
      <c r="B82" s="10" t="str">
        <f>CONCATENATE("          ","6277", " - ","EMPLOYEE APPRECIATION")</f>
        <v xml:space="preserve">          6277 - EMPLOYEE APPRECIATION</v>
      </c>
      <c r="C82" s="14"/>
      <c r="D82" s="2">
        <v>537.36</v>
      </c>
      <c r="E82" s="2">
        <v>225</v>
      </c>
      <c r="F82" s="2">
        <v>225</v>
      </c>
      <c r="G82" s="2">
        <v>225</v>
      </c>
      <c r="H82" s="2">
        <v>225</v>
      </c>
      <c r="I82" s="2">
        <v>275</v>
      </c>
      <c r="J82" s="2">
        <v>225</v>
      </c>
      <c r="K82" s="2">
        <v>225</v>
      </c>
      <c r="L82" s="2">
        <v>225</v>
      </c>
      <c r="M82" s="2">
        <v>225</v>
      </c>
      <c r="N82" s="2">
        <v>275</v>
      </c>
      <c r="O82" s="2">
        <v>225</v>
      </c>
      <c r="P82" s="9"/>
      <c r="Q82" s="2">
        <f>SUM(OSRRefD21_8_0x)+IFERROR(SUM(OSRRefE21_8_0x),0)</f>
        <v>3112.36</v>
      </c>
    </row>
    <row r="83" spans="1:17" s="34" customFormat="1" collapsed="1" x14ac:dyDescent="0.3">
      <c r="A83" s="35"/>
      <c r="B83" s="14" t="str">
        <f>CONCATENATE("     ","Equipment Rental                                  ")</f>
        <v xml:space="preserve">     Equipment Rental                                  </v>
      </c>
      <c r="C83" s="14"/>
      <c r="D83" s="1">
        <f>SUM(OSRRefD21_9x_0)</f>
        <v>1388.16</v>
      </c>
      <c r="E83" s="1">
        <f>SUM(OSRRefE21_9x_0)</f>
        <v>1776</v>
      </c>
      <c r="F83" s="1">
        <f>SUM(OSRRefE21_9x_1)</f>
        <v>1876</v>
      </c>
      <c r="G83" s="1">
        <f>SUM(OSRRefE21_9x_2)</f>
        <v>1876</v>
      </c>
      <c r="H83" s="1">
        <f>SUM(OSRRefE21_9x_3)</f>
        <v>1876</v>
      </c>
      <c r="I83" s="1">
        <f>SUM(OSRRefE21_9x_4)</f>
        <v>1876</v>
      </c>
      <c r="J83" s="1">
        <f>SUM(OSRRefE21_9x_5)</f>
        <v>1876</v>
      </c>
      <c r="K83" s="1">
        <f>SUM(OSRRefE21_9x_6)</f>
        <v>1876</v>
      </c>
      <c r="L83" s="1">
        <f>SUM(OSRRefE21_9x_7)</f>
        <v>1876</v>
      </c>
      <c r="M83" s="1">
        <f>SUM(OSRRefE21_9x_8)</f>
        <v>1876</v>
      </c>
      <c r="N83" s="1">
        <f>SUM(OSRRefE21_9x_9)</f>
        <v>1876</v>
      </c>
      <c r="O83" s="1">
        <f>SUM(OSRRefE21_9x_10)</f>
        <v>1876</v>
      </c>
      <c r="Q83" s="2">
        <f>SUM(OSRRefD20_9x)+IFERROR(SUM(OSRRefE20_9x),0)</f>
        <v>21924.16</v>
      </c>
    </row>
    <row r="84" spans="1:17" s="34" customFormat="1" hidden="1" outlineLevel="1" x14ac:dyDescent="0.3">
      <c r="A84" s="35"/>
      <c r="B84" s="10" t="str">
        <f>CONCATENATE("          ","6351", " - ","EQUIPMENT RENTAL")</f>
        <v xml:space="preserve">          6351 - EQUIPMENT RENTAL</v>
      </c>
      <c r="C84" s="14"/>
      <c r="D84" s="2">
        <v>1388.16</v>
      </c>
      <c r="E84" s="2">
        <v>1776</v>
      </c>
      <c r="F84" s="2">
        <v>1876</v>
      </c>
      <c r="G84" s="2">
        <v>1876</v>
      </c>
      <c r="H84" s="2">
        <v>1876</v>
      </c>
      <c r="I84" s="2">
        <v>1876</v>
      </c>
      <c r="J84" s="2">
        <v>1876</v>
      </c>
      <c r="K84" s="2">
        <v>1876</v>
      </c>
      <c r="L84" s="2">
        <v>1876</v>
      </c>
      <c r="M84" s="2">
        <v>1876</v>
      </c>
      <c r="N84" s="2">
        <v>1876</v>
      </c>
      <c r="O84" s="2">
        <v>1876</v>
      </c>
      <c r="P84" s="9"/>
      <c r="Q84" s="2">
        <f>SUM(OSRRefD21_9_0x)+IFERROR(SUM(OSRRefE21_9_0x),0)</f>
        <v>21924.16</v>
      </c>
    </row>
    <row r="85" spans="1:17" s="34" customFormat="1" collapsed="1" x14ac:dyDescent="0.3">
      <c r="A85" s="35"/>
      <c r="B85" s="14" t="str">
        <f>CONCATENATE("     ","Freight out/Postage                               ")</f>
        <v xml:space="preserve">     Freight out/Postage                               </v>
      </c>
      <c r="C85" s="14"/>
      <c r="D85" s="1">
        <f>SUM(OSRRefD21_10x_0)</f>
        <v>3589.6099999999997</v>
      </c>
      <c r="E85" s="1">
        <f>SUM(OSRRefE21_10x_0)</f>
        <v>-42550</v>
      </c>
      <c r="F85" s="1">
        <f>SUM(OSRRefE21_10x_1)</f>
        <v>-10150</v>
      </c>
      <c r="G85" s="1">
        <f>SUM(OSRRefE21_10x_2)</f>
        <v>45250</v>
      </c>
      <c r="H85" s="1">
        <f>SUM(OSRRefE21_10x_3)</f>
        <v>10650</v>
      </c>
      <c r="I85" s="1">
        <f>SUM(OSRRefE21_10x_4)</f>
        <v>-50</v>
      </c>
      <c r="J85" s="1">
        <f>SUM(OSRRefE21_10x_5)</f>
        <v>-25550</v>
      </c>
      <c r="K85" s="1">
        <f>SUM(OSRRefE21_10x_6)</f>
        <v>1950</v>
      </c>
      <c r="L85" s="1">
        <f>SUM(OSRRefE21_10x_7)</f>
        <v>3350</v>
      </c>
      <c r="M85" s="1">
        <f>SUM(OSRRefE21_10x_8)</f>
        <v>-550</v>
      </c>
      <c r="N85" s="1">
        <f>SUM(OSRRefE21_10x_9)</f>
        <v>-1850</v>
      </c>
      <c r="O85" s="1">
        <f>SUM(OSRRefE21_10x_10)</f>
        <v>-2350</v>
      </c>
      <c r="Q85" s="2">
        <f>SUM(OSRRefD20_10x)+IFERROR(SUM(OSRRefE20_10x),0)</f>
        <v>-18260.39</v>
      </c>
    </row>
    <row r="86" spans="1:17" s="34" customFormat="1" hidden="1" outlineLevel="1" x14ac:dyDescent="0.3">
      <c r="A86" s="35"/>
      <c r="B86" s="10" t="str">
        <f>CONCATENATE("          ","6305", " - ","FREIGHT OUT")</f>
        <v xml:space="preserve">          6305 - FREIGHT OUT</v>
      </c>
      <c r="C86" s="14"/>
      <c r="D86" s="2">
        <v>10889.5</v>
      </c>
      <c r="E86" s="2">
        <v>7350</v>
      </c>
      <c r="F86" s="2">
        <v>1350</v>
      </c>
      <c r="G86" s="2">
        <v>56850</v>
      </c>
      <c r="H86" s="2">
        <v>15050</v>
      </c>
      <c r="I86" s="2">
        <v>9550</v>
      </c>
      <c r="J86" s="2">
        <v>15850</v>
      </c>
      <c r="K86" s="2">
        <v>23850</v>
      </c>
      <c r="L86" s="2">
        <v>9250</v>
      </c>
      <c r="M86" s="2">
        <v>3850</v>
      </c>
      <c r="N86" s="2">
        <v>2550</v>
      </c>
      <c r="O86" s="2">
        <v>2050</v>
      </c>
      <c r="P86" s="9"/>
      <c r="Q86" s="2">
        <f>SUM(OSRRefD21_10_0x)+IFERROR(SUM(OSRRefE21_10_0x),0)</f>
        <v>158439.5</v>
      </c>
    </row>
    <row r="87" spans="1:17" s="34" customFormat="1" hidden="1" outlineLevel="1" x14ac:dyDescent="0.3">
      <c r="A87" s="35"/>
      <c r="B87" s="10" t="str">
        <f>CONCATENATE("          ","6307", " - ","POSTAGE")</f>
        <v xml:space="preserve">          6307 - POSTAGE</v>
      </c>
      <c r="C87" s="14"/>
      <c r="D87" s="2">
        <v>-7299.89</v>
      </c>
      <c r="E87" s="2">
        <v>-49900</v>
      </c>
      <c r="F87" s="2">
        <v>-11500</v>
      </c>
      <c r="G87" s="2">
        <v>-11600</v>
      </c>
      <c r="H87" s="2">
        <v>-4400</v>
      </c>
      <c r="I87" s="2">
        <v>-9600</v>
      </c>
      <c r="J87" s="2">
        <v>-41400</v>
      </c>
      <c r="K87" s="2">
        <v>-21900</v>
      </c>
      <c r="L87" s="2">
        <v>-5900</v>
      </c>
      <c r="M87" s="2">
        <v>-4400</v>
      </c>
      <c r="N87" s="2">
        <v>-4400</v>
      </c>
      <c r="O87" s="2">
        <v>-4400</v>
      </c>
      <c r="P87" s="9"/>
      <c r="Q87" s="2">
        <f>SUM(OSRRefD21_10_1x)+IFERROR(SUM(OSRRefE21_10_1x),0)</f>
        <v>-176699.89</v>
      </c>
    </row>
    <row r="88" spans="1:17" s="34" customFormat="1" collapsed="1" x14ac:dyDescent="0.3">
      <c r="A88" s="35"/>
      <c r="B88" s="14" t="str">
        <f>CONCATENATE("     ","General                                           ")</f>
        <v xml:space="preserve">     General                                           </v>
      </c>
      <c r="C88" s="14"/>
      <c r="D88" s="1">
        <f>SUM(OSRRefD21_11x_0)</f>
        <v>778</v>
      </c>
      <c r="E88" s="1">
        <f>SUM(OSRRefE21_11x_0)</f>
        <v>325</v>
      </c>
      <c r="F88" s="1">
        <f>SUM(OSRRefE21_11x_1)</f>
        <v>500</v>
      </c>
      <c r="G88" s="1">
        <f>SUM(OSRRefE21_11x_2)</f>
        <v>200</v>
      </c>
      <c r="H88" s="1">
        <f>SUM(OSRRefE21_11x_3)</f>
        <v>700</v>
      </c>
      <c r="I88" s="1">
        <f>SUM(OSRRefE21_11x_4)</f>
        <v>2985</v>
      </c>
      <c r="J88" s="1">
        <f>SUM(OSRRefE21_11x_5)</f>
        <v>200</v>
      </c>
      <c r="K88" s="1">
        <f>SUM(OSRRefE21_11x_6)</f>
        <v>325</v>
      </c>
      <c r="L88" s="1">
        <f>SUM(OSRRefE21_11x_7)</f>
        <v>200</v>
      </c>
      <c r="M88" s="1">
        <f>SUM(OSRRefE21_11x_8)</f>
        <v>700</v>
      </c>
      <c r="N88" s="1">
        <f>SUM(OSRRefE21_11x_9)</f>
        <v>950</v>
      </c>
      <c r="O88" s="1">
        <f>SUM(OSRRefE21_11x_10)</f>
        <v>1200</v>
      </c>
      <c r="Q88" s="2">
        <f>SUM(OSRRefD20_11x)+IFERROR(SUM(OSRRefE20_11x),0)</f>
        <v>9063</v>
      </c>
    </row>
    <row r="89" spans="1:17" s="34" customFormat="1" hidden="1" outlineLevel="1" x14ac:dyDescent="0.3">
      <c r="A89" s="35"/>
      <c r="B89" s="10" t="str">
        <f>CONCATENATE("          ","6276", " - ","PROPERTY TAX")</f>
        <v xml:space="preserve">          6276 - PROPERTY TAX</v>
      </c>
      <c r="C89" s="14"/>
      <c r="D89" s="2"/>
      <c r="E89" s="2"/>
      <c r="F89" s="2"/>
      <c r="G89" s="2"/>
      <c r="H89" s="2"/>
      <c r="I89" s="2">
        <v>1125</v>
      </c>
      <c r="J89" s="2"/>
      <c r="K89" s="2"/>
      <c r="L89" s="2"/>
      <c r="M89" s="2"/>
      <c r="N89" s="2"/>
      <c r="O89" s="2"/>
      <c r="P89" s="9"/>
      <c r="Q89" s="2">
        <f>SUM(OSRRefD21_11_0x)+IFERROR(SUM(OSRRefE21_11_0x),0)</f>
        <v>1125</v>
      </c>
    </row>
    <row r="90" spans="1:17" s="34" customFormat="1" hidden="1" outlineLevel="1" x14ac:dyDescent="0.3">
      <c r="A90" s="35"/>
      <c r="B90" s="10" t="str">
        <f>CONCATENATE("          ","6279", " - ","GENERAL EXPENSE")</f>
        <v xml:space="preserve">          6279 - GENERAL EXPENSE</v>
      </c>
      <c r="C90" s="14"/>
      <c r="D90" s="2">
        <v>778</v>
      </c>
      <c r="E90" s="2">
        <v>325</v>
      </c>
      <c r="F90" s="2">
        <v>500</v>
      </c>
      <c r="G90" s="2">
        <v>200</v>
      </c>
      <c r="H90" s="2">
        <v>700</v>
      </c>
      <c r="I90" s="2">
        <v>1860</v>
      </c>
      <c r="J90" s="2">
        <v>200</v>
      </c>
      <c r="K90" s="2">
        <v>325</v>
      </c>
      <c r="L90" s="2">
        <v>200</v>
      </c>
      <c r="M90" s="2">
        <v>700</v>
      </c>
      <c r="N90" s="2">
        <v>950</v>
      </c>
      <c r="O90" s="2">
        <v>1200</v>
      </c>
      <c r="P90" s="9"/>
      <c r="Q90" s="2">
        <f>SUM(OSRRefD21_11_1x)+IFERROR(SUM(OSRRefE21_11_1x),0)</f>
        <v>7938</v>
      </c>
    </row>
    <row r="91" spans="1:17" s="34" customFormat="1" collapsed="1" x14ac:dyDescent="0.3">
      <c r="A91" s="35"/>
      <c r="B91" s="14" t="str">
        <f>CONCATENATE("     ","Insurance                                         ")</f>
        <v xml:space="preserve">     Insurance                                         </v>
      </c>
      <c r="C91" s="14"/>
      <c r="D91" s="1">
        <f>SUM(OSRRefD21_12x_0)</f>
        <v>5825.58</v>
      </c>
      <c r="E91" s="1">
        <f>SUM(OSRRefE21_12x_0)</f>
        <v>5705</v>
      </c>
      <c r="F91" s="1">
        <f>SUM(OSRRefE21_12x_1)</f>
        <v>5705</v>
      </c>
      <c r="G91" s="1">
        <f>SUM(OSRRefE21_12x_2)</f>
        <v>5705</v>
      </c>
      <c r="H91" s="1">
        <f>SUM(OSRRefE21_12x_3)</f>
        <v>5705</v>
      </c>
      <c r="I91" s="1">
        <f>SUM(OSRRefE21_12x_4)</f>
        <v>5705</v>
      </c>
      <c r="J91" s="1">
        <f>SUM(OSRRefE21_12x_5)</f>
        <v>5705</v>
      </c>
      <c r="K91" s="1">
        <f>SUM(OSRRefE21_12x_6)</f>
        <v>5705</v>
      </c>
      <c r="L91" s="1">
        <f>SUM(OSRRefE21_12x_7)</f>
        <v>5705</v>
      </c>
      <c r="M91" s="1">
        <f>SUM(OSRRefE21_12x_8)</f>
        <v>5705</v>
      </c>
      <c r="N91" s="1">
        <f>SUM(OSRRefE21_12x_9)</f>
        <v>5705</v>
      </c>
      <c r="O91" s="1">
        <f>SUM(OSRRefE21_12x_10)</f>
        <v>5705</v>
      </c>
      <c r="Q91" s="2">
        <f>SUM(OSRRefD20_12x)+IFERROR(SUM(OSRRefE20_12x),0)</f>
        <v>68580.58</v>
      </c>
    </row>
    <row r="92" spans="1:17" s="34" customFormat="1" hidden="1" outlineLevel="1" x14ac:dyDescent="0.3">
      <c r="A92" s="35"/>
      <c r="B92" s="10" t="str">
        <f>CONCATENATE("          ","6314", " - ","LIABILITY INSURANCE")</f>
        <v xml:space="preserve">          6314 - LIABILITY INSURANCE</v>
      </c>
      <c r="C92" s="14"/>
      <c r="D92" s="2">
        <v>5825.58</v>
      </c>
      <c r="E92" s="2">
        <v>5705</v>
      </c>
      <c r="F92" s="2">
        <v>5705</v>
      </c>
      <c r="G92" s="2">
        <v>5705</v>
      </c>
      <c r="H92" s="2">
        <v>5705</v>
      </c>
      <c r="I92" s="2">
        <v>5705</v>
      </c>
      <c r="J92" s="2">
        <v>5705</v>
      </c>
      <c r="K92" s="2">
        <v>5705</v>
      </c>
      <c r="L92" s="2">
        <v>5705</v>
      </c>
      <c r="M92" s="2">
        <v>5705</v>
      </c>
      <c r="N92" s="2">
        <v>5705</v>
      </c>
      <c r="O92" s="2">
        <v>5705</v>
      </c>
      <c r="P92" s="9"/>
      <c r="Q92" s="2">
        <f>SUM(OSRRefD21_12_0x)+IFERROR(SUM(OSRRefE21_12_0x),0)</f>
        <v>68580.58</v>
      </c>
    </row>
    <row r="93" spans="1:17" s="34" customFormat="1" collapsed="1" x14ac:dyDescent="0.3">
      <c r="A93" s="35"/>
      <c r="B93" s="14" t="str">
        <f>CONCATENATE("     ","Interest                                          ")</f>
        <v xml:space="preserve">     Interest                                          </v>
      </c>
      <c r="C93" s="14"/>
      <c r="D93" s="1">
        <f>SUM(OSRRefD21_13x_0)</f>
        <v>3905</v>
      </c>
      <c r="E93" s="1">
        <f>SUM(OSRRefE21_13x_0)</f>
        <v>3905</v>
      </c>
      <c r="F93" s="1">
        <f>SUM(OSRRefE21_13x_1)</f>
        <v>3905</v>
      </c>
      <c r="G93" s="1">
        <f>SUM(OSRRefE21_13x_2)</f>
        <v>3905</v>
      </c>
      <c r="H93" s="1">
        <f>SUM(OSRRefE21_13x_3)</f>
        <v>3905</v>
      </c>
      <c r="I93" s="1">
        <f>SUM(OSRRefE21_13x_4)</f>
        <v>3905</v>
      </c>
      <c r="J93" s="1">
        <f>SUM(OSRRefE21_13x_5)</f>
        <v>3905</v>
      </c>
      <c r="K93" s="1">
        <f>SUM(OSRRefE21_13x_6)</f>
        <v>3905</v>
      </c>
      <c r="L93" s="1">
        <f>SUM(OSRRefE21_13x_7)</f>
        <v>3905</v>
      </c>
      <c r="M93" s="1">
        <f>SUM(OSRRefE21_13x_8)</f>
        <v>3905</v>
      </c>
      <c r="N93" s="1">
        <f>SUM(OSRRefE21_13x_9)</f>
        <v>3760</v>
      </c>
      <c r="O93" s="1">
        <f>SUM(OSRRefE21_13x_10)</f>
        <v>3760</v>
      </c>
      <c r="Q93" s="2">
        <f>SUM(OSRRefD20_13x)+IFERROR(SUM(OSRRefE20_13x),0)</f>
        <v>46570</v>
      </c>
    </row>
    <row r="94" spans="1:17" s="34" customFormat="1" hidden="1" outlineLevel="1" x14ac:dyDescent="0.3">
      <c r="A94" s="35"/>
      <c r="B94" s="10" t="str">
        <f>CONCATENATE("          ","6401", " - ","INTEREST EXPENSE")</f>
        <v xml:space="preserve">          6401 - INTEREST EXPENSE</v>
      </c>
      <c r="C94" s="14"/>
      <c r="D94" s="2">
        <v>3905</v>
      </c>
      <c r="E94" s="2">
        <v>3905</v>
      </c>
      <c r="F94" s="2">
        <v>3905</v>
      </c>
      <c r="G94" s="2">
        <v>3905</v>
      </c>
      <c r="H94" s="2">
        <v>3905</v>
      </c>
      <c r="I94" s="2">
        <v>3905</v>
      </c>
      <c r="J94" s="2">
        <v>3905</v>
      </c>
      <c r="K94" s="2">
        <v>3905</v>
      </c>
      <c r="L94" s="2">
        <v>3905</v>
      </c>
      <c r="M94" s="2">
        <v>3905</v>
      </c>
      <c r="N94" s="2">
        <v>3760</v>
      </c>
      <c r="O94" s="2">
        <v>3760</v>
      </c>
      <c r="P94" s="9"/>
      <c r="Q94" s="2">
        <f>SUM(OSRRefD21_13_0x)+IFERROR(SUM(OSRRefE21_13_0x),0)</f>
        <v>46570</v>
      </c>
    </row>
    <row r="95" spans="1:17" s="34" customFormat="1" collapsed="1" x14ac:dyDescent="0.3">
      <c r="A95" s="35"/>
      <c r="B95" s="14" t="str">
        <f>CONCATENATE("     ","Inventory Adjustment                              ")</f>
        <v xml:space="preserve">     Inventory Adjustment                              </v>
      </c>
      <c r="C95" s="14"/>
      <c r="D95" s="1">
        <f>SUM(OSRRefD21_14x_0)</f>
        <v>5100</v>
      </c>
      <c r="E95" s="1">
        <f>SUM(OSRRefE21_14x_0)</f>
        <v>5100</v>
      </c>
      <c r="F95" s="1">
        <f>SUM(OSRRefE21_14x_1)</f>
        <v>5100</v>
      </c>
      <c r="G95" s="1">
        <f>SUM(OSRRefE21_14x_2)</f>
        <v>5100</v>
      </c>
      <c r="H95" s="1">
        <f>SUM(OSRRefE21_14x_3)</f>
        <v>5100</v>
      </c>
      <c r="I95" s="1">
        <f>SUM(OSRRefE21_14x_4)</f>
        <v>9100</v>
      </c>
      <c r="J95" s="1">
        <f>SUM(OSRRefE21_14x_5)</f>
        <v>5100</v>
      </c>
      <c r="K95" s="1">
        <f>SUM(OSRRefE21_14x_6)</f>
        <v>5100</v>
      </c>
      <c r="L95" s="1">
        <f>SUM(OSRRefE21_14x_7)</f>
        <v>5100</v>
      </c>
      <c r="M95" s="1">
        <f>SUM(OSRRefE21_14x_8)</f>
        <v>5100</v>
      </c>
      <c r="N95" s="1">
        <f>SUM(OSRRefE21_14x_9)</f>
        <v>5100</v>
      </c>
      <c r="O95" s="1">
        <f>SUM(OSRRefE21_14x_10)</f>
        <v>19100</v>
      </c>
      <c r="Q95" s="2">
        <f>SUM(OSRRefD20_14x)+IFERROR(SUM(OSRRefE20_14x),0)</f>
        <v>79200</v>
      </c>
    </row>
    <row r="96" spans="1:17" s="34" customFormat="1" hidden="1" outlineLevel="1" x14ac:dyDescent="0.3">
      <c r="A96" s="35"/>
      <c r="B96" s="10" t="str">
        <f>CONCATENATE("          ","6408", " - ","INVENTORY ADJUSTMENT")</f>
        <v xml:space="preserve">          6408 - INVENTORY ADJUSTMENT</v>
      </c>
      <c r="C96" s="14"/>
      <c r="D96" s="2">
        <v>5100</v>
      </c>
      <c r="E96" s="2">
        <v>5100</v>
      </c>
      <c r="F96" s="2">
        <v>5100</v>
      </c>
      <c r="G96" s="2">
        <v>5100</v>
      </c>
      <c r="H96" s="2">
        <v>5100</v>
      </c>
      <c r="I96" s="2">
        <v>9100</v>
      </c>
      <c r="J96" s="2">
        <v>5100</v>
      </c>
      <c r="K96" s="2">
        <v>5100</v>
      </c>
      <c r="L96" s="2">
        <v>5100</v>
      </c>
      <c r="M96" s="2">
        <v>5100</v>
      </c>
      <c r="N96" s="2">
        <v>5100</v>
      </c>
      <c r="O96" s="2">
        <v>19100</v>
      </c>
      <c r="P96" s="9"/>
      <c r="Q96" s="2">
        <f>SUM(OSRRefD21_14_0x)+IFERROR(SUM(OSRRefE21_14_0x),0)</f>
        <v>79200</v>
      </c>
    </row>
    <row r="97" spans="1:17" s="34" customFormat="1" collapsed="1" x14ac:dyDescent="0.3">
      <c r="A97" s="35"/>
      <c r="B97" s="14" t="str">
        <f>CONCATENATE("     ","Professional Services                             ")</f>
        <v xml:space="preserve">     Professional Services                             </v>
      </c>
      <c r="C97" s="14"/>
      <c r="D97" s="1">
        <f>SUM(OSRRefD21_15x_0)</f>
        <v>0</v>
      </c>
      <c r="E97" s="1">
        <f>SUM(OSRRefE21_15x_0)</f>
        <v>0</v>
      </c>
      <c r="F97" s="1">
        <f>SUM(OSRRefE21_15x_1)</f>
        <v>0</v>
      </c>
      <c r="G97" s="1">
        <f>SUM(OSRRefE21_15x_2)</f>
        <v>250</v>
      </c>
      <c r="H97" s="1">
        <f>SUM(OSRRefE21_15x_3)</f>
        <v>0</v>
      </c>
      <c r="I97" s="1">
        <f>SUM(OSRRefE21_15x_4)</f>
        <v>0</v>
      </c>
      <c r="J97" s="1">
        <f>SUM(OSRRefE21_15x_5)</f>
        <v>250</v>
      </c>
      <c r="K97" s="1">
        <f>SUM(OSRRefE21_15x_6)</f>
        <v>0</v>
      </c>
      <c r="L97" s="1">
        <f>SUM(OSRRefE21_15x_7)</f>
        <v>0</v>
      </c>
      <c r="M97" s="1">
        <f>SUM(OSRRefE21_15x_8)</f>
        <v>250</v>
      </c>
      <c r="N97" s="1">
        <f>SUM(OSRRefE21_15x_9)</f>
        <v>0</v>
      </c>
      <c r="O97" s="1">
        <f>SUM(OSRRefE21_15x_10)</f>
        <v>0</v>
      </c>
      <c r="Q97" s="2">
        <f>SUM(OSRRefD20_15x)+IFERROR(SUM(OSRRefE20_15x),0)</f>
        <v>750</v>
      </c>
    </row>
    <row r="98" spans="1:17" s="34" customFormat="1" hidden="1" outlineLevel="1" x14ac:dyDescent="0.3">
      <c r="A98" s="35"/>
      <c r="B98" s="10" t="str">
        <f>CONCATENATE("          ","6336", " - ","PROFESSIONAL SERVICES")</f>
        <v xml:space="preserve">          6336 - PROFESSIONAL SERVICES</v>
      </c>
      <c r="C98" s="14"/>
      <c r="D98" s="2"/>
      <c r="E98" s="2">
        <v>0</v>
      </c>
      <c r="F98" s="2">
        <v>0</v>
      </c>
      <c r="G98" s="2">
        <v>250</v>
      </c>
      <c r="H98" s="2">
        <v>0</v>
      </c>
      <c r="I98" s="2">
        <v>0</v>
      </c>
      <c r="J98" s="2">
        <v>250</v>
      </c>
      <c r="K98" s="2">
        <v>0</v>
      </c>
      <c r="L98" s="2">
        <v>0</v>
      </c>
      <c r="M98" s="2">
        <v>250</v>
      </c>
      <c r="N98" s="2">
        <v>0</v>
      </c>
      <c r="O98" s="2">
        <v>0</v>
      </c>
      <c r="P98" s="9"/>
      <c r="Q98" s="2">
        <f>SUM(OSRRefD21_15_0x)+IFERROR(SUM(OSRRefE21_15_0x),0)</f>
        <v>750</v>
      </c>
    </row>
    <row r="99" spans="1:17" s="34" customFormat="1" collapsed="1" x14ac:dyDescent="0.3">
      <c r="A99" s="35"/>
      <c r="B99" s="14" t="str">
        <f>CONCATENATE("     ","Rent                                              ")</f>
        <v xml:space="preserve">     Rent                                              </v>
      </c>
      <c r="C99" s="14"/>
      <c r="D99" s="1">
        <f>SUM(OSRRefD21_16x_0)</f>
        <v>6100</v>
      </c>
      <c r="E99" s="1">
        <f>SUM(OSRRefE21_16x_0)</f>
        <v>6100</v>
      </c>
      <c r="F99" s="1">
        <f>SUM(OSRRefE21_16x_1)</f>
        <v>6100</v>
      </c>
      <c r="G99" s="1">
        <f>SUM(OSRRefE21_16x_2)</f>
        <v>6100</v>
      </c>
      <c r="H99" s="1">
        <f>SUM(OSRRefE21_16x_3)</f>
        <v>6100</v>
      </c>
      <c r="I99" s="1">
        <f>SUM(OSRRefE21_16x_4)</f>
        <v>6100</v>
      </c>
      <c r="J99" s="1">
        <f>SUM(OSRRefE21_16x_5)</f>
        <v>6100</v>
      </c>
      <c r="K99" s="1">
        <f>SUM(OSRRefE21_16x_6)</f>
        <v>6100</v>
      </c>
      <c r="L99" s="1">
        <f>SUM(OSRRefE21_16x_7)</f>
        <v>6100</v>
      </c>
      <c r="M99" s="1">
        <f>SUM(OSRRefE21_16x_8)</f>
        <v>6100</v>
      </c>
      <c r="N99" s="1">
        <f>SUM(OSRRefE21_16x_9)</f>
        <v>6100</v>
      </c>
      <c r="O99" s="1">
        <f>SUM(OSRRefE21_16x_10)</f>
        <v>6100</v>
      </c>
      <c r="Q99" s="2">
        <f>SUM(OSRRefD20_16x)+IFERROR(SUM(OSRRefE20_16x),0)</f>
        <v>73200</v>
      </c>
    </row>
    <row r="100" spans="1:17" s="34" customFormat="1" hidden="1" outlineLevel="1" x14ac:dyDescent="0.3">
      <c r="A100" s="35"/>
      <c r="B100" s="10" t="str">
        <f>CONCATENATE("          ","6273", " - ","RENT")</f>
        <v xml:space="preserve">          6273 - RENT</v>
      </c>
      <c r="C100" s="14"/>
      <c r="D100" s="2">
        <v>6100</v>
      </c>
      <c r="E100" s="2">
        <v>6100</v>
      </c>
      <c r="F100" s="2">
        <v>6100</v>
      </c>
      <c r="G100" s="2">
        <v>6100</v>
      </c>
      <c r="H100" s="2">
        <v>6100</v>
      </c>
      <c r="I100" s="2">
        <v>6100</v>
      </c>
      <c r="J100" s="2">
        <v>6100</v>
      </c>
      <c r="K100" s="2">
        <v>6100</v>
      </c>
      <c r="L100" s="2">
        <v>6100</v>
      </c>
      <c r="M100" s="2">
        <v>6100</v>
      </c>
      <c r="N100" s="2">
        <v>6100</v>
      </c>
      <c r="O100" s="2">
        <v>6100</v>
      </c>
      <c r="P100" s="9"/>
      <c r="Q100" s="2">
        <f>SUM(OSRRefD21_16_0x)+IFERROR(SUM(OSRRefE21_16_0x),0)</f>
        <v>73200</v>
      </c>
    </row>
    <row r="101" spans="1:17" s="34" customFormat="1" collapsed="1" x14ac:dyDescent="0.3">
      <c r="A101" s="35"/>
      <c r="B101" s="14" t="str">
        <f>CONCATENATE("     ","Repair and Maintenance                            ")</f>
        <v xml:space="preserve">     Repair and Maintenance                            </v>
      </c>
      <c r="C101" s="14"/>
      <c r="D101" s="1">
        <f>SUM(OSRRefD21_17x_0)</f>
        <v>64762.729999999996</v>
      </c>
      <c r="E101" s="1">
        <f>SUM(OSRRefE21_17x_0)</f>
        <v>9921</v>
      </c>
      <c r="F101" s="1">
        <f>SUM(OSRRefE21_17x_1)</f>
        <v>16353</v>
      </c>
      <c r="G101" s="1">
        <f>SUM(OSRRefE21_17x_2)</f>
        <v>10110</v>
      </c>
      <c r="H101" s="1">
        <f>SUM(OSRRefE21_17x_3)</f>
        <v>10360</v>
      </c>
      <c r="I101" s="1">
        <f>SUM(OSRRefE21_17x_4)</f>
        <v>5998</v>
      </c>
      <c r="J101" s="1">
        <f>SUM(OSRRefE21_17x_5)</f>
        <v>11610</v>
      </c>
      <c r="K101" s="1">
        <f>SUM(OSRRefE21_17x_6)</f>
        <v>31160</v>
      </c>
      <c r="L101" s="1">
        <f>SUM(OSRRefE21_17x_7)</f>
        <v>11098</v>
      </c>
      <c r="M101" s="1">
        <f>SUM(OSRRefE21_17x_8)</f>
        <v>11110</v>
      </c>
      <c r="N101" s="1">
        <f>SUM(OSRRefE21_17x_9)</f>
        <v>10860</v>
      </c>
      <c r="O101" s="1">
        <f>SUM(OSRRefE21_17x_10)</f>
        <v>10960</v>
      </c>
      <c r="Q101" s="2">
        <f>SUM(OSRRefD20_17x)+IFERROR(SUM(OSRRefE20_17x),0)</f>
        <v>204302.72999999998</v>
      </c>
    </row>
    <row r="102" spans="1:17" s="34" customFormat="1" hidden="1" outlineLevel="1" x14ac:dyDescent="0.3">
      <c r="A102" s="35"/>
      <c r="B102" s="10" t="str">
        <f>CONCATENATE("          ","6371", " - ","COMPUTER SOFTWARE MAINTENANCE")</f>
        <v xml:space="preserve">          6371 - COMPUTER SOFTWARE MAINTENANCE</v>
      </c>
      <c r="C102" s="14"/>
      <c r="D102" s="2">
        <v>59623.5</v>
      </c>
      <c r="E102" s="2">
        <v>1000</v>
      </c>
      <c r="F102" s="2">
        <v>3623</v>
      </c>
      <c r="G102" s="2">
        <v>1100</v>
      </c>
      <c r="H102" s="2">
        <v>1000</v>
      </c>
      <c r="I102" s="2">
        <v>1000</v>
      </c>
      <c r="J102" s="2">
        <v>1000</v>
      </c>
      <c r="K102" s="2">
        <v>1000</v>
      </c>
      <c r="L102" s="2">
        <v>1000</v>
      </c>
      <c r="M102" s="2">
        <v>1000</v>
      </c>
      <c r="N102" s="2">
        <v>1000</v>
      </c>
      <c r="O102" s="2">
        <v>1000</v>
      </c>
      <c r="P102" s="9"/>
      <c r="Q102" s="2">
        <f>SUM(OSRRefD21_17_0x)+IFERROR(SUM(OSRRefE21_17_0x),0)</f>
        <v>73346.5</v>
      </c>
    </row>
    <row r="103" spans="1:17" s="34" customFormat="1" hidden="1" outlineLevel="1" x14ac:dyDescent="0.3">
      <c r="A103" s="35"/>
      <c r="B103" s="10" t="str">
        <f>CONCATENATE("          ","6372", " - ","COMPUTER HARDWARE MAINTENANCE")</f>
        <v xml:space="preserve">          6372 - COMPUTER HARDWARE MAINTENANCE</v>
      </c>
      <c r="C103" s="14"/>
      <c r="D103" s="2"/>
      <c r="E103" s="2">
        <v>3750</v>
      </c>
      <c r="F103" s="2">
        <v>3750</v>
      </c>
      <c r="G103" s="2">
        <v>3750</v>
      </c>
      <c r="H103" s="2">
        <v>3750</v>
      </c>
      <c r="I103" s="2">
        <v>3750</v>
      </c>
      <c r="J103" s="2">
        <v>3750</v>
      </c>
      <c r="K103" s="2">
        <v>3750</v>
      </c>
      <c r="L103" s="2">
        <v>3750</v>
      </c>
      <c r="M103" s="2">
        <v>3750</v>
      </c>
      <c r="N103" s="2">
        <v>3750</v>
      </c>
      <c r="O103" s="2">
        <v>3750</v>
      </c>
      <c r="P103" s="9"/>
      <c r="Q103" s="2">
        <f>SUM(OSRRefD21_17_1x)+IFERROR(SUM(OSRRefE21_17_1x),0)</f>
        <v>41250</v>
      </c>
    </row>
    <row r="104" spans="1:17" s="34" customFormat="1" hidden="1" outlineLevel="1" x14ac:dyDescent="0.3">
      <c r="A104" s="35"/>
      <c r="B104" s="10" t="str">
        <f>CONCATENATE("          ","6373", " - ","MAINTENANCE CONTRACTS")</f>
        <v xml:space="preserve">          6373 - MAINTENANCE CONTRACTS</v>
      </c>
      <c r="C104" s="14"/>
      <c r="D104" s="2">
        <v>654.63</v>
      </c>
      <c r="E104" s="2">
        <v>4355</v>
      </c>
      <c r="F104" s="2">
        <v>8493</v>
      </c>
      <c r="G104" s="2">
        <v>5005</v>
      </c>
      <c r="H104" s="2">
        <v>5355</v>
      </c>
      <c r="I104" s="2">
        <v>993</v>
      </c>
      <c r="J104" s="2">
        <v>6105</v>
      </c>
      <c r="K104" s="2">
        <v>26155</v>
      </c>
      <c r="L104" s="2">
        <v>6093</v>
      </c>
      <c r="M104" s="2">
        <v>6105</v>
      </c>
      <c r="N104" s="2">
        <v>5855</v>
      </c>
      <c r="O104" s="2">
        <v>5955</v>
      </c>
      <c r="P104" s="9"/>
      <c r="Q104" s="2">
        <f>SUM(OSRRefD21_17_2x)+IFERROR(SUM(OSRRefE21_17_2x),0)</f>
        <v>81123.63</v>
      </c>
    </row>
    <row r="105" spans="1:17" s="34" customFormat="1" hidden="1" outlineLevel="1" x14ac:dyDescent="0.3">
      <c r="A105" s="35"/>
      <c r="B105" s="10" t="str">
        <f>CONCATENATE("          ","6375", " - ","OUTSIDE REPAIRS &amp; MAINTENANCE")</f>
        <v xml:space="preserve">          6375 - OUTSIDE REPAIRS &amp; MAINTENANCE</v>
      </c>
      <c r="C105" s="14"/>
      <c r="D105" s="2">
        <v>4484.6000000000004</v>
      </c>
      <c r="E105" s="2">
        <v>816</v>
      </c>
      <c r="F105" s="2">
        <v>487</v>
      </c>
      <c r="G105" s="2">
        <v>255</v>
      </c>
      <c r="H105" s="2">
        <v>255</v>
      </c>
      <c r="I105" s="2">
        <v>255</v>
      </c>
      <c r="J105" s="2">
        <v>755</v>
      </c>
      <c r="K105" s="2">
        <v>255</v>
      </c>
      <c r="L105" s="2">
        <v>255</v>
      </c>
      <c r="M105" s="2">
        <v>255</v>
      </c>
      <c r="N105" s="2">
        <v>255</v>
      </c>
      <c r="O105" s="2">
        <v>255</v>
      </c>
      <c r="P105" s="9"/>
      <c r="Q105" s="2">
        <f>SUM(OSRRefD21_17_3x)+IFERROR(SUM(OSRRefE21_17_3x),0)</f>
        <v>8582.6</v>
      </c>
    </row>
    <row r="106" spans="1:17" s="34" customFormat="1" collapsed="1" x14ac:dyDescent="0.3">
      <c r="A106" s="35"/>
      <c r="B106" s="14" t="str">
        <f>CONCATENATE("     ","Royalty &amp; Commissions                             ")</f>
        <v xml:space="preserve">     Royalty &amp; Commissions                             </v>
      </c>
      <c r="C106" s="14"/>
      <c r="D106" s="1">
        <f>SUM(OSRRefD21_18x_0)</f>
        <v>7355.1000000000013</v>
      </c>
      <c r="E106" s="1">
        <f>SUM(OSRRefE21_18x_0)</f>
        <v>5485</v>
      </c>
      <c r="F106" s="1">
        <f>SUM(OSRRefE21_18x_1)</f>
        <v>2990</v>
      </c>
      <c r="G106" s="1">
        <f>SUM(OSRRefE21_18x_2)</f>
        <v>13194</v>
      </c>
      <c r="H106" s="1">
        <f>SUM(OSRRefE21_18x_3)</f>
        <v>9663</v>
      </c>
      <c r="I106" s="1">
        <f>SUM(OSRRefE21_18x_4)</f>
        <v>5518</v>
      </c>
      <c r="J106" s="1">
        <f>SUM(OSRRefE21_18x_5)</f>
        <v>20055</v>
      </c>
      <c r="K106" s="1">
        <f>SUM(OSRRefE21_18x_6)</f>
        <v>8090</v>
      </c>
      <c r="L106" s="1">
        <f>SUM(OSRRefE21_18x_7)</f>
        <v>5181</v>
      </c>
      <c r="M106" s="1">
        <f>SUM(OSRRefE21_18x_8)</f>
        <v>19437</v>
      </c>
      <c r="N106" s="1">
        <f>SUM(OSRRefE21_18x_9)</f>
        <v>10895</v>
      </c>
      <c r="O106" s="1">
        <f>SUM(OSRRefE21_18x_10)</f>
        <v>10158</v>
      </c>
      <c r="Q106" s="2">
        <f>SUM(OSRRefD20_18x)+IFERROR(SUM(OSRRefE20_18x),0)</f>
        <v>118021.1</v>
      </c>
    </row>
    <row r="107" spans="1:17" s="34" customFormat="1" hidden="1" outlineLevel="1" x14ac:dyDescent="0.3">
      <c r="A107" s="35"/>
      <c r="B107" s="10" t="str">
        <f>CONCATENATE("          ","6252", " - ","ROYALTY DUE CSTV")</f>
        <v xml:space="preserve">          6252 - ROYALTY DUE CSTV</v>
      </c>
      <c r="C107" s="14"/>
      <c r="D107" s="2"/>
      <c r="E107" s="2">
        <v>2080</v>
      </c>
      <c r="F107" s="2">
        <v>1266</v>
      </c>
      <c r="G107" s="2">
        <v>1122</v>
      </c>
      <c r="H107" s="2">
        <v>3014</v>
      </c>
      <c r="I107" s="2">
        <v>1906</v>
      </c>
      <c r="J107" s="2">
        <v>821</v>
      </c>
      <c r="K107" s="2">
        <v>446</v>
      </c>
      <c r="L107" s="2">
        <v>1085</v>
      </c>
      <c r="M107" s="2">
        <v>948</v>
      </c>
      <c r="N107" s="2">
        <v>2156</v>
      </c>
      <c r="O107" s="2">
        <v>3322</v>
      </c>
      <c r="P107" s="9"/>
      <c r="Q107" s="2">
        <f>SUM(OSRRefD21_18_0x)+IFERROR(SUM(OSRRefE21_18_0x),0)</f>
        <v>18166</v>
      </c>
    </row>
    <row r="108" spans="1:17" s="34" customFormat="1" hidden="1" outlineLevel="1" x14ac:dyDescent="0.3">
      <c r="A108" s="35"/>
      <c r="B108" s="10" t="str">
        <f>CONCATENATE("          ","6253", " - ","ROYALTY DUE ATHLETICS-LRG")</f>
        <v xml:space="preserve">          6253 - ROYALTY DUE ATHLETICS-LRG</v>
      </c>
      <c r="C108" s="14"/>
      <c r="D108" s="2">
        <v>14376.54</v>
      </c>
      <c r="E108" s="2">
        <v>0</v>
      </c>
      <c r="F108" s="2">
        <v>0</v>
      </c>
      <c r="G108" s="2">
        <v>10490</v>
      </c>
      <c r="H108" s="2">
        <v>0</v>
      </c>
      <c r="I108" s="2">
        <v>0</v>
      </c>
      <c r="J108" s="2">
        <v>7785</v>
      </c>
      <c r="K108" s="2">
        <v>0</v>
      </c>
      <c r="L108" s="2">
        <v>0</v>
      </c>
      <c r="M108" s="2">
        <v>14555</v>
      </c>
      <c r="N108" s="2">
        <v>0</v>
      </c>
      <c r="O108" s="2">
        <v>0</v>
      </c>
      <c r="P108" s="9"/>
      <c r="Q108" s="2">
        <f>SUM(OSRRefD21_18_1x)+IFERROR(SUM(OSRRefE21_18_1x),0)</f>
        <v>47206.54</v>
      </c>
    </row>
    <row r="109" spans="1:17" s="34" customFormat="1" hidden="1" outlineLevel="1" x14ac:dyDescent="0.3">
      <c r="A109" s="35"/>
      <c r="B109" s="10" t="str">
        <f>CONCATENATE("          ","6254", " - ","ROYALTY &amp; COMMISSIONS")</f>
        <v xml:space="preserve">          6254 - ROYALTY &amp; COMMISSIONS</v>
      </c>
      <c r="C109" s="14"/>
      <c r="D109" s="2">
        <v>-7027.5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500</v>
      </c>
      <c r="K109" s="2">
        <v>1000</v>
      </c>
      <c r="L109" s="2">
        <v>1000</v>
      </c>
      <c r="M109" s="2">
        <v>1000</v>
      </c>
      <c r="N109" s="2">
        <v>1000</v>
      </c>
      <c r="O109" s="2">
        <v>0</v>
      </c>
      <c r="P109" s="9"/>
      <c r="Q109" s="2">
        <f>SUM(OSRRefD21_18_2x)+IFERROR(SUM(OSRRefE21_18_2x),0)</f>
        <v>-2527.5</v>
      </c>
    </row>
    <row r="110" spans="1:17" s="34" customFormat="1" hidden="1" outlineLevel="1" x14ac:dyDescent="0.3">
      <c r="A110" s="35"/>
      <c r="B110" s="10" t="str">
        <f>CONCATENATE("          ","6259", " - ","ROYALTY &amp; COMMISSIONS")</f>
        <v xml:space="preserve">          6259 - ROYALTY &amp; COMMISSIONS</v>
      </c>
      <c r="C110" s="14"/>
      <c r="D110" s="2">
        <v>6.06</v>
      </c>
      <c r="E110" s="2">
        <v>3405</v>
      </c>
      <c r="F110" s="2">
        <v>1724</v>
      </c>
      <c r="G110" s="2">
        <v>1582</v>
      </c>
      <c r="H110" s="2">
        <v>6649</v>
      </c>
      <c r="I110" s="2">
        <v>3612</v>
      </c>
      <c r="J110" s="2">
        <v>10949</v>
      </c>
      <c r="K110" s="2">
        <v>6644</v>
      </c>
      <c r="L110" s="2">
        <v>3096</v>
      </c>
      <c r="M110" s="2">
        <v>2934</v>
      </c>
      <c r="N110" s="2">
        <v>7739</v>
      </c>
      <c r="O110" s="2">
        <v>6836</v>
      </c>
      <c r="P110" s="9"/>
      <c r="Q110" s="2">
        <f>SUM(OSRRefD21_18_3x)+IFERROR(SUM(OSRRefE21_18_3x),0)</f>
        <v>55176.06</v>
      </c>
    </row>
    <row r="111" spans="1:17" s="34" customFormat="1" collapsed="1" x14ac:dyDescent="0.3">
      <c r="A111" s="35"/>
      <c r="B111" s="14" t="str">
        <f>CONCATENATE("     ","Services                                          ")</f>
        <v xml:space="preserve">     Services                                          </v>
      </c>
      <c r="C111" s="14"/>
      <c r="D111" s="1">
        <f>SUM(OSRRefD21_19x_0)</f>
        <v>4158.17</v>
      </c>
      <c r="E111" s="1">
        <f>SUM(OSRRefE21_19x_0)</f>
        <v>4661</v>
      </c>
      <c r="F111" s="1">
        <f>SUM(OSRRefE21_19x_1)</f>
        <v>4712</v>
      </c>
      <c r="G111" s="1">
        <f>SUM(OSRRefE21_19x_2)</f>
        <v>4652</v>
      </c>
      <c r="H111" s="1">
        <f>SUM(OSRRefE21_19x_3)</f>
        <v>4652</v>
      </c>
      <c r="I111" s="1">
        <f>SUM(OSRRefE21_19x_4)</f>
        <v>4712</v>
      </c>
      <c r="J111" s="1">
        <f>SUM(OSRRefE21_19x_5)</f>
        <v>4652</v>
      </c>
      <c r="K111" s="1">
        <f>SUM(OSRRefE21_19x_6)</f>
        <v>4652</v>
      </c>
      <c r="L111" s="1">
        <f>SUM(OSRRefE21_19x_7)</f>
        <v>4712</v>
      </c>
      <c r="M111" s="1">
        <f>SUM(OSRRefE21_19x_8)</f>
        <v>4652</v>
      </c>
      <c r="N111" s="1">
        <f>SUM(OSRRefE21_19x_9)</f>
        <v>4652</v>
      </c>
      <c r="O111" s="1">
        <f>SUM(OSRRefE21_19x_10)</f>
        <v>4712</v>
      </c>
      <c r="Q111" s="2">
        <f>SUM(OSRRefD20_19x)+IFERROR(SUM(OSRRefE20_19x),0)</f>
        <v>55579.17</v>
      </c>
    </row>
    <row r="112" spans="1:17" s="34" customFormat="1" hidden="1" outlineLevel="1" x14ac:dyDescent="0.3">
      <c r="A112" s="35"/>
      <c r="B112" s="10" t="str">
        <f>CONCATENATE("          ","6282", " - ","JANITORIAL/EXTERMINATOR EXPENS")</f>
        <v xml:space="preserve">          6282 - JANITORIAL/EXTERMINATOR EXPENS</v>
      </c>
      <c r="C112" s="14"/>
      <c r="D112" s="2">
        <v>151.85</v>
      </c>
      <c r="E112" s="2">
        <v>4558</v>
      </c>
      <c r="F112" s="2">
        <v>4558</v>
      </c>
      <c r="G112" s="2">
        <v>4558</v>
      </c>
      <c r="H112" s="2">
        <v>4558</v>
      </c>
      <c r="I112" s="2">
        <v>4558</v>
      </c>
      <c r="J112" s="2">
        <v>4558</v>
      </c>
      <c r="K112" s="2">
        <v>4558</v>
      </c>
      <c r="L112" s="2">
        <v>4558</v>
      </c>
      <c r="M112" s="2">
        <v>4558</v>
      </c>
      <c r="N112" s="2">
        <v>4558</v>
      </c>
      <c r="O112" s="2">
        <v>4558</v>
      </c>
      <c r="P112" s="9"/>
      <c r="Q112" s="2">
        <f>SUM(OSRRefD21_19_0x)+IFERROR(SUM(OSRRefE21_19_0x),0)</f>
        <v>50289.85</v>
      </c>
    </row>
    <row r="113" spans="1:17" s="34" customFormat="1" hidden="1" outlineLevel="1" x14ac:dyDescent="0.3">
      <c r="A113" s="35"/>
      <c r="B113" s="10" t="str">
        <f>CONCATENATE("          ","6284", " - ","TRASH REMOVAL EXPENSE")</f>
        <v xml:space="preserve">          6284 - TRASH REMOVAL EXPENSE</v>
      </c>
      <c r="C113" s="14"/>
      <c r="D113" s="2">
        <v>142.57</v>
      </c>
      <c r="E113" s="2">
        <v>60</v>
      </c>
      <c r="F113" s="2">
        <v>120</v>
      </c>
      <c r="G113" s="2">
        <v>60</v>
      </c>
      <c r="H113" s="2">
        <v>60</v>
      </c>
      <c r="I113" s="2">
        <v>120</v>
      </c>
      <c r="J113" s="2">
        <v>60</v>
      </c>
      <c r="K113" s="2">
        <v>60</v>
      </c>
      <c r="L113" s="2">
        <v>120</v>
      </c>
      <c r="M113" s="2">
        <v>60</v>
      </c>
      <c r="N113" s="2">
        <v>60</v>
      </c>
      <c r="O113" s="2">
        <v>120</v>
      </c>
      <c r="P113" s="9"/>
      <c r="Q113" s="2">
        <f>SUM(OSRRefD21_19_1x)+IFERROR(SUM(OSRRefE21_19_1x),0)</f>
        <v>1042.57</v>
      </c>
    </row>
    <row r="114" spans="1:17" s="34" customFormat="1" hidden="1" outlineLevel="1" x14ac:dyDescent="0.3">
      <c r="A114" s="35"/>
      <c r="B114" s="10" t="str">
        <f>CONCATENATE("          ","6285", " - ","JANITORIAL SERVICES")</f>
        <v xml:space="preserve">          6285 - JANITORIAL SERVICES</v>
      </c>
      <c r="C114" s="14"/>
      <c r="D114" s="2">
        <v>3863.75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2">
        <f>SUM(OSRRefD21_19_2x)+IFERROR(SUM(OSRRefE21_19_2x),0)</f>
        <v>3863.75</v>
      </c>
    </row>
    <row r="115" spans="1:17" s="34" customFormat="1" hidden="1" outlineLevel="1" x14ac:dyDescent="0.3">
      <c r="A115" s="35"/>
      <c r="B115" s="10" t="str">
        <f>CONCATENATE("          ","6286", " - ","LAUNDRY EXPENSE")</f>
        <v xml:space="preserve">          6286 - LAUNDRY EXPENSE</v>
      </c>
      <c r="C115" s="14"/>
      <c r="D115" s="2"/>
      <c r="E115" s="2">
        <v>43</v>
      </c>
      <c r="F115" s="2">
        <v>34</v>
      </c>
      <c r="G115" s="2">
        <v>34</v>
      </c>
      <c r="H115" s="2">
        <v>34</v>
      </c>
      <c r="I115" s="2">
        <v>34</v>
      </c>
      <c r="J115" s="2">
        <v>34</v>
      </c>
      <c r="K115" s="2">
        <v>34</v>
      </c>
      <c r="L115" s="2">
        <v>34</v>
      </c>
      <c r="M115" s="2">
        <v>34</v>
      </c>
      <c r="N115" s="2">
        <v>34</v>
      </c>
      <c r="O115" s="2">
        <v>34</v>
      </c>
      <c r="P115" s="9"/>
      <c r="Q115" s="2">
        <f>SUM(OSRRefD21_19_3x)+IFERROR(SUM(OSRRefE21_19_3x),0)</f>
        <v>383</v>
      </c>
    </row>
    <row r="116" spans="1:17" s="34" customFormat="1" collapsed="1" x14ac:dyDescent="0.3">
      <c r="A116" s="35"/>
      <c r="B116" s="14" t="str">
        <f>CONCATENATE("     ","Subscriptions &amp; Dues                              ")</f>
        <v xml:space="preserve">     Subscriptions &amp; Dues                              </v>
      </c>
      <c r="C116" s="14"/>
      <c r="D116" s="1">
        <f>SUM(OSRRefD21_20x_0)</f>
        <v>68.319999999999993</v>
      </c>
      <c r="E116" s="1">
        <f>SUM(OSRRefE21_20x_0)</f>
        <v>1361</v>
      </c>
      <c r="F116" s="1">
        <f>SUM(OSRRefE21_20x_1)</f>
        <v>381</v>
      </c>
      <c r="G116" s="1">
        <f>SUM(OSRRefE21_20x_2)</f>
        <v>1361</v>
      </c>
      <c r="H116" s="1">
        <f>SUM(OSRRefE21_20x_3)</f>
        <v>381</v>
      </c>
      <c r="I116" s="1">
        <f>SUM(OSRRefE21_20x_4)</f>
        <v>1361</v>
      </c>
      <c r="J116" s="1">
        <f>SUM(OSRRefE21_20x_5)</f>
        <v>2381</v>
      </c>
      <c r="K116" s="1">
        <f>SUM(OSRRefE21_20x_6)</f>
        <v>1461</v>
      </c>
      <c r="L116" s="1">
        <f>SUM(OSRRefE21_20x_7)</f>
        <v>481</v>
      </c>
      <c r="M116" s="1">
        <f>SUM(OSRRefE21_20x_8)</f>
        <v>1461</v>
      </c>
      <c r="N116" s="1">
        <f>SUM(OSRRefE21_20x_9)</f>
        <v>481</v>
      </c>
      <c r="O116" s="1">
        <f>SUM(OSRRefE21_20x_10)</f>
        <v>661</v>
      </c>
      <c r="Q116" s="2">
        <f>SUM(OSRRefD20_20x)+IFERROR(SUM(OSRRefE20_20x),0)</f>
        <v>11839.32</v>
      </c>
    </row>
    <row r="117" spans="1:17" s="34" customFormat="1" hidden="1" outlineLevel="1" x14ac:dyDescent="0.3">
      <c r="A117" s="35"/>
      <c r="B117" s="10" t="str">
        <f>CONCATENATE("          ","6258", " - ","MEMBERSHIP DUES")</f>
        <v xml:space="preserve">          6258 - MEMBERSHIP DUES</v>
      </c>
      <c r="C117" s="14"/>
      <c r="D117" s="2">
        <v>68.319999999999993</v>
      </c>
      <c r="E117" s="2">
        <v>1300</v>
      </c>
      <c r="F117" s="2">
        <v>300</v>
      </c>
      <c r="G117" s="2">
        <v>1300</v>
      </c>
      <c r="H117" s="2">
        <v>300</v>
      </c>
      <c r="I117" s="2">
        <v>1300</v>
      </c>
      <c r="J117" s="2">
        <v>300</v>
      </c>
      <c r="K117" s="2">
        <v>1300</v>
      </c>
      <c r="L117" s="2">
        <v>300</v>
      </c>
      <c r="M117" s="2">
        <v>1300</v>
      </c>
      <c r="N117" s="2">
        <v>300</v>
      </c>
      <c r="O117" s="2">
        <v>500</v>
      </c>
      <c r="P117" s="9"/>
      <c r="Q117" s="2">
        <f>SUM(OSRRefD21_20_0x)+IFERROR(SUM(OSRRefE21_20_0x),0)</f>
        <v>8568.32</v>
      </c>
    </row>
    <row r="118" spans="1:17" s="34" customFormat="1" hidden="1" outlineLevel="1" x14ac:dyDescent="0.3">
      <c r="A118" s="35"/>
      <c r="B118" s="10" t="str">
        <f>CONCATENATE("          ","6275", " - ","SUBSCRIPTIONS")</f>
        <v xml:space="preserve">          6275 - SUBSCRIPTIONS</v>
      </c>
      <c r="C118" s="14"/>
      <c r="D118" s="2"/>
      <c r="E118" s="2">
        <v>61</v>
      </c>
      <c r="F118" s="2">
        <v>81</v>
      </c>
      <c r="G118" s="2">
        <v>61</v>
      </c>
      <c r="H118" s="2">
        <v>81</v>
      </c>
      <c r="I118" s="2">
        <v>61</v>
      </c>
      <c r="J118" s="2">
        <v>2081</v>
      </c>
      <c r="K118" s="2">
        <v>161</v>
      </c>
      <c r="L118" s="2">
        <v>181</v>
      </c>
      <c r="M118" s="2">
        <v>161</v>
      </c>
      <c r="N118" s="2">
        <v>181</v>
      </c>
      <c r="O118" s="2">
        <v>161</v>
      </c>
      <c r="P118" s="9"/>
      <c r="Q118" s="2">
        <f>SUM(OSRRefD21_20_1x)+IFERROR(SUM(OSRRefE21_20_1x),0)</f>
        <v>3271</v>
      </c>
    </row>
    <row r="119" spans="1:17" s="34" customFormat="1" collapsed="1" x14ac:dyDescent="0.3">
      <c r="A119" s="35"/>
      <c r="B119" s="14" t="str">
        <f>CONCATENATE("     ","Supplies                                          ")</f>
        <v xml:space="preserve">     Supplies                                          </v>
      </c>
      <c r="C119" s="14"/>
      <c r="D119" s="1">
        <f>SUM(OSRRefD21_21x_0)</f>
        <v>7198.6</v>
      </c>
      <c r="E119" s="1">
        <f>SUM(OSRRefE21_21x_0)</f>
        <v>9760</v>
      </c>
      <c r="F119" s="1">
        <f>SUM(OSRRefE21_21x_1)</f>
        <v>18130</v>
      </c>
      <c r="G119" s="1">
        <f>SUM(OSRRefE21_21x_2)</f>
        <v>13730</v>
      </c>
      <c r="H119" s="1">
        <f>SUM(OSRRefE21_21x_3)</f>
        <v>9560</v>
      </c>
      <c r="I119" s="1">
        <f>SUM(OSRRefE21_21x_4)</f>
        <v>9280</v>
      </c>
      <c r="J119" s="1">
        <f>SUM(OSRRefE21_21x_5)</f>
        <v>20380</v>
      </c>
      <c r="K119" s="1">
        <f>SUM(OSRRefE21_21x_6)</f>
        <v>16130</v>
      </c>
      <c r="L119" s="1">
        <f>SUM(OSRRefE21_21x_7)</f>
        <v>9030</v>
      </c>
      <c r="M119" s="1">
        <f>SUM(OSRRefE21_21x_8)</f>
        <v>12530</v>
      </c>
      <c r="N119" s="1">
        <f>SUM(OSRRefE21_21x_9)</f>
        <v>13620</v>
      </c>
      <c r="O119" s="1">
        <f>SUM(OSRRefE21_21x_10)</f>
        <v>8130</v>
      </c>
      <c r="Q119" s="2">
        <f>SUM(OSRRefD20_21x)+IFERROR(SUM(OSRRefE20_21x),0)</f>
        <v>147478.6</v>
      </c>
    </row>
    <row r="120" spans="1:17" s="34" customFormat="1" hidden="1" outlineLevel="1" x14ac:dyDescent="0.3">
      <c r="A120" s="35"/>
      <c r="B120" s="10" t="str">
        <f>CONCATENATE("          ","6234", " - ","EXPENDABLE SUPPLIES &amp; EQUIPMEN")</f>
        <v xml:space="preserve">          6234 - EXPENDABLE SUPPLIES &amp; EQUIPMEN</v>
      </c>
      <c r="C120" s="14"/>
      <c r="D120" s="2"/>
      <c r="E120" s="2">
        <v>200</v>
      </c>
      <c r="F120" s="2">
        <v>350</v>
      </c>
      <c r="G120" s="2">
        <v>350</v>
      </c>
      <c r="H120" s="2">
        <v>350</v>
      </c>
      <c r="I120" s="2">
        <v>350</v>
      </c>
      <c r="J120" s="2">
        <v>500</v>
      </c>
      <c r="K120" s="2">
        <v>350</v>
      </c>
      <c r="L120" s="2">
        <v>350</v>
      </c>
      <c r="M120" s="2">
        <v>350</v>
      </c>
      <c r="N120" s="2">
        <v>350</v>
      </c>
      <c r="O120" s="2">
        <v>350</v>
      </c>
      <c r="P120" s="9"/>
      <c r="Q120" s="2">
        <f>SUM(OSRRefD21_21_0x)+IFERROR(SUM(OSRRefE21_21_0x),0)</f>
        <v>3850</v>
      </c>
    </row>
    <row r="121" spans="1:17" s="34" customFormat="1" hidden="1" outlineLevel="1" x14ac:dyDescent="0.3">
      <c r="A121" s="35"/>
      <c r="B121" s="10" t="str">
        <f>CONCATENATE("          ","6235", " - ","COVID-19 EXPENSES")</f>
        <v xml:space="preserve">          6235 - COVID-19 EXPENSES</v>
      </c>
      <c r="C121" s="14"/>
      <c r="D121" s="2">
        <v>272.22000000000003</v>
      </c>
      <c r="E121" s="2">
        <v>125</v>
      </c>
      <c r="F121" s="2">
        <v>125</v>
      </c>
      <c r="G121" s="2">
        <v>125</v>
      </c>
      <c r="H121" s="2">
        <v>125</v>
      </c>
      <c r="I121" s="2">
        <v>125</v>
      </c>
      <c r="J121" s="2">
        <v>125</v>
      </c>
      <c r="K121" s="2">
        <v>125</v>
      </c>
      <c r="L121" s="2">
        <v>125</v>
      </c>
      <c r="M121" s="2">
        <v>125</v>
      </c>
      <c r="N121" s="2">
        <v>125</v>
      </c>
      <c r="O121" s="2">
        <v>125</v>
      </c>
      <c r="P121" s="9"/>
      <c r="Q121" s="2">
        <f>SUM(OSRRefD21_21_1x)+IFERROR(SUM(OSRRefE21_21_1x),0)</f>
        <v>1647.22</v>
      </c>
    </row>
    <row r="122" spans="1:17" s="34" customFormat="1" hidden="1" outlineLevel="1" x14ac:dyDescent="0.3">
      <c r="A122" s="35"/>
      <c r="B122" s="10" t="str">
        <f>CONCATENATE("          ","6237", " - ","JANITORIAL SUPPLIES")</f>
        <v xml:space="preserve">          6237 - JANITORIAL SUPPLIES</v>
      </c>
      <c r="C122" s="14"/>
      <c r="D122" s="2">
        <v>655.97</v>
      </c>
      <c r="E122" s="2">
        <v>60</v>
      </c>
      <c r="F122" s="2">
        <v>10</v>
      </c>
      <c r="G122" s="2">
        <v>60</v>
      </c>
      <c r="H122" s="2">
        <v>10</v>
      </c>
      <c r="I122" s="2">
        <v>50</v>
      </c>
      <c r="J122" s="2">
        <v>60</v>
      </c>
      <c r="K122" s="2">
        <v>60</v>
      </c>
      <c r="L122" s="2">
        <v>10</v>
      </c>
      <c r="M122" s="2">
        <v>60</v>
      </c>
      <c r="N122" s="2">
        <v>50</v>
      </c>
      <c r="O122" s="2">
        <v>10</v>
      </c>
      <c r="P122" s="9"/>
      <c r="Q122" s="2">
        <f>SUM(OSRRefD21_21_2x)+IFERROR(SUM(OSRRefE21_21_2x),0)</f>
        <v>1095.97</v>
      </c>
    </row>
    <row r="123" spans="1:17" s="34" customFormat="1" hidden="1" outlineLevel="1" x14ac:dyDescent="0.3">
      <c r="A123" s="35"/>
      <c r="B123" s="10" t="str">
        <f>CONCATENATE("          ","6241", " - ","OFFICE EXPENSE")</f>
        <v xml:space="preserve">          6241 - OFFICE EXPENSE</v>
      </c>
      <c r="C123" s="14"/>
      <c r="D123" s="2">
        <v>518.65</v>
      </c>
      <c r="E123" s="2">
        <v>770</v>
      </c>
      <c r="F123" s="2">
        <v>470</v>
      </c>
      <c r="G123" s="2">
        <v>470</v>
      </c>
      <c r="H123" s="2">
        <v>470</v>
      </c>
      <c r="I123" s="2">
        <v>970</v>
      </c>
      <c r="J123" s="2">
        <v>670</v>
      </c>
      <c r="K123" s="2">
        <v>720</v>
      </c>
      <c r="L123" s="2">
        <v>470</v>
      </c>
      <c r="M123" s="2">
        <v>470</v>
      </c>
      <c r="N123" s="2">
        <v>470</v>
      </c>
      <c r="O123" s="2">
        <v>420</v>
      </c>
      <c r="P123" s="9"/>
      <c r="Q123" s="2">
        <f>SUM(OSRRefD21_21_3x)+IFERROR(SUM(OSRRefE21_21_3x),0)</f>
        <v>6888.65</v>
      </c>
    </row>
    <row r="124" spans="1:17" s="34" customFormat="1" hidden="1" outlineLevel="1" x14ac:dyDescent="0.3">
      <c r="A124" s="35"/>
      <c r="B124" s="10" t="str">
        <f>CONCATENATE("          ","6243", " - ","PAPER SUPPLIES")</f>
        <v xml:space="preserve">          6243 - PAPER SUPPLIES</v>
      </c>
      <c r="C124" s="14"/>
      <c r="D124" s="2">
        <v>1649.24</v>
      </c>
      <c r="E124" s="2">
        <v>1100</v>
      </c>
      <c r="F124" s="2">
        <v>7700</v>
      </c>
      <c r="G124" s="2">
        <v>3700</v>
      </c>
      <c r="H124" s="2">
        <v>1800</v>
      </c>
      <c r="I124" s="2">
        <v>1400</v>
      </c>
      <c r="J124" s="2">
        <v>7700</v>
      </c>
      <c r="K124" s="2">
        <v>4000</v>
      </c>
      <c r="L124" s="2">
        <v>350</v>
      </c>
      <c r="M124" s="2">
        <v>4400</v>
      </c>
      <c r="N124" s="2">
        <v>3000</v>
      </c>
      <c r="O124" s="2">
        <v>1450</v>
      </c>
      <c r="P124" s="9"/>
      <c r="Q124" s="2">
        <f>SUM(OSRRefD21_21_4x)+IFERROR(SUM(OSRRefE21_21_4x),0)</f>
        <v>38249.24</v>
      </c>
    </row>
    <row r="125" spans="1:17" s="34" customFormat="1" hidden="1" outlineLevel="1" x14ac:dyDescent="0.3">
      <c r="A125" s="35"/>
      <c r="B125" s="10" t="str">
        <f>CONCATENATE("          ","6245", " - ","PRINTING")</f>
        <v xml:space="preserve">          6245 - PRINTING</v>
      </c>
      <c r="C125" s="14"/>
      <c r="D125" s="2">
        <v>251.64</v>
      </c>
      <c r="E125" s="2">
        <v>30</v>
      </c>
      <c r="F125" s="2">
        <v>1600</v>
      </c>
      <c r="G125" s="2">
        <v>250</v>
      </c>
      <c r="H125" s="2">
        <v>80</v>
      </c>
      <c r="I125" s="2">
        <v>160</v>
      </c>
      <c r="J125" s="2">
        <v>3750</v>
      </c>
      <c r="K125" s="2">
        <v>1600</v>
      </c>
      <c r="L125" s="2">
        <v>500</v>
      </c>
      <c r="M125" s="2">
        <v>50</v>
      </c>
      <c r="N125" s="2">
        <v>2300</v>
      </c>
      <c r="O125" s="2">
        <v>50</v>
      </c>
      <c r="P125" s="9"/>
      <c r="Q125" s="2">
        <f>SUM(OSRRefD21_21_5x)+IFERROR(SUM(OSRRefE21_21_5x),0)</f>
        <v>10621.64</v>
      </c>
    </row>
    <row r="126" spans="1:17" s="34" customFormat="1" hidden="1" outlineLevel="1" x14ac:dyDescent="0.3">
      <c r="A126" s="35"/>
      <c r="B126" s="10" t="str">
        <f>CONCATENATE("          ","6247", " - ","STORE SUPPLIES")</f>
        <v xml:space="preserve">          6247 - STORE SUPPLIES</v>
      </c>
      <c r="C126" s="14"/>
      <c r="D126" s="2">
        <v>3850.88</v>
      </c>
      <c r="E126" s="2">
        <v>7475</v>
      </c>
      <c r="F126" s="2">
        <v>7875</v>
      </c>
      <c r="G126" s="2">
        <v>8775</v>
      </c>
      <c r="H126" s="2">
        <v>6725</v>
      </c>
      <c r="I126" s="2">
        <v>6225</v>
      </c>
      <c r="J126" s="2">
        <v>7575</v>
      </c>
      <c r="K126" s="2">
        <v>9275</v>
      </c>
      <c r="L126" s="2">
        <v>7225</v>
      </c>
      <c r="M126" s="2">
        <v>7075</v>
      </c>
      <c r="N126" s="2">
        <v>7325</v>
      </c>
      <c r="O126" s="2">
        <v>5725</v>
      </c>
      <c r="P126" s="9"/>
      <c r="Q126" s="2">
        <f>SUM(OSRRefD21_21_6x)+IFERROR(SUM(OSRRefE21_21_6x),0)</f>
        <v>85125.88</v>
      </c>
    </row>
    <row r="127" spans="1:17" s="34" customFormat="1" collapsed="1" x14ac:dyDescent="0.3">
      <c r="A127" s="35"/>
      <c r="B127" s="14" t="str">
        <f>CONCATENATE("     ","Telephone/Data Lines                              ")</f>
        <v xml:space="preserve">     Telephone/Data Lines                              </v>
      </c>
      <c r="C127" s="14"/>
      <c r="D127" s="1">
        <f>SUM(OSRRefD21_22x_0)</f>
        <v>1687.24</v>
      </c>
      <c r="E127" s="1">
        <f>SUM(OSRRefE21_22x_0)</f>
        <v>2163</v>
      </c>
      <c r="F127" s="1">
        <f>SUM(OSRRefE21_22x_1)</f>
        <v>2013</v>
      </c>
      <c r="G127" s="1">
        <f>SUM(OSRRefE21_22x_2)</f>
        <v>1913</v>
      </c>
      <c r="H127" s="1">
        <f>SUM(OSRRefE21_22x_3)</f>
        <v>1913</v>
      </c>
      <c r="I127" s="1">
        <f>SUM(OSRRefE21_22x_4)</f>
        <v>2063</v>
      </c>
      <c r="J127" s="1">
        <f>SUM(OSRRefE21_22x_5)</f>
        <v>2013</v>
      </c>
      <c r="K127" s="1">
        <f>SUM(OSRRefE21_22x_6)</f>
        <v>1913</v>
      </c>
      <c r="L127" s="1">
        <f>SUM(OSRRefE21_22x_7)</f>
        <v>1913</v>
      </c>
      <c r="M127" s="1">
        <f>SUM(OSRRefE21_22x_8)</f>
        <v>1913</v>
      </c>
      <c r="N127" s="1">
        <f>SUM(OSRRefE21_22x_9)</f>
        <v>1913</v>
      </c>
      <c r="O127" s="1">
        <f>SUM(OSRRefE21_22x_10)</f>
        <v>1913</v>
      </c>
      <c r="Q127" s="2">
        <f>SUM(OSRRefD20_22x)+IFERROR(SUM(OSRRefE20_22x),0)</f>
        <v>23330.240000000002</v>
      </c>
    </row>
    <row r="128" spans="1:17" s="34" customFormat="1" hidden="1" outlineLevel="1" x14ac:dyDescent="0.3">
      <c r="A128" s="35"/>
      <c r="B128" s="10" t="str">
        <f>CONCATENATE("          ","6303", " - ","DATA PHONE LINES")</f>
        <v xml:space="preserve">          6303 - DATA PHONE LINES</v>
      </c>
      <c r="C128" s="14"/>
      <c r="D128" s="2">
        <v>295</v>
      </c>
      <c r="E128" s="2">
        <v>50</v>
      </c>
      <c r="F128" s="2">
        <v>50</v>
      </c>
      <c r="G128" s="2">
        <v>50</v>
      </c>
      <c r="H128" s="2">
        <v>50</v>
      </c>
      <c r="I128" s="2">
        <v>50</v>
      </c>
      <c r="J128" s="2">
        <v>50</v>
      </c>
      <c r="K128" s="2">
        <v>50</v>
      </c>
      <c r="L128" s="2">
        <v>50</v>
      </c>
      <c r="M128" s="2">
        <v>50</v>
      </c>
      <c r="N128" s="2">
        <v>50</v>
      </c>
      <c r="O128" s="2">
        <v>50</v>
      </c>
      <c r="P128" s="9"/>
      <c r="Q128" s="2">
        <f>SUM(OSRRefD21_22_0x)+IFERROR(SUM(OSRRefE21_22_0x),0)</f>
        <v>845</v>
      </c>
    </row>
    <row r="129" spans="1:17" s="34" customFormat="1" hidden="1" outlineLevel="1" x14ac:dyDescent="0.3">
      <c r="A129" s="35"/>
      <c r="B129" s="10" t="str">
        <f>CONCATENATE("          ","6309", " - ","TELEPHONE")</f>
        <v xml:space="preserve">          6309 - TELEPHONE</v>
      </c>
      <c r="C129" s="14"/>
      <c r="D129" s="2">
        <v>1392.24</v>
      </c>
      <c r="E129" s="2">
        <v>2113</v>
      </c>
      <c r="F129" s="2">
        <v>1963</v>
      </c>
      <c r="G129" s="2">
        <v>1863</v>
      </c>
      <c r="H129" s="2">
        <v>1863</v>
      </c>
      <c r="I129" s="2">
        <v>2013</v>
      </c>
      <c r="J129" s="2">
        <v>1963</v>
      </c>
      <c r="K129" s="2">
        <v>1863</v>
      </c>
      <c r="L129" s="2">
        <v>1863</v>
      </c>
      <c r="M129" s="2">
        <v>1863</v>
      </c>
      <c r="N129" s="2">
        <v>1863</v>
      </c>
      <c r="O129" s="2">
        <v>1863</v>
      </c>
      <c r="P129" s="9"/>
      <c r="Q129" s="2">
        <f>SUM(OSRRefD21_22_1x)+IFERROR(SUM(OSRRefE21_22_1x),0)</f>
        <v>22485.24</v>
      </c>
    </row>
    <row r="130" spans="1:17" s="34" customFormat="1" collapsed="1" x14ac:dyDescent="0.3">
      <c r="A130" s="35"/>
      <c r="B130" s="14" t="str">
        <f>CONCATENATE("     ","Training                                          ")</f>
        <v xml:space="preserve">     Training                                          </v>
      </c>
      <c r="C130" s="14"/>
      <c r="D130" s="1">
        <f>SUM(OSRRefD21_23x_0)</f>
        <v>0</v>
      </c>
      <c r="E130" s="1">
        <f>SUM(OSRRefE21_23x_0)</f>
        <v>75</v>
      </c>
      <c r="F130" s="1">
        <f>SUM(OSRRefE21_23x_1)</f>
        <v>0</v>
      </c>
      <c r="G130" s="1">
        <f>SUM(OSRRefE21_23x_2)</f>
        <v>0</v>
      </c>
      <c r="H130" s="1">
        <f>SUM(OSRRefE21_23x_3)</f>
        <v>0</v>
      </c>
      <c r="I130" s="1">
        <f>SUM(OSRRefE21_23x_4)</f>
        <v>0</v>
      </c>
      <c r="J130" s="1">
        <f>SUM(OSRRefE21_23x_5)</f>
        <v>75</v>
      </c>
      <c r="K130" s="1">
        <f>SUM(OSRRefE21_23x_6)</f>
        <v>2000</v>
      </c>
      <c r="L130" s="1">
        <f>SUM(OSRRefE21_23x_7)</f>
        <v>0</v>
      </c>
      <c r="M130" s="1">
        <f>SUM(OSRRefE21_23x_8)</f>
        <v>0</v>
      </c>
      <c r="N130" s="1">
        <f>SUM(OSRRefE21_23x_9)</f>
        <v>0</v>
      </c>
      <c r="O130" s="1">
        <f>SUM(OSRRefE21_23x_10)</f>
        <v>0</v>
      </c>
      <c r="Q130" s="2">
        <f>SUM(OSRRefD20_23x)+IFERROR(SUM(OSRRefE20_23x),0)</f>
        <v>2150</v>
      </c>
    </row>
    <row r="131" spans="1:17" s="34" customFormat="1" hidden="1" outlineLevel="1" x14ac:dyDescent="0.3">
      <c r="A131" s="35"/>
      <c r="B131" s="10" t="str">
        <f>CONCATENATE("          ","6376", " - ","TRAINING")</f>
        <v xml:space="preserve">          6376 - TRAINING</v>
      </c>
      <c r="C131" s="14"/>
      <c r="D131" s="2"/>
      <c r="E131" s="2">
        <v>75</v>
      </c>
      <c r="F131" s="2"/>
      <c r="G131" s="2"/>
      <c r="H131" s="2">
        <v>0</v>
      </c>
      <c r="I131" s="2">
        <v>0</v>
      </c>
      <c r="J131" s="2">
        <v>75</v>
      </c>
      <c r="K131" s="2">
        <v>2000</v>
      </c>
      <c r="L131" s="2">
        <v>0</v>
      </c>
      <c r="M131" s="2">
        <v>0</v>
      </c>
      <c r="N131" s="2">
        <v>0</v>
      </c>
      <c r="O131" s="2"/>
      <c r="P131" s="9"/>
      <c r="Q131" s="2">
        <f>SUM(OSRRefD21_23_0x)+IFERROR(SUM(OSRRefE21_23_0x),0)</f>
        <v>2150</v>
      </c>
    </row>
    <row r="132" spans="1:17" s="34" customFormat="1" collapsed="1" x14ac:dyDescent="0.3">
      <c r="A132" s="35"/>
      <c r="B132" s="14" t="str">
        <f>CONCATENATE("     ","Travel                                            ")</f>
        <v xml:space="preserve">     Travel                                            </v>
      </c>
      <c r="C132" s="14"/>
      <c r="D132" s="1">
        <f>SUM(OSRRefD21_24x_0)</f>
        <v>683.14</v>
      </c>
      <c r="E132" s="1">
        <f>SUM(OSRRefE21_24x_0)</f>
        <v>175</v>
      </c>
      <c r="F132" s="1">
        <f>SUM(OSRRefE21_24x_1)</f>
        <v>175</v>
      </c>
      <c r="G132" s="1">
        <f>SUM(OSRRefE21_24x_2)</f>
        <v>175</v>
      </c>
      <c r="H132" s="1">
        <f>SUM(OSRRefE21_24x_3)</f>
        <v>250</v>
      </c>
      <c r="I132" s="1">
        <f>SUM(OSRRefE21_24x_4)</f>
        <v>350</v>
      </c>
      <c r="J132" s="1">
        <f>SUM(OSRRefE21_24x_5)</f>
        <v>175</v>
      </c>
      <c r="K132" s="1">
        <f>SUM(OSRRefE21_24x_6)</f>
        <v>175</v>
      </c>
      <c r="L132" s="1">
        <f>SUM(OSRRefE21_24x_7)</f>
        <v>175</v>
      </c>
      <c r="M132" s="1">
        <f>SUM(OSRRefE21_24x_8)</f>
        <v>175</v>
      </c>
      <c r="N132" s="1">
        <f>SUM(OSRRefE21_24x_9)</f>
        <v>175</v>
      </c>
      <c r="O132" s="1">
        <f>SUM(OSRRefE21_24x_10)</f>
        <v>175</v>
      </c>
      <c r="Q132" s="2">
        <f>SUM(OSRRefD20_24x)+IFERROR(SUM(OSRRefE20_24x),0)</f>
        <v>2858.14</v>
      </c>
    </row>
    <row r="133" spans="1:17" s="34" customFormat="1" hidden="1" outlineLevel="1" x14ac:dyDescent="0.3">
      <c r="A133" s="35"/>
      <c r="B133" s="10" t="str">
        <f>CONCATENATE("          ","6292", " - ","TRAVEL/CONFERENCE")</f>
        <v xml:space="preserve">          6292 - TRAVEL/CONFERENCE</v>
      </c>
      <c r="C133" s="14"/>
      <c r="D133" s="2">
        <v>495</v>
      </c>
      <c r="E133" s="2">
        <v>125</v>
      </c>
      <c r="F133" s="2">
        <v>125</v>
      </c>
      <c r="G133" s="2">
        <v>125</v>
      </c>
      <c r="H133" s="2">
        <v>125</v>
      </c>
      <c r="I133" s="2">
        <v>125</v>
      </c>
      <c r="J133" s="2">
        <v>125</v>
      </c>
      <c r="K133" s="2">
        <v>125</v>
      </c>
      <c r="L133" s="2">
        <v>125</v>
      </c>
      <c r="M133" s="2">
        <v>125</v>
      </c>
      <c r="N133" s="2">
        <v>125</v>
      </c>
      <c r="O133" s="2">
        <v>125</v>
      </c>
      <c r="P133" s="9"/>
      <c r="Q133" s="2">
        <f>SUM(OSRRefD21_24_0x)+IFERROR(SUM(OSRRefE21_24_0x),0)</f>
        <v>1870</v>
      </c>
    </row>
    <row r="134" spans="1:17" s="34" customFormat="1" hidden="1" outlineLevel="1" x14ac:dyDescent="0.3">
      <c r="A134" s="35"/>
      <c r="B134" s="10" t="str">
        <f>CONCATENATE("          ","6294", " - ","TRAVEL OPERATIONAL")</f>
        <v xml:space="preserve">          6294 - TRAVEL OPERATIONAL</v>
      </c>
      <c r="C134" s="14"/>
      <c r="D134" s="2">
        <v>188.14</v>
      </c>
      <c r="E134" s="2">
        <v>25</v>
      </c>
      <c r="F134" s="2">
        <v>25</v>
      </c>
      <c r="G134" s="2">
        <v>25</v>
      </c>
      <c r="H134" s="2">
        <v>25</v>
      </c>
      <c r="I134" s="2">
        <v>25</v>
      </c>
      <c r="J134" s="2">
        <v>25</v>
      </c>
      <c r="K134" s="2">
        <v>25</v>
      </c>
      <c r="L134" s="2">
        <v>25</v>
      </c>
      <c r="M134" s="2">
        <v>25</v>
      </c>
      <c r="N134" s="2">
        <v>25</v>
      </c>
      <c r="O134" s="2">
        <v>25</v>
      </c>
      <c r="P134" s="9"/>
      <c r="Q134" s="2">
        <f>SUM(OSRRefD21_24_1x)+IFERROR(SUM(OSRRefE21_24_1x),0)</f>
        <v>463.14</v>
      </c>
    </row>
    <row r="135" spans="1:17" s="34" customFormat="1" hidden="1" outlineLevel="1" x14ac:dyDescent="0.3">
      <c r="A135" s="35"/>
      <c r="B135" s="10" t="str">
        <f>CONCATENATE("          ","6298", " - ","VEHICLE MILEAGE")</f>
        <v xml:space="preserve">          6298 - VEHICLE MILEAGE</v>
      </c>
      <c r="C135" s="14"/>
      <c r="D135" s="2"/>
      <c r="E135" s="2">
        <v>25</v>
      </c>
      <c r="F135" s="2">
        <v>25</v>
      </c>
      <c r="G135" s="2">
        <v>25</v>
      </c>
      <c r="H135" s="2">
        <v>100</v>
      </c>
      <c r="I135" s="2">
        <v>200</v>
      </c>
      <c r="J135" s="2">
        <v>25</v>
      </c>
      <c r="K135" s="2">
        <v>25</v>
      </c>
      <c r="L135" s="2">
        <v>25</v>
      </c>
      <c r="M135" s="2">
        <v>25</v>
      </c>
      <c r="N135" s="2">
        <v>25</v>
      </c>
      <c r="O135" s="2">
        <v>25</v>
      </c>
      <c r="P135" s="9"/>
      <c r="Q135" s="2">
        <f>SUM(OSRRefD21_24_2x)+IFERROR(SUM(OSRRefE21_24_2x),0)</f>
        <v>525</v>
      </c>
    </row>
    <row r="136" spans="1:17" s="34" customFormat="1" collapsed="1" x14ac:dyDescent="0.3">
      <c r="A136" s="35"/>
      <c r="B136" s="14" t="str">
        <f>CONCATENATE("     ","Utilities                                         ")</f>
        <v xml:space="preserve">     Utilities                                         </v>
      </c>
      <c r="C136" s="14"/>
      <c r="D136" s="1">
        <f>SUM(OSRRefD21_25x_0)</f>
        <v>6136.49</v>
      </c>
      <c r="E136" s="1">
        <f>SUM(OSRRefE21_25x_0)</f>
        <v>6120</v>
      </c>
      <c r="F136" s="1">
        <f>SUM(OSRRefE21_25x_1)</f>
        <v>6120</v>
      </c>
      <c r="G136" s="1">
        <f>SUM(OSRRefE21_25x_2)</f>
        <v>6120</v>
      </c>
      <c r="H136" s="1">
        <f>SUM(OSRRefE21_25x_3)</f>
        <v>6120</v>
      </c>
      <c r="I136" s="1">
        <f>SUM(OSRRefE21_25x_4)</f>
        <v>6120</v>
      </c>
      <c r="J136" s="1">
        <f>SUM(OSRRefE21_25x_5)</f>
        <v>6120</v>
      </c>
      <c r="K136" s="1">
        <f>SUM(OSRRefE21_25x_6)</f>
        <v>8800</v>
      </c>
      <c r="L136" s="1">
        <f>SUM(OSRRefE21_25x_7)</f>
        <v>6120</v>
      </c>
      <c r="M136" s="1">
        <f>SUM(OSRRefE21_25x_8)</f>
        <v>6120</v>
      </c>
      <c r="N136" s="1">
        <f>SUM(OSRRefE21_25x_9)</f>
        <v>6120</v>
      </c>
      <c r="O136" s="1">
        <f>SUM(OSRRefE21_25x_10)</f>
        <v>6120</v>
      </c>
      <c r="Q136" s="2">
        <f>SUM(OSRRefD20_25x)+IFERROR(SUM(OSRRefE20_25x),0)</f>
        <v>76136.490000000005</v>
      </c>
    </row>
    <row r="137" spans="1:17" s="34" customFormat="1" hidden="1" outlineLevel="1" x14ac:dyDescent="0.3">
      <c r="A137" s="35"/>
      <c r="B137" s="10" t="str">
        <f>CONCATENATE("          ","6274", " - ","UTILITIES")</f>
        <v xml:space="preserve">          6274 - UTILITIES</v>
      </c>
      <c r="C137" s="14"/>
      <c r="D137" s="2">
        <v>6136.49</v>
      </c>
      <c r="E137" s="2">
        <v>6120</v>
      </c>
      <c r="F137" s="2">
        <v>6120</v>
      </c>
      <c r="G137" s="2">
        <v>6120</v>
      </c>
      <c r="H137" s="2">
        <v>6120</v>
      </c>
      <c r="I137" s="2">
        <v>6120</v>
      </c>
      <c r="J137" s="2">
        <v>6120</v>
      </c>
      <c r="K137" s="2">
        <v>8800</v>
      </c>
      <c r="L137" s="2">
        <v>6120</v>
      </c>
      <c r="M137" s="2">
        <v>6120</v>
      </c>
      <c r="N137" s="2">
        <v>6120</v>
      </c>
      <c r="O137" s="2">
        <v>6120</v>
      </c>
      <c r="P137" s="9"/>
      <c r="Q137" s="2">
        <f>SUM(OSRRefD21_25_0x)+IFERROR(SUM(OSRRefE21_25_0x),0)</f>
        <v>76136.490000000005</v>
      </c>
    </row>
    <row r="138" spans="1:17" s="28" customFormat="1" x14ac:dyDescent="0.3">
      <c r="A138" s="21"/>
      <c r="B138" s="21"/>
      <c r="C138" s="2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Q138" s="1"/>
    </row>
    <row r="139" spans="1:17" s="9" customFormat="1" x14ac:dyDescent="0.3">
      <c r="A139" s="22"/>
      <c r="B139" s="16" t="s">
        <v>293</v>
      </c>
      <c r="C139" s="23"/>
      <c r="D139" s="3">
        <f>--39640.85</f>
        <v>39640.85</v>
      </c>
      <c r="E139" s="3">
        <v>53166</v>
      </c>
      <c r="F139" s="3">
        <v>181128.5</v>
      </c>
      <c r="G139" s="3">
        <v>29265</v>
      </c>
      <c r="H139" s="3">
        <v>51277</v>
      </c>
      <c r="I139" s="3">
        <v>65715</v>
      </c>
      <c r="J139" s="3">
        <v>27724.33</v>
      </c>
      <c r="K139" s="3">
        <v>212602.4</v>
      </c>
      <c r="L139" s="3">
        <v>62092</v>
      </c>
      <c r="M139" s="3">
        <v>32626</v>
      </c>
      <c r="N139" s="3">
        <v>302754</v>
      </c>
      <c r="O139" s="3">
        <v>219676</v>
      </c>
      <c r="Q139" s="2">
        <f>SUM(OSRRefD23_0x)+IFERROR(SUM(OSRRefE23_0x),0)</f>
        <v>1277667.08</v>
      </c>
    </row>
    <row r="140" spans="1:17" x14ac:dyDescent="0.3">
      <c r="A140" s="5"/>
      <c r="B140" s="6"/>
      <c r="C140" s="6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Q140" s="3"/>
    </row>
    <row r="141" spans="1:17" s="15" customFormat="1" x14ac:dyDescent="0.3">
      <c r="A141" s="6"/>
      <c r="B141" s="17" t="s">
        <v>276</v>
      </c>
      <c r="C141" s="17"/>
      <c r="D141" s="8">
        <f t="shared" ref="D141:O141" si="2">IFERROR(+D41-D44+D139, 0)</f>
        <v>-242642.59999999989</v>
      </c>
      <c r="E141" s="8">
        <f t="shared" si="2"/>
        <v>559616.30706097186</v>
      </c>
      <c r="F141" s="8">
        <f t="shared" si="2"/>
        <v>162981.16012077953</v>
      </c>
      <c r="G141" s="8">
        <f t="shared" si="2"/>
        <v>-166497.71067114105</v>
      </c>
      <c r="H141" s="8">
        <f t="shared" si="2"/>
        <v>-121185.9622369128</v>
      </c>
      <c r="I141" s="8">
        <f t="shared" si="2"/>
        <v>-48953.280731912877</v>
      </c>
      <c r="J141" s="8">
        <f t="shared" si="2"/>
        <v>255639.85907610902</v>
      </c>
      <c r="K141" s="8">
        <f t="shared" si="2"/>
        <v>143609.0593164372</v>
      </c>
      <c r="L141" s="8">
        <f t="shared" si="2"/>
        <v>-7052.8968668128364</v>
      </c>
      <c r="M141" s="8">
        <f t="shared" si="2"/>
        <v>-101447.93499389105</v>
      </c>
      <c r="N141" s="8">
        <f t="shared" si="2"/>
        <v>208761.50437743717</v>
      </c>
      <c r="O141" s="8">
        <f t="shared" si="2"/>
        <v>53228.248327787151</v>
      </c>
      <c r="Q141" s="8">
        <f>IFERROR(+Q41-Q44+Q139, 0)</f>
        <v>696055.75277885236</v>
      </c>
    </row>
    <row r="142" spans="1:17" s="6" customFormat="1" x14ac:dyDescent="0.3">
      <c r="B142" s="16"/>
      <c r="C142" s="16"/>
      <c r="D142" s="4">
        <f t="shared" ref="D142:O142" si="3">IFERROR(D141/D10, 0)</f>
        <v>-1.1004288379289404</v>
      </c>
      <c r="E142" s="4">
        <f t="shared" si="3"/>
        <v>0.20321927834600156</v>
      </c>
      <c r="F142" s="4">
        <f t="shared" si="3"/>
        <v>0.18948653690273395</v>
      </c>
      <c r="G142" s="4">
        <f t="shared" si="3"/>
        <v>-0.38333761726756194</v>
      </c>
      <c r="H142" s="4">
        <f t="shared" si="3"/>
        <v>-0.41549567737382076</v>
      </c>
      <c r="I142" s="4">
        <f t="shared" si="3"/>
        <v>-0.11198612959304034</v>
      </c>
      <c r="J142" s="4">
        <f t="shared" si="3"/>
        <v>0.12595206048111951</v>
      </c>
      <c r="K142" s="4">
        <f t="shared" si="3"/>
        <v>0.22285562987882943</v>
      </c>
      <c r="L142" s="4">
        <f t="shared" si="3"/>
        <v>-1.5565769519982954E-2</v>
      </c>
      <c r="M142" s="4">
        <f t="shared" si="3"/>
        <v>-0.23202896245580851</v>
      </c>
      <c r="N142" s="4">
        <f t="shared" si="3"/>
        <v>0.49330560193539336</v>
      </c>
      <c r="O142" s="4">
        <f t="shared" si="3"/>
        <v>0.17891848177407446</v>
      </c>
      <c r="P142" s="18"/>
      <c r="Q142" s="4">
        <f>IFERROR(Q141/Q10, 0)</f>
        <v>7.4985070039403537E-2</v>
      </c>
    </row>
    <row r="143" spans="1:17" x14ac:dyDescent="0.3">
      <c r="A143" s="5"/>
      <c r="B143" s="6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Q143" s="3"/>
    </row>
    <row r="144" spans="1:17" s="15" customFormat="1" x14ac:dyDescent="0.3">
      <c r="A144" s="25"/>
      <c r="B144" s="6" t="s">
        <v>125</v>
      </c>
      <c r="C144" s="6"/>
      <c r="D144" s="3">
        <v>101869.27</v>
      </c>
      <c r="E144" s="3">
        <v>225794</v>
      </c>
      <c r="F144" s="3">
        <v>82881</v>
      </c>
      <c r="G144" s="3">
        <v>75211</v>
      </c>
      <c r="H144" s="3">
        <v>80342</v>
      </c>
      <c r="I144" s="3">
        <v>77420</v>
      </c>
      <c r="J144" s="3">
        <v>232987</v>
      </c>
      <c r="K144" s="3">
        <v>57018</v>
      </c>
      <c r="L144" s="3">
        <v>51553</v>
      </c>
      <c r="M144" s="3">
        <v>63937</v>
      </c>
      <c r="N144" s="3">
        <v>60678</v>
      </c>
      <c r="O144" s="3">
        <v>-62383</v>
      </c>
      <c r="Q144" s="2">
        <f>SUM(OSRRefD28_0x)+IFERROR(SUM(OSRRefE28_0x),0)</f>
        <v>1047307.27</v>
      </c>
    </row>
    <row r="145" spans="1:17" x14ac:dyDescent="0.3">
      <c r="A145" s="5"/>
      <c r="B145" s="6"/>
      <c r="C145" s="6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3"/>
    </row>
    <row r="146" spans="1:17" s="15" customFormat="1" ht="15" thickBot="1" x14ac:dyDescent="0.35">
      <c r="A146" s="6"/>
      <c r="B146" s="17" t="s">
        <v>124</v>
      </c>
      <c r="C146" s="17"/>
      <c r="D146" s="7">
        <f t="shared" ref="D146:O146" si="4">IFERROR(+D141-D144, 0)</f>
        <v>-344511.86999999988</v>
      </c>
      <c r="E146" s="7">
        <f t="shared" si="4"/>
        <v>333822.30706097186</v>
      </c>
      <c r="F146" s="7">
        <f t="shared" si="4"/>
        <v>80100.160120779532</v>
      </c>
      <c r="G146" s="7">
        <f t="shared" si="4"/>
        <v>-241708.71067114105</v>
      </c>
      <c r="H146" s="7">
        <f t="shared" si="4"/>
        <v>-201527.9622369128</v>
      </c>
      <c r="I146" s="7">
        <f t="shared" si="4"/>
        <v>-126373.28073191288</v>
      </c>
      <c r="J146" s="7">
        <f t="shared" si="4"/>
        <v>22652.859076109016</v>
      </c>
      <c r="K146" s="7">
        <f t="shared" si="4"/>
        <v>86591.059316437197</v>
      </c>
      <c r="L146" s="7">
        <f t="shared" si="4"/>
        <v>-58605.896866812836</v>
      </c>
      <c r="M146" s="7">
        <f t="shared" si="4"/>
        <v>-165384.93499389105</v>
      </c>
      <c r="N146" s="7">
        <f t="shared" si="4"/>
        <v>148083.50437743717</v>
      </c>
      <c r="O146" s="7">
        <f t="shared" si="4"/>
        <v>115611.24832778715</v>
      </c>
      <c r="Q146" s="7">
        <f>IFERROR(+Q141-Q144, 0)</f>
        <v>-351251.51722114766</v>
      </c>
    </row>
    <row r="147" spans="1:17" ht="15" thickTop="1" x14ac:dyDescent="0.3">
      <c r="A147" s="5"/>
      <c r="B147" s="5"/>
      <c r="C147" s="5"/>
      <c r="D147" s="4">
        <f t="shared" ref="D147:O147" si="5">IFERROR(D146/D10, 0)</f>
        <v>-1.5624247216145319</v>
      </c>
      <c r="E147" s="4">
        <f t="shared" si="5"/>
        <v>0.12122435940619716</v>
      </c>
      <c r="F147" s="4">
        <f t="shared" si="5"/>
        <v>9.3126726643700336E-2</v>
      </c>
      <c r="G147" s="4">
        <f t="shared" si="5"/>
        <v>-0.5565003917951753</v>
      </c>
      <c r="H147" s="4">
        <f t="shared" si="5"/>
        <v>-0.69095459270848436</v>
      </c>
      <c r="I147" s="4">
        <f t="shared" si="5"/>
        <v>-0.28909307775803211</v>
      </c>
      <c r="J147" s="4">
        <f t="shared" si="5"/>
        <v>1.1160913195367212E-2</v>
      </c>
      <c r="K147" s="4">
        <f t="shared" si="5"/>
        <v>0.13437386998907083</v>
      </c>
      <c r="L147" s="4">
        <f t="shared" si="5"/>
        <v>-0.1293434315526775</v>
      </c>
      <c r="M147" s="4">
        <f t="shared" si="5"/>
        <v>-0.37826393287122767</v>
      </c>
      <c r="N147" s="4">
        <f t="shared" si="5"/>
        <v>0.34992285805499945</v>
      </c>
      <c r="O147" s="4">
        <f t="shared" si="5"/>
        <v>0.38860923807659548</v>
      </c>
      <c r="P147" s="18"/>
      <c r="Q147" s="4">
        <f>IFERROR(Q146/Q10, 0)</f>
        <v>-3.7839813140144681E-2</v>
      </c>
    </row>
    <row r="148" spans="1:17" x14ac:dyDescent="0.3">
      <c r="A148" s="5"/>
      <c r="B148" s="5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Q148" s="3"/>
    </row>
    <row r="149" spans="1:17" x14ac:dyDescent="0.3">
      <c r="A149" s="5"/>
      <c r="B149" s="5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Q149" s="3"/>
    </row>
    <row r="150" spans="1:17" s="15" customFormat="1" ht="15" thickBot="1" x14ac:dyDescent="0.35">
      <c r="A150" s="6"/>
      <c r="B150" s="17" t="s">
        <v>294</v>
      </c>
      <c r="C150" s="17"/>
      <c r="D150" s="7">
        <f t="shared" ref="D150:O150" si="6">IFERROR(SUM(D146:D149), 0)</f>
        <v>-344513.43242472148</v>
      </c>
      <c r="E150" s="7">
        <f t="shared" si="6"/>
        <v>333822.42828533129</v>
      </c>
      <c r="F150" s="7">
        <f t="shared" si="6"/>
        <v>80100.253247506174</v>
      </c>
      <c r="G150" s="7">
        <f t="shared" si="6"/>
        <v>-241709.26717153285</v>
      </c>
      <c r="H150" s="7">
        <f t="shared" si="6"/>
        <v>-201528.65319150552</v>
      </c>
      <c r="I150" s="7">
        <f t="shared" si="6"/>
        <v>-126373.56982499064</v>
      </c>
      <c r="J150" s="7">
        <f t="shared" si="6"/>
        <v>22652.870237022213</v>
      </c>
      <c r="K150" s="7">
        <f t="shared" si="6"/>
        <v>86591.193690307191</v>
      </c>
      <c r="L150" s="7">
        <f t="shared" si="6"/>
        <v>-58606.026210244388</v>
      </c>
      <c r="M150" s="7">
        <f t="shared" si="6"/>
        <v>-165385.31325782393</v>
      </c>
      <c r="N150" s="7">
        <f t="shared" si="6"/>
        <v>148083.85430029524</v>
      </c>
      <c r="O150" s="7">
        <f t="shared" si="6"/>
        <v>115611.63693702522</v>
      </c>
      <c r="Q150" s="7">
        <f>IFERROR(SUM(Q146:Q149), 0)</f>
        <v>-351251.55506096082</v>
      </c>
    </row>
    <row r="151" spans="1:17" ht="15" thickTop="1" x14ac:dyDescent="0.3">
      <c r="A151" s="5"/>
      <c r="C151" s="5"/>
      <c r="D151" s="4">
        <f t="shared" ref="D151:O151" si="7">IFERROR(D150/D10, 0)</f>
        <v>-1.5624318074981352</v>
      </c>
      <c r="E151" s="4">
        <f t="shared" si="7"/>
        <v>0.1212244034276571</v>
      </c>
      <c r="F151" s="4">
        <f t="shared" si="7"/>
        <v>9.3126834915484083E-2</v>
      </c>
      <c r="G151" s="4">
        <f t="shared" si="7"/>
        <v>-0.55650167305924392</v>
      </c>
      <c r="H151" s="4">
        <f t="shared" si="7"/>
        <v>-0.69095696170107423</v>
      </c>
      <c r="I151" s="4">
        <f t="shared" si="7"/>
        <v>-0.28909373909092717</v>
      </c>
      <c r="J151" s="4">
        <f t="shared" si="7"/>
        <v>1.1160918694275008E-2</v>
      </c>
      <c r="K151" s="4">
        <f t="shared" si="7"/>
        <v>0.1343740785133351</v>
      </c>
      <c r="L151" s="4">
        <f t="shared" si="7"/>
        <v>-0.12934371701411024</v>
      </c>
      <c r="M151" s="4">
        <f t="shared" si="7"/>
        <v>-0.37826479802622459</v>
      </c>
      <c r="N151" s="4">
        <f t="shared" si="7"/>
        <v>0.34992368492634551</v>
      </c>
      <c r="O151" s="4">
        <f t="shared" si="7"/>
        <v>0.38861054432613518</v>
      </c>
      <c r="P151" s="18"/>
      <c r="Q151" s="4">
        <f>IFERROR(Q150/Q10, 0)</f>
        <v>-3.7839817216572508E-2</v>
      </c>
    </row>
    <row r="152" spans="1:17" x14ac:dyDescent="0.3">
      <c r="A152" s="5"/>
      <c r="B152" s="30">
        <v>44462.678409456021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Q152" s="11"/>
    </row>
    <row r="153" spans="1:17" x14ac:dyDescent="0.3">
      <c r="A153" s="5"/>
      <c r="B153" s="31" t="s">
        <v>54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Q153" s="11"/>
    </row>
    <row r="154" spans="1:17" x14ac:dyDescent="0.3">
      <c r="A154" s="5"/>
      <c r="B154" s="29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Q154" s="11"/>
    </row>
    <row r="155" spans="1:17" x14ac:dyDescent="0.3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Q155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  <outlinePr summaryBelow="0" summaryRight="0"/>
    <pageSetUpPr fitToPage="1"/>
  </sheetPr>
  <dimension ref="A2:R8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","201", " - ", "General Manager")</f>
        <v>Department 201 - General Manager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35851.090000000004</v>
      </c>
      <c r="E17" s="13">
        <f>SUM(OSRRefE20x_0)</f>
        <v>55492.382430769183</v>
      </c>
      <c r="F17" s="13">
        <f>SUM(OSRRefE20x_1)</f>
        <v>52542.382430769183</v>
      </c>
      <c r="G17" s="13">
        <f>SUM(OSRRefE20x_2)</f>
        <v>51922.47803846153</v>
      </c>
      <c r="H17" s="13">
        <f>SUM(OSRRefE20x_3)</f>
        <v>63332.928969230808</v>
      </c>
      <c r="I17" s="13">
        <f>SUM(OSRRefE20x_4)</f>
        <v>46232.928969230808</v>
      </c>
      <c r="J17" s="13">
        <f>SUM(OSRRefE20x_5)</f>
        <v>58900.411211538492</v>
      </c>
      <c r="K17" s="13">
        <f>SUM(OSRRefE20x_6)</f>
        <v>39107.928969230808</v>
      </c>
      <c r="L17" s="13">
        <f>SUM(OSRRefE20x_7)</f>
        <v>30042.382430769179</v>
      </c>
      <c r="M17" s="13">
        <f>SUM(OSRRefE20x_8)</f>
        <v>48590.47803846153</v>
      </c>
      <c r="N17" s="13">
        <f>SUM(OSRRefE20x_9)</f>
        <v>31517.382430769179</v>
      </c>
      <c r="O17" s="13">
        <f>SUM(OSRRefE20x_10)</f>
        <v>31072.382430769179</v>
      </c>
      <c r="Q17" s="13">
        <f>SUM(OSRRefG20x)</f>
        <v>544605.15634999995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10222.959999999999</v>
      </c>
      <c r="E18" s="1">
        <f>SUM(OSRRefE21_0x_0)</f>
        <v>8288.1208923076883</v>
      </c>
      <c r="F18" s="1">
        <f>SUM(OSRRefE21_0x_1)</f>
        <v>8338.1208923076883</v>
      </c>
      <c r="G18" s="1">
        <f>SUM(OSRRefE21_0x_2)</f>
        <v>9495.4011153846204</v>
      </c>
      <c r="H18" s="1">
        <f>SUM(OSRRefE21_0x_3)</f>
        <v>10715.590507692315</v>
      </c>
      <c r="I18" s="1">
        <f>SUM(OSRRefE21_0x_4)</f>
        <v>10765.590507692315</v>
      </c>
      <c r="J18" s="1">
        <f>SUM(OSRRefE21_0x_5)</f>
        <v>12344.48813461538</v>
      </c>
      <c r="K18" s="1">
        <f>SUM(OSRRefE21_0x_6)</f>
        <v>10715.590507692315</v>
      </c>
      <c r="L18" s="1">
        <f>SUM(OSRRefE21_0x_7)</f>
        <v>8338.1208923076883</v>
      </c>
      <c r="M18" s="1">
        <f>SUM(OSRRefE21_0x_8)</f>
        <v>9495.4011153846204</v>
      </c>
      <c r="N18" s="1">
        <f>SUM(OSRRefE21_0x_9)</f>
        <v>8338.1208923076883</v>
      </c>
      <c r="O18" s="1">
        <f>SUM(OSRRefE21_0x_10)</f>
        <v>8338.1208923076883</v>
      </c>
      <c r="Q18" s="2">
        <f>SUM(OSRRefD20_0x)+IFERROR(SUM(OSRRefE20_0x),0)</f>
        <v>115395.62635000001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1448.66</v>
      </c>
      <c r="E19" s="2">
        <v>1430.0513538461501</v>
      </c>
      <c r="F19" s="2">
        <v>1430.0513538461501</v>
      </c>
      <c r="G19" s="2">
        <v>1787.5641923076901</v>
      </c>
      <c r="H19" s="2">
        <v>1951.0440461538501</v>
      </c>
      <c r="I19" s="2">
        <v>1951.0440461538501</v>
      </c>
      <c r="J19" s="2">
        <v>2438.8050576923101</v>
      </c>
      <c r="K19" s="2">
        <v>1951.0440461538501</v>
      </c>
      <c r="L19" s="2">
        <v>1430.0513538461501</v>
      </c>
      <c r="M19" s="2">
        <v>1787.5641923076901</v>
      </c>
      <c r="N19" s="2">
        <v>1430.0513538461501</v>
      </c>
      <c r="O19" s="2">
        <v>1430.0513538461501</v>
      </c>
      <c r="P19" s="9"/>
      <c r="Q19" s="2">
        <f>SUM(OSRRefD21_0_0x)+IFERROR(SUM(OSRRefE21_0_0x),0)</f>
        <v>20465.982349999991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244.28</v>
      </c>
      <c r="E20" s="2">
        <v>57.927076923076903</v>
      </c>
      <c r="F20" s="2">
        <v>57.927076923076903</v>
      </c>
      <c r="G20" s="2">
        <v>72.408846153846099</v>
      </c>
      <c r="H20" s="2">
        <v>79.030923076923102</v>
      </c>
      <c r="I20" s="2">
        <v>79.030923076923102</v>
      </c>
      <c r="J20" s="2">
        <v>98.788653846153807</v>
      </c>
      <c r="K20" s="2">
        <v>79.030923076923102</v>
      </c>
      <c r="L20" s="2">
        <v>57.927076923076903</v>
      </c>
      <c r="M20" s="2">
        <v>72.408846153846099</v>
      </c>
      <c r="N20" s="2">
        <v>57.927076923076903</v>
      </c>
      <c r="O20" s="2">
        <v>57.927076923076903</v>
      </c>
      <c r="P20" s="9"/>
      <c r="Q20" s="2">
        <f>SUM(OSRRefD21_0_1x)+IFERROR(SUM(OSRRefE21_0_1x),0)</f>
        <v>1014.6144999999998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3909.65</v>
      </c>
      <c r="E21" s="2">
        <v>3359</v>
      </c>
      <c r="F21" s="2">
        <v>3359</v>
      </c>
      <c r="G21" s="2">
        <v>3359</v>
      </c>
      <c r="H21" s="2">
        <v>4050</v>
      </c>
      <c r="I21" s="2">
        <v>4050</v>
      </c>
      <c r="J21" s="2">
        <v>4050</v>
      </c>
      <c r="K21" s="2">
        <v>4050</v>
      </c>
      <c r="L21" s="2">
        <v>3359</v>
      </c>
      <c r="M21" s="2">
        <v>3359</v>
      </c>
      <c r="N21" s="2">
        <v>3359</v>
      </c>
      <c r="O21" s="2">
        <v>3359</v>
      </c>
      <c r="P21" s="9"/>
      <c r="Q21" s="2">
        <f>SUM(OSRRefD21_0_2x)+IFERROR(SUM(OSRRefE21_0_2x),0)</f>
        <v>43622.65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49.24</v>
      </c>
      <c r="E22" s="2">
        <v>39.240923076923103</v>
      </c>
      <c r="F22" s="2">
        <v>39.240923076923103</v>
      </c>
      <c r="G22" s="2">
        <v>49.051153846153802</v>
      </c>
      <c r="H22" s="2">
        <v>53.537076923076903</v>
      </c>
      <c r="I22" s="2">
        <v>53.537076923076903</v>
      </c>
      <c r="J22" s="2">
        <v>66.921346153846102</v>
      </c>
      <c r="K22" s="2">
        <v>53.537076923076903</v>
      </c>
      <c r="L22" s="2">
        <v>39.240923076923103</v>
      </c>
      <c r="M22" s="2">
        <v>49.051153846153802</v>
      </c>
      <c r="N22" s="2">
        <v>39.240923076923103</v>
      </c>
      <c r="O22" s="2">
        <v>39.240923076923103</v>
      </c>
      <c r="P22" s="9"/>
      <c r="Q22" s="2">
        <f>SUM(OSRRefD21_0_3x)+IFERROR(SUM(OSRRefE21_0_3x),0)</f>
        <v>571.07949999999994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2020.98</v>
      </c>
      <c r="E23" s="2">
        <v>1607.00923076923</v>
      </c>
      <c r="F23" s="2">
        <v>1607.00923076923</v>
      </c>
      <c r="G23" s="2">
        <v>2008.7615384615401</v>
      </c>
      <c r="H23" s="2">
        <v>2192.4707692307702</v>
      </c>
      <c r="I23" s="2">
        <v>2192.4707692307702</v>
      </c>
      <c r="J23" s="2">
        <v>2740.5884615384598</v>
      </c>
      <c r="K23" s="2">
        <v>2192.4707692307702</v>
      </c>
      <c r="L23" s="2">
        <v>1607.00923076923</v>
      </c>
      <c r="M23" s="2">
        <v>2008.7615384615401</v>
      </c>
      <c r="N23" s="2">
        <v>1607.00923076923</v>
      </c>
      <c r="O23" s="2">
        <v>1607.00923076923</v>
      </c>
      <c r="P23" s="9"/>
      <c r="Q23" s="2">
        <f>SUM(OSRRefD21_0_4x)+IFERROR(SUM(OSRRefE21_0_4x),0)</f>
        <v>23391.55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1658.98</v>
      </c>
      <c r="E25" s="2">
        <v>934.30769230769204</v>
      </c>
      <c r="F25" s="2">
        <v>934.30769230769204</v>
      </c>
      <c r="G25" s="2">
        <v>1167.88461538462</v>
      </c>
      <c r="H25" s="2">
        <v>1274.6923076923099</v>
      </c>
      <c r="I25" s="2">
        <v>1274.6923076923099</v>
      </c>
      <c r="J25" s="2">
        <v>1593.36538461538</v>
      </c>
      <c r="K25" s="2">
        <v>1274.6923076923099</v>
      </c>
      <c r="L25" s="2">
        <v>934.30769230769204</v>
      </c>
      <c r="M25" s="2">
        <v>1167.88461538462</v>
      </c>
      <c r="N25" s="2">
        <v>934.30769230769204</v>
      </c>
      <c r="O25" s="2">
        <v>934.30769230769204</v>
      </c>
      <c r="P25" s="9"/>
      <c r="Q25" s="2">
        <f>SUM(OSRRefD21_0_6x)+IFERROR(SUM(OSRRefE21_0_6x),0)</f>
        <v>14083.730000000009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856.8</v>
      </c>
      <c r="E26" s="2">
        <v>560.58461538461597</v>
      </c>
      <c r="F26" s="2">
        <v>560.58461538461597</v>
      </c>
      <c r="G26" s="2">
        <v>700.73076923076906</v>
      </c>
      <c r="H26" s="2">
        <v>764.81538461538503</v>
      </c>
      <c r="I26" s="2">
        <v>764.81538461538503</v>
      </c>
      <c r="J26" s="2">
        <v>956.01923076923094</v>
      </c>
      <c r="K26" s="2">
        <v>764.81538461538503</v>
      </c>
      <c r="L26" s="2">
        <v>560.58461538461597</v>
      </c>
      <c r="M26" s="2">
        <v>700.73076923076906</v>
      </c>
      <c r="N26" s="2">
        <v>560.58461538461597</v>
      </c>
      <c r="O26" s="2">
        <v>560.58461538461597</v>
      </c>
      <c r="P26" s="9"/>
      <c r="Q26" s="2">
        <f>SUM(OSRRefD21_0_7x)+IFERROR(SUM(OSRRefE21_0_7x),0)</f>
        <v>8311.6500000000033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34.369999999999997</v>
      </c>
      <c r="E27" s="2">
        <v>300</v>
      </c>
      <c r="F27" s="2">
        <v>350</v>
      </c>
      <c r="G27" s="2">
        <v>350</v>
      </c>
      <c r="H27" s="2">
        <v>350</v>
      </c>
      <c r="I27" s="2">
        <v>400</v>
      </c>
      <c r="J27" s="2">
        <v>400</v>
      </c>
      <c r="K27" s="2">
        <v>350</v>
      </c>
      <c r="L27" s="2">
        <v>350</v>
      </c>
      <c r="M27" s="2">
        <v>350</v>
      </c>
      <c r="N27" s="2">
        <v>350</v>
      </c>
      <c r="O27" s="2">
        <v>350</v>
      </c>
      <c r="P27" s="9"/>
      <c r="Q27" s="2">
        <f>SUM(OSRRefD21_0_8x)+IFERROR(SUM(OSRRefE21_0_8x),0)</f>
        <v>3934.37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21772.7</v>
      </c>
      <c r="E28" s="1">
        <f>SUM(OSRRefE21_1x_0)</f>
        <v>17191.261538461491</v>
      </c>
      <c r="F28" s="1">
        <f>SUM(OSRRefE21_1x_1)</f>
        <v>17191.261538461491</v>
      </c>
      <c r="G28" s="1">
        <f>SUM(OSRRefE21_1x_2)</f>
        <v>21489.076923076907</v>
      </c>
      <c r="H28" s="1">
        <f>SUM(OSRRefE21_1x_3)</f>
        <v>23454.338461538489</v>
      </c>
      <c r="I28" s="1">
        <f>SUM(OSRRefE21_1x_4)</f>
        <v>23454.338461538489</v>
      </c>
      <c r="J28" s="1">
        <f>SUM(OSRRefE21_1x_5)</f>
        <v>29317.923076923111</v>
      </c>
      <c r="K28" s="1">
        <f>SUM(OSRRefE21_1x_6)</f>
        <v>23454.338461538489</v>
      </c>
      <c r="L28" s="1">
        <f>SUM(OSRRefE21_1x_7)</f>
        <v>17191.261538461491</v>
      </c>
      <c r="M28" s="1">
        <f>SUM(OSRRefE21_1x_8)</f>
        <v>21489.076923076907</v>
      </c>
      <c r="N28" s="1">
        <f>SUM(OSRRefE21_1x_9)</f>
        <v>17191.261538461491</v>
      </c>
      <c r="O28" s="1">
        <f>SUM(OSRRefE21_1x_10)</f>
        <v>17191.261538461491</v>
      </c>
      <c r="Q28" s="2">
        <f>SUM(OSRRefD20_1x)+IFERROR(SUM(OSRRefE20_1x),0)</f>
        <v>250388.09999999986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>
        <v>16876.34</v>
      </c>
      <c r="E29" s="2">
        <v>12526.1538461538</v>
      </c>
      <c r="F29" s="2">
        <v>12526.1538461538</v>
      </c>
      <c r="G29" s="2">
        <v>15657.692307692299</v>
      </c>
      <c r="H29" s="2">
        <v>18789.230769230799</v>
      </c>
      <c r="I29" s="2">
        <v>18789.230769230799</v>
      </c>
      <c r="J29" s="2">
        <v>23486.538461538501</v>
      </c>
      <c r="K29" s="2">
        <v>18789.230769230799</v>
      </c>
      <c r="L29" s="2">
        <v>12526.1538461538</v>
      </c>
      <c r="M29" s="2">
        <v>15657.692307692299</v>
      </c>
      <c r="N29" s="2">
        <v>12526.1538461538</v>
      </c>
      <c r="O29" s="2">
        <v>12526.1538461538</v>
      </c>
      <c r="P29" s="9"/>
      <c r="Q29" s="2">
        <f>SUM(OSRRefD21_1_0x)+IFERROR(SUM(OSRRefE21_1_0x),0)</f>
        <v>190676.7246153845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>
        <v>4896.3599999999997</v>
      </c>
      <c r="E30" s="2">
        <v>4665.1076923076898</v>
      </c>
      <c r="F30" s="2">
        <v>4665.1076923076898</v>
      </c>
      <c r="G30" s="2">
        <v>5831.3846153846098</v>
      </c>
      <c r="H30" s="2">
        <v>4665.1076923076898</v>
      </c>
      <c r="I30" s="2">
        <v>4665.1076923076898</v>
      </c>
      <c r="J30" s="2">
        <v>5831.3846153846098</v>
      </c>
      <c r="K30" s="2">
        <v>4665.1076923076898</v>
      </c>
      <c r="L30" s="2">
        <v>4665.1076923076898</v>
      </c>
      <c r="M30" s="2">
        <v>5831.3846153846098</v>
      </c>
      <c r="N30" s="2">
        <v>4665.1076923076898</v>
      </c>
      <c r="O30" s="2">
        <v>4665.1076923076898</v>
      </c>
      <c r="P30" s="9"/>
      <c r="Q30" s="2">
        <f>SUM(OSRRefD21_1_1x)+IFERROR(SUM(OSRRefE21_1_1x),0)</f>
        <v>59711.375384615349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SUM(OSRRefD21_1_3x)+IFERROR(SUM(OSRRefE21_1_3x),0)</f>
        <v>0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SUM(OSRRefD21_1_6x)+IFERROR(SUM(OSRRefE21_1_6x),0)</f>
        <v>0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SUM(OSRRefD21_1_7x)+IFERROR(SUM(OSRRefE21_1_7x),0)</f>
        <v>0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","Advertising/Promo                                 ")</f>
        <v xml:space="preserve">     Advertising/Promo                                 </v>
      </c>
      <c r="C39" s="14"/>
      <c r="D39" s="1">
        <f>SUM(OSRRefD21_2x_0)</f>
        <v>0</v>
      </c>
      <c r="E39" s="1">
        <f>SUM(OSRRefE21_2x_0)</f>
        <v>100</v>
      </c>
      <c r="F39" s="1">
        <f>SUM(OSRRefE21_2x_1)</f>
        <v>250</v>
      </c>
      <c r="G39" s="1">
        <f>SUM(OSRRefE21_2x_2)</f>
        <v>250</v>
      </c>
      <c r="H39" s="1">
        <f>SUM(OSRRefE21_2x_3)</f>
        <v>250</v>
      </c>
      <c r="I39" s="1">
        <f>SUM(OSRRefE21_2x_4)</f>
        <v>250</v>
      </c>
      <c r="J39" s="1">
        <f>SUM(OSRRefE21_2x_5)</f>
        <v>250</v>
      </c>
      <c r="K39" s="1">
        <f>SUM(OSRRefE21_2x_6)</f>
        <v>250</v>
      </c>
      <c r="L39" s="1">
        <f>SUM(OSRRefE21_2x_7)</f>
        <v>250</v>
      </c>
      <c r="M39" s="1">
        <f>SUM(OSRRefE21_2x_8)</f>
        <v>250</v>
      </c>
      <c r="N39" s="1">
        <f>SUM(OSRRefE21_2x_9)</f>
        <v>250</v>
      </c>
      <c r="O39" s="1">
        <f>SUM(OSRRefE21_2x_10)</f>
        <v>250</v>
      </c>
      <c r="Q39" s="2">
        <f>SUM(OSRRefD20_2x)+IFERROR(SUM(OSRRefE20_2x),0)</f>
        <v>2600</v>
      </c>
    </row>
    <row r="40" spans="1:17" s="34" customFormat="1" hidden="1" outlineLevel="1" x14ac:dyDescent="0.3">
      <c r="A40" s="35"/>
      <c r="B40" s="10" t="str">
        <f>CONCATENATE("          ","6362", " - ","ADVERTISING EXPENSE")</f>
        <v xml:space="preserve">          6362 - ADVERTISING EXPENSE</v>
      </c>
      <c r="C40" s="14"/>
      <c r="D40" s="2"/>
      <c r="E40" s="2">
        <v>100</v>
      </c>
      <c r="F40" s="2">
        <v>250</v>
      </c>
      <c r="G40" s="2">
        <v>250</v>
      </c>
      <c r="H40" s="2">
        <v>250</v>
      </c>
      <c r="I40" s="2">
        <v>250</v>
      </c>
      <c r="J40" s="2">
        <v>250</v>
      </c>
      <c r="K40" s="2">
        <v>250</v>
      </c>
      <c r="L40" s="2">
        <v>250</v>
      </c>
      <c r="M40" s="2">
        <v>250</v>
      </c>
      <c r="N40" s="2">
        <v>250</v>
      </c>
      <c r="O40" s="2">
        <v>250</v>
      </c>
      <c r="P40" s="9"/>
      <c r="Q40" s="2">
        <f>SUM(OSRRefD21_2_0x)+IFERROR(SUM(OSRRefE21_2_0x),0)</f>
        <v>2600</v>
      </c>
    </row>
    <row r="41" spans="1:17" s="34" customFormat="1" collapsed="1" x14ac:dyDescent="0.3">
      <c r="A41" s="35"/>
      <c r="B41" s="14" t="str">
        <f>CONCATENATE("     ","Depreciation                                      ")</f>
        <v xml:space="preserve">     Depreciation                                      </v>
      </c>
      <c r="C41" s="14"/>
      <c r="D41" s="1">
        <f>SUM(OSRRefD21_3x_0)</f>
        <v>314.87</v>
      </c>
      <c r="E41" s="1">
        <f>SUM(OSRRefE21_3x_0)</f>
        <v>315</v>
      </c>
      <c r="F41" s="1">
        <f>SUM(OSRRefE21_3x_1)</f>
        <v>315</v>
      </c>
      <c r="G41" s="1">
        <f>SUM(OSRRefE21_3x_2)</f>
        <v>315</v>
      </c>
      <c r="H41" s="1">
        <f>SUM(OSRRefE21_3x_3)</f>
        <v>315</v>
      </c>
      <c r="I41" s="1">
        <f>SUM(OSRRefE21_3x_4)</f>
        <v>315</v>
      </c>
      <c r="J41" s="1">
        <f>SUM(OSRRefE21_3x_5)</f>
        <v>315</v>
      </c>
      <c r="K41" s="1">
        <f>SUM(OSRRefE21_3x_6)</f>
        <v>315</v>
      </c>
      <c r="L41" s="1">
        <f>SUM(OSRRefE21_3x_7)</f>
        <v>315</v>
      </c>
      <c r="M41" s="1">
        <f>SUM(OSRRefE21_3x_8)</f>
        <v>315</v>
      </c>
      <c r="N41" s="1">
        <f>SUM(OSRRefE21_3x_9)</f>
        <v>315</v>
      </c>
      <c r="O41" s="1">
        <f>SUM(OSRRefE21_3x_10)</f>
        <v>315</v>
      </c>
      <c r="Q41" s="2">
        <f>SUM(OSRRefD20_3x)+IFERROR(SUM(OSRRefE20_3x),0)</f>
        <v>3779.87</v>
      </c>
    </row>
    <row r="42" spans="1:17" s="34" customFormat="1" hidden="1" outlineLevel="1" x14ac:dyDescent="0.3">
      <c r="A42" s="35"/>
      <c r="B42" s="10" t="str">
        <f>CONCATENATE("          ","6322", " - ","EQUIPMENT DEPRECIATION EXPENSE")</f>
        <v xml:space="preserve">          6322 - EQUIPMENT DEPRECIATION EXPENSE</v>
      </c>
      <c r="C42" s="14"/>
      <c r="D42" s="2">
        <v>314.87</v>
      </c>
      <c r="E42" s="2">
        <v>315</v>
      </c>
      <c r="F42" s="2">
        <v>315</v>
      </c>
      <c r="G42" s="2">
        <v>315</v>
      </c>
      <c r="H42" s="2">
        <v>315</v>
      </c>
      <c r="I42" s="2">
        <v>315</v>
      </c>
      <c r="J42" s="2">
        <v>315</v>
      </c>
      <c r="K42" s="2">
        <v>315</v>
      </c>
      <c r="L42" s="2">
        <v>315</v>
      </c>
      <c r="M42" s="2">
        <v>315</v>
      </c>
      <c r="N42" s="2">
        <v>315</v>
      </c>
      <c r="O42" s="2">
        <v>315</v>
      </c>
      <c r="P42" s="9"/>
      <c r="Q42" s="2">
        <f>SUM(OSRRefD21_3_0x)+IFERROR(SUM(OSRRefE21_3_0x),0)</f>
        <v>3779.87</v>
      </c>
    </row>
    <row r="43" spans="1:17" s="34" customFormat="1" collapsed="1" x14ac:dyDescent="0.3">
      <c r="A43" s="35"/>
      <c r="B43" s="14" t="str">
        <f>CONCATENATE("     ","Donations                                         ")</f>
        <v xml:space="preserve">     Donations                                         </v>
      </c>
      <c r="C43" s="14"/>
      <c r="D43" s="1">
        <f>SUM(OSRRefD21_4x_0)</f>
        <v>0</v>
      </c>
      <c r="E43" s="1">
        <f>SUM(OSRRefE21_4x_0)</f>
        <v>26500</v>
      </c>
      <c r="F43" s="1">
        <f>SUM(OSRRefE21_4x_1)</f>
        <v>10000</v>
      </c>
      <c r="G43" s="1">
        <f>SUM(OSRRefE21_4x_2)</f>
        <v>2750</v>
      </c>
      <c r="H43" s="1">
        <f>SUM(OSRRefE21_4x_3)</f>
        <v>500</v>
      </c>
      <c r="I43" s="1">
        <f>SUM(OSRRefE21_4x_4)</f>
        <v>1500</v>
      </c>
      <c r="J43" s="1">
        <f>SUM(OSRRefE21_4x_5)</f>
        <v>10000</v>
      </c>
      <c r="K43" s="1">
        <f>SUM(OSRRefE21_4x_6)</f>
        <v>500</v>
      </c>
      <c r="L43" s="1">
        <f>SUM(OSRRefE21_4x_7)</f>
        <v>500</v>
      </c>
      <c r="M43" s="1">
        <f>SUM(OSRRefE21_4x_8)</f>
        <v>10000</v>
      </c>
      <c r="N43" s="1">
        <f>SUM(OSRRefE21_4x_9)</f>
        <v>500</v>
      </c>
      <c r="O43" s="1">
        <f>SUM(OSRRefE21_4x_10)</f>
        <v>300</v>
      </c>
      <c r="Q43" s="2">
        <f>SUM(OSRRefD20_4x)+IFERROR(SUM(OSRRefE20_4x),0)</f>
        <v>63050</v>
      </c>
    </row>
    <row r="44" spans="1:17" s="34" customFormat="1" hidden="1" outlineLevel="1" x14ac:dyDescent="0.3">
      <c r="A44" s="35"/>
      <c r="B44" s="10" t="str">
        <f>CONCATENATE("          ","6399", " - ","DONATION-ON CAMPUS")</f>
        <v xml:space="preserve">          6399 - DONATION-ON CAMPUS</v>
      </c>
      <c r="C44" s="14"/>
      <c r="D44" s="2"/>
      <c r="E44" s="2">
        <v>26500</v>
      </c>
      <c r="F44" s="2">
        <v>10000</v>
      </c>
      <c r="G44" s="2">
        <v>2750</v>
      </c>
      <c r="H44" s="2">
        <v>500</v>
      </c>
      <c r="I44" s="2">
        <v>1500</v>
      </c>
      <c r="J44" s="2">
        <v>10000</v>
      </c>
      <c r="K44" s="2">
        <v>500</v>
      </c>
      <c r="L44" s="2">
        <v>500</v>
      </c>
      <c r="M44" s="2">
        <v>10000</v>
      </c>
      <c r="N44" s="2">
        <v>500</v>
      </c>
      <c r="O44" s="2">
        <v>300</v>
      </c>
      <c r="P44" s="9"/>
      <c r="Q44" s="2">
        <f>SUM(OSRRefD21_4_0x)+IFERROR(SUM(OSRRefE21_4_0x),0)</f>
        <v>63050</v>
      </c>
    </row>
    <row r="45" spans="1:17" s="34" customFormat="1" collapsed="1" x14ac:dyDescent="0.3">
      <c r="A45" s="35"/>
      <c r="B45" s="14" t="str">
        <f>CONCATENATE("     ","Employees' Appreciation                           ")</f>
        <v xml:space="preserve">     Employees' Appreciation                           </v>
      </c>
      <c r="C45" s="14"/>
      <c r="D45" s="1">
        <f>SUM(OSRRefD21_5x_0)</f>
        <v>0</v>
      </c>
      <c r="E45" s="1">
        <f>SUM(OSRRefE21_5x_0)</f>
        <v>0</v>
      </c>
      <c r="F45" s="1">
        <f>SUM(OSRRefE21_5x_1)</f>
        <v>0</v>
      </c>
      <c r="G45" s="1">
        <f>SUM(OSRRefE21_5x_2)</f>
        <v>0</v>
      </c>
      <c r="H45" s="1">
        <f>SUM(OSRRefE21_5x_3)</f>
        <v>0</v>
      </c>
      <c r="I45" s="1">
        <f>SUM(OSRRefE21_5x_4)</f>
        <v>3000</v>
      </c>
      <c r="J45" s="1">
        <f>SUM(OSRRefE21_5x_5)</f>
        <v>0</v>
      </c>
      <c r="K45" s="1">
        <f>SUM(OSRRefE21_5x_6)</f>
        <v>0</v>
      </c>
      <c r="L45" s="1">
        <f>SUM(OSRRefE21_5x_7)</f>
        <v>0</v>
      </c>
      <c r="M45" s="1">
        <f>SUM(OSRRefE21_5x_8)</f>
        <v>0</v>
      </c>
      <c r="N45" s="1">
        <f>SUM(OSRRefE21_5x_9)</f>
        <v>0</v>
      </c>
      <c r="O45" s="1">
        <f>SUM(OSRRefE21_5x_10)</f>
        <v>2000</v>
      </c>
      <c r="Q45" s="2">
        <f>SUM(OSRRefD20_5x)+IFERROR(SUM(OSRRefE20_5x),0)</f>
        <v>5000</v>
      </c>
    </row>
    <row r="46" spans="1:17" s="34" customFormat="1" hidden="1" outlineLevel="1" x14ac:dyDescent="0.3">
      <c r="A46" s="35"/>
      <c r="B46" s="10" t="str">
        <f>CONCATENATE("          ","6277", " - ","EMPLOYEE APPRECIATION")</f>
        <v xml:space="preserve">          6277 - EMPLOYEE APPRECIATION</v>
      </c>
      <c r="C46" s="14"/>
      <c r="D46" s="2"/>
      <c r="E46" s="2"/>
      <c r="F46" s="2"/>
      <c r="G46" s="2"/>
      <c r="H46" s="2"/>
      <c r="I46" s="2">
        <v>3000</v>
      </c>
      <c r="J46" s="2"/>
      <c r="K46" s="2"/>
      <c r="L46" s="2"/>
      <c r="M46" s="2"/>
      <c r="N46" s="2"/>
      <c r="O46" s="2">
        <v>2000</v>
      </c>
      <c r="P46" s="9"/>
      <c r="Q46" s="2">
        <f>SUM(OSRRefD21_5_0x)+IFERROR(SUM(OSRRefE21_5_0x),0)</f>
        <v>5000</v>
      </c>
    </row>
    <row r="47" spans="1:17" s="34" customFormat="1" collapsed="1" x14ac:dyDescent="0.3">
      <c r="A47" s="35"/>
      <c r="B47" s="14" t="str">
        <f>CONCATENATE("     ","Equipment Rental                                  ")</f>
        <v xml:space="preserve">     Equipment Rental                                  </v>
      </c>
      <c r="C47" s="14"/>
      <c r="D47" s="1">
        <f>SUM(OSRRefD21_6x_0)</f>
        <v>117.71</v>
      </c>
      <c r="E47" s="1">
        <f>SUM(OSRRefE21_6x_0)</f>
        <v>118</v>
      </c>
      <c r="F47" s="1">
        <f>SUM(OSRRefE21_6x_1)</f>
        <v>118</v>
      </c>
      <c r="G47" s="1">
        <f>SUM(OSRRefE21_6x_2)</f>
        <v>118</v>
      </c>
      <c r="H47" s="1">
        <f>SUM(OSRRefE21_6x_3)</f>
        <v>118</v>
      </c>
      <c r="I47" s="1">
        <f>SUM(OSRRefE21_6x_4)</f>
        <v>118</v>
      </c>
      <c r="J47" s="1">
        <f>SUM(OSRRefE21_6x_5)</f>
        <v>118</v>
      </c>
      <c r="K47" s="1">
        <f>SUM(OSRRefE21_6x_6)</f>
        <v>118</v>
      </c>
      <c r="L47" s="1">
        <f>SUM(OSRRefE21_6x_7)</f>
        <v>118</v>
      </c>
      <c r="M47" s="1">
        <f>SUM(OSRRefE21_6x_8)</f>
        <v>118</v>
      </c>
      <c r="N47" s="1">
        <f>SUM(OSRRefE21_6x_9)</f>
        <v>118</v>
      </c>
      <c r="O47" s="1">
        <f>SUM(OSRRefE21_6x_10)</f>
        <v>118</v>
      </c>
      <c r="Q47" s="2">
        <f>SUM(OSRRefD20_6x)+IFERROR(SUM(OSRRefE20_6x),0)</f>
        <v>1415.71</v>
      </c>
    </row>
    <row r="48" spans="1:17" s="34" customFormat="1" hidden="1" outlineLevel="1" x14ac:dyDescent="0.3">
      <c r="A48" s="35"/>
      <c r="B48" s="10" t="str">
        <f>CONCATENATE("          ","6351", " - ","EQUIPMENT RENTAL")</f>
        <v xml:space="preserve">          6351 - EQUIPMENT RENTAL</v>
      </c>
      <c r="C48" s="14"/>
      <c r="D48" s="2">
        <v>117.71</v>
      </c>
      <c r="E48" s="2">
        <v>118</v>
      </c>
      <c r="F48" s="2">
        <v>118</v>
      </c>
      <c r="G48" s="2">
        <v>118</v>
      </c>
      <c r="H48" s="2">
        <v>118</v>
      </c>
      <c r="I48" s="2">
        <v>118</v>
      </c>
      <c r="J48" s="2">
        <v>118</v>
      </c>
      <c r="K48" s="2">
        <v>118</v>
      </c>
      <c r="L48" s="2">
        <v>118</v>
      </c>
      <c r="M48" s="2">
        <v>118</v>
      </c>
      <c r="N48" s="2">
        <v>118</v>
      </c>
      <c r="O48" s="2">
        <v>118</v>
      </c>
      <c r="P48" s="9"/>
      <c r="Q48" s="2">
        <f>SUM(OSRRefD21_6_0x)+IFERROR(SUM(OSRRefE21_6_0x),0)</f>
        <v>1415.71</v>
      </c>
    </row>
    <row r="49" spans="1:17" s="34" customFormat="1" collapsed="1" x14ac:dyDescent="0.3">
      <c r="A49" s="35"/>
      <c r="B49" s="14" t="str">
        <f>CONCATENATE("     ","Freight out/Postage                               ")</f>
        <v xml:space="preserve">     Freight out/Postage                               </v>
      </c>
      <c r="C49" s="14"/>
      <c r="D49" s="1">
        <f>SUM(OSRRefD21_7x_0)</f>
        <v>12.88</v>
      </c>
      <c r="E49" s="1">
        <f>SUM(OSRRefE21_7x_0)</f>
        <v>25</v>
      </c>
      <c r="F49" s="1">
        <f>SUM(OSRRefE21_7x_1)</f>
        <v>100</v>
      </c>
      <c r="G49" s="1">
        <f>SUM(OSRRefE21_7x_2)</f>
        <v>25</v>
      </c>
      <c r="H49" s="1">
        <f>SUM(OSRRefE21_7x_3)</f>
        <v>250</v>
      </c>
      <c r="I49" s="1">
        <f>SUM(OSRRefE21_7x_4)</f>
        <v>100</v>
      </c>
      <c r="J49" s="1">
        <f>SUM(OSRRefE21_7x_5)</f>
        <v>25</v>
      </c>
      <c r="K49" s="1">
        <f>SUM(OSRRefE21_7x_6)</f>
        <v>25</v>
      </c>
      <c r="L49" s="1">
        <f>SUM(OSRRefE21_7x_7)</f>
        <v>100</v>
      </c>
      <c r="M49" s="1">
        <f>SUM(OSRRefE21_7x_8)</f>
        <v>25</v>
      </c>
      <c r="N49" s="1">
        <f>SUM(OSRRefE21_7x_9)</f>
        <v>25</v>
      </c>
      <c r="O49" s="1">
        <f>SUM(OSRRefE21_7x_10)</f>
        <v>100</v>
      </c>
      <c r="Q49" s="2">
        <f>SUM(OSRRefD20_7x)+IFERROR(SUM(OSRRefE20_7x),0)</f>
        <v>812.88</v>
      </c>
    </row>
    <row r="50" spans="1:17" s="34" customFormat="1" hidden="1" outlineLevel="1" x14ac:dyDescent="0.3">
      <c r="A50" s="35"/>
      <c r="B50" s="10" t="str">
        <f>CONCATENATE("          ","6307", " - ","POSTAGE")</f>
        <v xml:space="preserve">          6307 - POSTAGE</v>
      </c>
      <c r="C50" s="14"/>
      <c r="D50" s="2">
        <v>12.88</v>
      </c>
      <c r="E50" s="2">
        <v>25</v>
      </c>
      <c r="F50" s="2">
        <v>100</v>
      </c>
      <c r="G50" s="2">
        <v>25</v>
      </c>
      <c r="H50" s="2">
        <v>250</v>
      </c>
      <c r="I50" s="2">
        <v>100</v>
      </c>
      <c r="J50" s="2">
        <v>25</v>
      </c>
      <c r="K50" s="2">
        <v>25</v>
      </c>
      <c r="L50" s="2">
        <v>100</v>
      </c>
      <c r="M50" s="2">
        <v>25</v>
      </c>
      <c r="N50" s="2">
        <v>25</v>
      </c>
      <c r="O50" s="2">
        <v>100</v>
      </c>
      <c r="P50" s="9"/>
      <c r="Q50" s="2">
        <f>SUM(OSRRefD21_7_0x)+IFERROR(SUM(OSRRefE21_7_0x),0)</f>
        <v>812.88</v>
      </c>
    </row>
    <row r="51" spans="1:17" s="34" customFormat="1" collapsed="1" x14ac:dyDescent="0.3">
      <c r="A51" s="35"/>
      <c r="B51" s="14" t="str">
        <f>CONCATENATE("     ","Insurance                                         ")</f>
        <v xml:space="preserve">     Insurance                                         </v>
      </c>
      <c r="C51" s="14"/>
      <c r="D51" s="1">
        <f>SUM(OSRRefD21_8x_0)</f>
        <v>156.47999999999999</v>
      </c>
      <c r="E51" s="1">
        <f>SUM(OSRRefE21_8x_0)</f>
        <v>150</v>
      </c>
      <c r="F51" s="1">
        <f>SUM(OSRRefE21_8x_1)</f>
        <v>150</v>
      </c>
      <c r="G51" s="1">
        <f>SUM(OSRRefE21_8x_2)</f>
        <v>150</v>
      </c>
      <c r="H51" s="1">
        <f>SUM(OSRRefE21_8x_3)</f>
        <v>150</v>
      </c>
      <c r="I51" s="1">
        <f>SUM(OSRRefE21_8x_4)</f>
        <v>150</v>
      </c>
      <c r="J51" s="1">
        <f>SUM(OSRRefE21_8x_5)</f>
        <v>150</v>
      </c>
      <c r="K51" s="1">
        <f>SUM(OSRRefE21_8x_6)</f>
        <v>150</v>
      </c>
      <c r="L51" s="1">
        <f>SUM(OSRRefE21_8x_7)</f>
        <v>150</v>
      </c>
      <c r="M51" s="1">
        <f>SUM(OSRRefE21_8x_8)</f>
        <v>150</v>
      </c>
      <c r="N51" s="1">
        <f>SUM(OSRRefE21_8x_9)</f>
        <v>150</v>
      </c>
      <c r="O51" s="1">
        <f>SUM(OSRRefE21_8x_10)</f>
        <v>150</v>
      </c>
      <c r="Q51" s="2">
        <f>SUM(OSRRefD20_8x)+IFERROR(SUM(OSRRefE20_8x),0)</f>
        <v>1806.48</v>
      </c>
    </row>
    <row r="52" spans="1:17" s="34" customFormat="1" hidden="1" outlineLevel="1" x14ac:dyDescent="0.3">
      <c r="A52" s="35"/>
      <c r="B52" s="10" t="str">
        <f>CONCATENATE("          ","6314", " - ","LIABILITY INSURANCE")</f>
        <v xml:space="preserve">          6314 - LIABILITY INSURANCE</v>
      </c>
      <c r="C52" s="14"/>
      <c r="D52" s="2">
        <v>156.47999999999999</v>
      </c>
      <c r="E52" s="2">
        <v>150</v>
      </c>
      <c r="F52" s="2">
        <v>150</v>
      </c>
      <c r="G52" s="2">
        <v>150</v>
      </c>
      <c r="H52" s="2">
        <v>150</v>
      </c>
      <c r="I52" s="2">
        <v>150</v>
      </c>
      <c r="J52" s="2">
        <v>150</v>
      </c>
      <c r="K52" s="2">
        <v>150</v>
      </c>
      <c r="L52" s="2">
        <v>150</v>
      </c>
      <c r="M52" s="2">
        <v>150</v>
      </c>
      <c r="N52" s="2">
        <v>150</v>
      </c>
      <c r="O52" s="2">
        <v>150</v>
      </c>
      <c r="P52" s="9"/>
      <c r="Q52" s="2">
        <f>SUM(OSRRefD21_8_0x)+IFERROR(SUM(OSRRefE21_8_0x),0)</f>
        <v>1806.48</v>
      </c>
    </row>
    <row r="53" spans="1:17" s="34" customFormat="1" collapsed="1" x14ac:dyDescent="0.3">
      <c r="A53" s="35"/>
      <c r="B53" s="14" t="str">
        <f>CONCATENATE("     ","Professional Services                             ")</f>
        <v xml:space="preserve">     Professional Services                             </v>
      </c>
      <c r="C53" s="14"/>
      <c r="D53" s="1">
        <f>SUM(OSRRefD21_9x_0)</f>
        <v>0</v>
      </c>
      <c r="E53" s="1">
        <f>SUM(OSRRefE21_9x_0)</f>
        <v>0</v>
      </c>
      <c r="F53" s="1">
        <f>SUM(OSRRefE21_9x_1)</f>
        <v>13000</v>
      </c>
      <c r="G53" s="1">
        <f>SUM(OSRRefE21_9x_2)</f>
        <v>15000</v>
      </c>
      <c r="H53" s="1">
        <f>SUM(OSRRefE21_9x_3)</f>
        <v>25500</v>
      </c>
      <c r="I53" s="1">
        <f>SUM(OSRRefE21_9x_4)</f>
        <v>3000</v>
      </c>
      <c r="J53" s="1">
        <f>SUM(OSRRefE21_9x_5)</f>
        <v>2000</v>
      </c>
      <c r="K53" s="1">
        <f>SUM(OSRRefE21_9x_6)</f>
        <v>0</v>
      </c>
      <c r="L53" s="1">
        <f>SUM(OSRRefE21_9x_7)</f>
        <v>1000</v>
      </c>
      <c r="M53" s="1">
        <f>SUM(OSRRefE21_9x_8)</f>
        <v>0</v>
      </c>
      <c r="N53" s="1">
        <f>SUM(OSRRefE21_9x_9)</f>
        <v>1000</v>
      </c>
      <c r="O53" s="1">
        <f>SUM(OSRRefE21_9x_10)</f>
        <v>0</v>
      </c>
      <c r="Q53" s="2">
        <f>SUM(OSRRefD20_9x)+IFERROR(SUM(OSRRefE20_9x),0)</f>
        <v>60500</v>
      </c>
    </row>
    <row r="54" spans="1:17" s="34" customFormat="1" hidden="1" outlineLevel="1" x14ac:dyDescent="0.3">
      <c r="A54" s="35"/>
      <c r="B54" s="10" t="str">
        <f>CONCATENATE("          ","6331", " - ","INDIRECT COSTS-AUXILIARY ORGAN")</f>
        <v xml:space="preserve">          6331 - INDIRECT COSTS-AUXILIARY ORGAN</v>
      </c>
      <c r="C54" s="14"/>
      <c r="D54" s="2"/>
      <c r="E54" s="2"/>
      <c r="F54" s="2">
        <v>12000</v>
      </c>
      <c r="G54" s="2">
        <v>15000</v>
      </c>
      <c r="H54" s="2">
        <v>19000</v>
      </c>
      <c r="I54" s="2">
        <v>3000</v>
      </c>
      <c r="J54" s="2">
        <v>2000</v>
      </c>
      <c r="K54" s="2"/>
      <c r="L54" s="2"/>
      <c r="M54" s="2"/>
      <c r="N54" s="2"/>
      <c r="O54" s="2"/>
      <c r="P54" s="9"/>
      <c r="Q54" s="2">
        <f>SUM(OSRRefD21_9_0x)+IFERROR(SUM(OSRRefE21_9_0x),0)</f>
        <v>51000</v>
      </c>
    </row>
    <row r="55" spans="1:17" s="34" customFormat="1" hidden="1" outlineLevel="1" x14ac:dyDescent="0.3">
      <c r="A55" s="35"/>
      <c r="B55" s="10" t="str">
        <f>CONCATENATE("          ","6334", " - ","LEGAL COUNCIL EXPENSE")</f>
        <v xml:space="preserve">          6334 - LEGAL COUNCIL EXPENSE</v>
      </c>
      <c r="C55" s="14"/>
      <c r="D55" s="2"/>
      <c r="E55" s="2"/>
      <c r="F55" s="2">
        <v>1000</v>
      </c>
      <c r="G55" s="2"/>
      <c r="H55" s="2">
        <v>1500</v>
      </c>
      <c r="I55" s="2"/>
      <c r="J55" s="2"/>
      <c r="K55" s="2"/>
      <c r="L55" s="2">
        <v>1000</v>
      </c>
      <c r="M55" s="2"/>
      <c r="N55" s="2">
        <v>1000</v>
      </c>
      <c r="O55" s="2"/>
      <c r="P55" s="9"/>
      <c r="Q55" s="2">
        <f>SUM(OSRRefD21_9_1x)+IFERROR(SUM(OSRRefE21_9_1x),0)</f>
        <v>4500</v>
      </c>
    </row>
    <row r="56" spans="1:17" s="34" customFormat="1" hidden="1" outlineLevel="1" x14ac:dyDescent="0.3">
      <c r="A56" s="35"/>
      <c r="B56" s="10" t="str">
        <f>CONCATENATE("          ","6336", " - ","PROFESSIONAL SERVICES")</f>
        <v xml:space="preserve">          6336 - PROFESSIONAL SERVICES</v>
      </c>
      <c r="C56" s="14"/>
      <c r="D56" s="2"/>
      <c r="E56" s="2"/>
      <c r="F56" s="2"/>
      <c r="G56" s="2"/>
      <c r="H56" s="2">
        <v>5000</v>
      </c>
      <c r="I56" s="2"/>
      <c r="J56" s="2"/>
      <c r="K56" s="2"/>
      <c r="L56" s="2"/>
      <c r="M56" s="2"/>
      <c r="N56" s="2"/>
      <c r="O56" s="2"/>
      <c r="P56" s="9"/>
      <c r="Q56" s="2">
        <f>SUM(OSRRefD21_9_2x)+IFERROR(SUM(OSRRefE21_9_2x),0)</f>
        <v>5000</v>
      </c>
    </row>
    <row r="57" spans="1:17" s="34" customFormat="1" collapsed="1" x14ac:dyDescent="0.3">
      <c r="A57" s="35"/>
      <c r="B57" s="14" t="str">
        <f>CONCATENATE("     ","Repair and Maintenance                            ")</f>
        <v xml:space="preserve">     Repair and Maintenance                            </v>
      </c>
      <c r="C57" s="14"/>
      <c r="D57" s="1">
        <f>SUM(OSRRefD21_10x_0)</f>
        <v>2592.1799999999998</v>
      </c>
      <c r="E57" s="1">
        <f>SUM(OSRRefE21_10x_0)</f>
        <v>1530</v>
      </c>
      <c r="F57" s="1">
        <f>SUM(OSRRefE21_10x_1)</f>
        <v>1530</v>
      </c>
      <c r="G57" s="1">
        <f>SUM(OSRRefE21_10x_2)</f>
        <v>1530</v>
      </c>
      <c r="H57" s="1">
        <f>SUM(OSRRefE21_10x_3)</f>
        <v>1530</v>
      </c>
      <c r="I57" s="1">
        <f>SUM(OSRRefE21_10x_4)</f>
        <v>1530</v>
      </c>
      <c r="J57" s="1">
        <f>SUM(OSRRefE21_10x_5)</f>
        <v>1530</v>
      </c>
      <c r="K57" s="1">
        <f>SUM(OSRRefE21_10x_6)</f>
        <v>1530</v>
      </c>
      <c r="L57" s="1">
        <f>SUM(OSRRefE21_10x_7)</f>
        <v>1530</v>
      </c>
      <c r="M57" s="1">
        <f>SUM(OSRRefE21_10x_8)</f>
        <v>1530</v>
      </c>
      <c r="N57" s="1">
        <f>SUM(OSRRefE21_10x_9)</f>
        <v>1530</v>
      </c>
      <c r="O57" s="1">
        <f>SUM(OSRRefE21_10x_10)</f>
        <v>1530</v>
      </c>
      <c r="Q57" s="2">
        <f>SUM(OSRRefD20_10x)+IFERROR(SUM(OSRRefE20_10x),0)</f>
        <v>19422.18</v>
      </c>
    </row>
    <row r="58" spans="1:17" s="34" customFormat="1" hidden="1" outlineLevel="1" x14ac:dyDescent="0.3">
      <c r="A58" s="35"/>
      <c r="B58" s="10" t="str">
        <f>CONCATENATE("          ","6373", " - ","MAINTENANCE CONTRACTS")</f>
        <v xml:space="preserve">          6373 - MAINTENANCE CONTRACTS</v>
      </c>
      <c r="C58" s="14"/>
      <c r="D58" s="2">
        <v>2592.1799999999998</v>
      </c>
      <c r="E58" s="2">
        <v>1530</v>
      </c>
      <c r="F58" s="2">
        <v>1530</v>
      </c>
      <c r="G58" s="2">
        <v>1530</v>
      </c>
      <c r="H58" s="2">
        <v>1530</v>
      </c>
      <c r="I58" s="2">
        <v>1530</v>
      </c>
      <c r="J58" s="2">
        <v>1530</v>
      </c>
      <c r="K58" s="2">
        <v>1530</v>
      </c>
      <c r="L58" s="2">
        <v>1530</v>
      </c>
      <c r="M58" s="2">
        <v>1530</v>
      </c>
      <c r="N58" s="2">
        <v>1530</v>
      </c>
      <c r="O58" s="2">
        <v>1530</v>
      </c>
      <c r="P58" s="9"/>
      <c r="Q58" s="2">
        <f>SUM(OSRRefD21_10_0x)+IFERROR(SUM(OSRRefE21_10_0x),0)</f>
        <v>19422.18</v>
      </c>
    </row>
    <row r="59" spans="1:17" s="34" customFormat="1" collapsed="1" x14ac:dyDescent="0.3">
      <c r="A59" s="35"/>
      <c r="B59" s="14" t="str">
        <f>CONCATENATE("     ","Subscriptions &amp; Dues                              ")</f>
        <v xml:space="preserve">     Subscriptions &amp; Dues                              </v>
      </c>
      <c r="C59" s="14"/>
      <c r="D59" s="1">
        <f>SUM(OSRRefD21_11x_0)</f>
        <v>0</v>
      </c>
      <c r="E59" s="1">
        <f>SUM(OSRRefE21_11x_0)</f>
        <v>725</v>
      </c>
      <c r="F59" s="1">
        <f>SUM(OSRRefE21_11x_1)</f>
        <v>1000</v>
      </c>
      <c r="G59" s="1">
        <f>SUM(OSRRefE21_11x_2)</f>
        <v>0</v>
      </c>
      <c r="H59" s="1">
        <f>SUM(OSRRefE21_11x_3)</f>
        <v>0</v>
      </c>
      <c r="I59" s="1">
        <f>SUM(OSRRefE21_11x_4)</f>
        <v>0</v>
      </c>
      <c r="J59" s="1">
        <f>SUM(OSRRefE21_11x_5)</f>
        <v>0</v>
      </c>
      <c r="K59" s="1">
        <f>SUM(OSRRefE21_11x_6)</f>
        <v>0</v>
      </c>
      <c r="L59" s="1">
        <f>SUM(OSRRefE21_11x_7)</f>
        <v>0</v>
      </c>
      <c r="M59" s="1">
        <f>SUM(OSRRefE21_11x_8)</f>
        <v>4668</v>
      </c>
      <c r="N59" s="1">
        <f>SUM(OSRRefE21_11x_9)</f>
        <v>1550</v>
      </c>
      <c r="O59" s="1">
        <f>SUM(OSRRefE21_11x_10)</f>
        <v>230</v>
      </c>
      <c r="Q59" s="2">
        <f>SUM(OSRRefD20_11x)+IFERROR(SUM(OSRRefE20_11x),0)</f>
        <v>8173</v>
      </c>
    </row>
    <row r="60" spans="1:17" s="34" customFormat="1" hidden="1" outlineLevel="1" x14ac:dyDescent="0.3">
      <c r="A60" s="35"/>
      <c r="B60" s="10" t="str">
        <f>CONCATENATE("          ","6258", " - ","MEMBERSHIP DUES")</f>
        <v xml:space="preserve">          6258 - MEMBERSHIP DUES</v>
      </c>
      <c r="C60" s="14"/>
      <c r="D60" s="2"/>
      <c r="E60" s="2">
        <v>725</v>
      </c>
      <c r="F60" s="2">
        <v>1000</v>
      </c>
      <c r="G60" s="2"/>
      <c r="H60" s="2"/>
      <c r="I60" s="2"/>
      <c r="J60" s="2"/>
      <c r="K60" s="2"/>
      <c r="L60" s="2"/>
      <c r="M60" s="2">
        <v>4668</v>
      </c>
      <c r="N60" s="2">
        <v>1550</v>
      </c>
      <c r="O60" s="2">
        <v>230</v>
      </c>
      <c r="P60" s="9"/>
      <c r="Q60" s="2">
        <f>SUM(OSRRefD21_11_0x)+IFERROR(SUM(OSRRefE21_11_0x),0)</f>
        <v>8173</v>
      </c>
    </row>
    <row r="61" spans="1:17" s="34" customFormat="1" collapsed="1" x14ac:dyDescent="0.3">
      <c r="A61" s="35"/>
      <c r="B61" s="14" t="str">
        <f>CONCATENATE("     ","Supplies                                          ")</f>
        <v xml:space="preserve">     Supplies                                          </v>
      </c>
      <c r="C61" s="14"/>
      <c r="D61" s="1">
        <f>SUM(OSRRefD21_12x_0)</f>
        <v>6.05</v>
      </c>
      <c r="E61" s="1">
        <f>SUM(OSRRefE21_12x_0)</f>
        <v>125</v>
      </c>
      <c r="F61" s="1">
        <f>SUM(OSRRefE21_12x_1)</f>
        <v>125</v>
      </c>
      <c r="G61" s="1">
        <f>SUM(OSRRefE21_12x_2)</f>
        <v>125</v>
      </c>
      <c r="H61" s="1">
        <f>SUM(OSRRefE21_12x_3)</f>
        <v>125</v>
      </c>
      <c r="I61" s="1">
        <f>SUM(OSRRefE21_12x_4)</f>
        <v>125</v>
      </c>
      <c r="J61" s="1">
        <f>SUM(OSRRefE21_12x_5)</f>
        <v>125</v>
      </c>
      <c r="K61" s="1">
        <f>SUM(OSRRefE21_12x_6)</f>
        <v>125</v>
      </c>
      <c r="L61" s="1">
        <f>SUM(OSRRefE21_12x_7)</f>
        <v>125</v>
      </c>
      <c r="M61" s="1">
        <f>SUM(OSRRefE21_12x_8)</f>
        <v>125</v>
      </c>
      <c r="N61" s="1">
        <f>SUM(OSRRefE21_12x_9)</f>
        <v>125</v>
      </c>
      <c r="O61" s="1">
        <f>SUM(OSRRefE21_12x_10)</f>
        <v>125</v>
      </c>
      <c r="Q61" s="2">
        <f>SUM(OSRRefD20_12x)+IFERROR(SUM(OSRRefE20_12x),0)</f>
        <v>1381.05</v>
      </c>
    </row>
    <row r="62" spans="1:17" s="34" customFormat="1" hidden="1" outlineLevel="1" x14ac:dyDescent="0.3">
      <c r="A62" s="35"/>
      <c r="B62" s="10" t="str">
        <f>CONCATENATE("          ","6234", " - ","EXPENDABLE SUPPLIES &amp; EQUIPMEN")</f>
        <v xml:space="preserve">          6234 - EXPENDABLE SUPPLIES &amp; EQUIPMEN</v>
      </c>
      <c r="C62" s="14"/>
      <c r="D62" s="2"/>
      <c r="E62" s="2">
        <v>125</v>
      </c>
      <c r="F62" s="2">
        <v>125</v>
      </c>
      <c r="G62" s="2">
        <v>125</v>
      </c>
      <c r="H62" s="2">
        <v>125</v>
      </c>
      <c r="I62" s="2">
        <v>125</v>
      </c>
      <c r="J62" s="2">
        <v>125</v>
      </c>
      <c r="K62" s="2">
        <v>125</v>
      </c>
      <c r="L62" s="2">
        <v>125</v>
      </c>
      <c r="M62" s="2">
        <v>125</v>
      </c>
      <c r="N62" s="2">
        <v>125</v>
      </c>
      <c r="O62" s="2">
        <v>125</v>
      </c>
      <c r="P62" s="9"/>
      <c r="Q62" s="2">
        <f>SUM(OSRRefD21_12_0x)+IFERROR(SUM(OSRRefE21_12_0x),0)</f>
        <v>1375</v>
      </c>
    </row>
    <row r="63" spans="1:17" s="34" customFormat="1" hidden="1" outlineLevel="1" x14ac:dyDescent="0.3">
      <c r="A63" s="35"/>
      <c r="B63" s="10" t="str">
        <f>CONCATENATE("          ","6241", " - ","OFFICE EXPENSE")</f>
        <v xml:space="preserve">          6241 - OFFICE EXPENSE</v>
      </c>
      <c r="C63" s="14"/>
      <c r="D63" s="2">
        <v>6.05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2">
        <f>SUM(OSRRefD21_12_1x)+IFERROR(SUM(OSRRefE21_12_1x),0)</f>
        <v>6.05</v>
      </c>
    </row>
    <row r="64" spans="1:17" s="34" customFormat="1" collapsed="1" x14ac:dyDescent="0.3">
      <c r="A64" s="35"/>
      <c r="B64" s="14" t="str">
        <f>CONCATENATE("     ","Telephone/Data Lines                              ")</f>
        <v xml:space="preserve">     Telephone/Data Lines                              </v>
      </c>
      <c r="C64" s="14"/>
      <c r="D64" s="1">
        <f>SUM(OSRRefD21_13x_0)</f>
        <v>655.26</v>
      </c>
      <c r="E64" s="1">
        <f>SUM(OSRRefE21_13x_0)</f>
        <v>425</v>
      </c>
      <c r="F64" s="1">
        <f>SUM(OSRRefE21_13x_1)</f>
        <v>425</v>
      </c>
      <c r="G64" s="1">
        <f>SUM(OSRRefE21_13x_2)</f>
        <v>425</v>
      </c>
      <c r="H64" s="1">
        <f>SUM(OSRRefE21_13x_3)</f>
        <v>425</v>
      </c>
      <c r="I64" s="1">
        <f>SUM(OSRRefE21_13x_4)</f>
        <v>425</v>
      </c>
      <c r="J64" s="1">
        <f>SUM(OSRRefE21_13x_5)</f>
        <v>425</v>
      </c>
      <c r="K64" s="1">
        <f>SUM(OSRRefE21_13x_6)</f>
        <v>425</v>
      </c>
      <c r="L64" s="1">
        <f>SUM(OSRRefE21_13x_7)</f>
        <v>425</v>
      </c>
      <c r="M64" s="1">
        <f>SUM(OSRRefE21_13x_8)</f>
        <v>425</v>
      </c>
      <c r="N64" s="1">
        <f>SUM(OSRRefE21_13x_9)</f>
        <v>425</v>
      </c>
      <c r="O64" s="1">
        <f>SUM(OSRRefE21_13x_10)</f>
        <v>425</v>
      </c>
      <c r="Q64" s="2">
        <f>SUM(OSRRefD20_13x)+IFERROR(SUM(OSRRefE20_13x),0)</f>
        <v>5330.26</v>
      </c>
    </row>
    <row r="65" spans="1:17" s="34" customFormat="1" hidden="1" outlineLevel="1" x14ac:dyDescent="0.3">
      <c r="A65" s="35"/>
      <c r="B65" s="10" t="str">
        <f>CONCATENATE("          ","6309", " - ","TELEPHONE")</f>
        <v xml:space="preserve">          6309 - TELEPHONE</v>
      </c>
      <c r="C65" s="14"/>
      <c r="D65" s="2">
        <v>655.26</v>
      </c>
      <c r="E65" s="2">
        <v>425</v>
      </c>
      <c r="F65" s="2">
        <v>425</v>
      </c>
      <c r="G65" s="2">
        <v>425</v>
      </c>
      <c r="H65" s="2">
        <v>425</v>
      </c>
      <c r="I65" s="2">
        <v>425</v>
      </c>
      <c r="J65" s="2">
        <v>425</v>
      </c>
      <c r="K65" s="2">
        <v>425</v>
      </c>
      <c r="L65" s="2">
        <v>425</v>
      </c>
      <c r="M65" s="2">
        <v>425</v>
      </c>
      <c r="N65" s="2">
        <v>425</v>
      </c>
      <c r="O65" s="2">
        <v>425</v>
      </c>
      <c r="P65" s="9"/>
      <c r="Q65" s="2">
        <f>SUM(OSRRefD21_13_0x)+IFERROR(SUM(OSRRefE21_13_0x),0)</f>
        <v>5330.26</v>
      </c>
    </row>
    <row r="66" spans="1:17" s="34" customFormat="1" collapsed="1" x14ac:dyDescent="0.3">
      <c r="A66" s="35"/>
      <c r="B66" s="14" t="str">
        <f>CONCATENATE("     ","Training                                          ")</f>
        <v xml:space="preserve">     Training                                          </v>
      </c>
      <c r="C66" s="14"/>
      <c r="D66" s="1">
        <f>SUM(OSRRefD21_14x_0)</f>
        <v>0</v>
      </c>
      <c r="E66" s="1">
        <f>SUM(OSRRefE21_14x_0)</f>
        <v>0</v>
      </c>
      <c r="F66" s="1">
        <f>SUM(OSRRefE21_14x_1)</f>
        <v>0</v>
      </c>
      <c r="G66" s="1">
        <f>SUM(OSRRefE21_14x_2)</f>
        <v>250</v>
      </c>
      <c r="H66" s="1">
        <f>SUM(OSRRefE21_14x_3)</f>
        <v>0</v>
      </c>
      <c r="I66" s="1">
        <f>SUM(OSRRefE21_14x_4)</f>
        <v>0</v>
      </c>
      <c r="J66" s="1">
        <f>SUM(OSRRefE21_14x_5)</f>
        <v>2300</v>
      </c>
      <c r="K66" s="1">
        <f>SUM(OSRRefE21_14x_6)</f>
        <v>1500</v>
      </c>
      <c r="L66" s="1">
        <f>SUM(OSRRefE21_14x_7)</f>
        <v>0</v>
      </c>
      <c r="M66" s="1">
        <f>SUM(OSRRefE21_14x_8)</f>
        <v>0</v>
      </c>
      <c r="N66" s="1">
        <f>SUM(OSRRefE21_14x_9)</f>
        <v>0</v>
      </c>
      <c r="O66" s="1">
        <f>SUM(OSRRefE21_14x_10)</f>
        <v>0</v>
      </c>
      <c r="Q66" s="2">
        <f>SUM(OSRRefD20_14x)+IFERROR(SUM(OSRRefE20_14x),0)</f>
        <v>4050</v>
      </c>
    </row>
    <row r="67" spans="1:17" s="34" customFormat="1" hidden="1" outlineLevel="1" x14ac:dyDescent="0.3">
      <c r="A67" s="35"/>
      <c r="B67" s="10" t="str">
        <f>CONCATENATE("          ","6376", " - ","TRAINING")</f>
        <v xml:space="preserve">          6376 - TRAINING</v>
      </c>
      <c r="C67" s="14"/>
      <c r="D67" s="2"/>
      <c r="E67" s="2"/>
      <c r="F67" s="2"/>
      <c r="G67" s="2">
        <v>250</v>
      </c>
      <c r="H67" s="2"/>
      <c r="I67" s="2"/>
      <c r="J67" s="2">
        <v>2300</v>
      </c>
      <c r="K67" s="2">
        <v>1500</v>
      </c>
      <c r="L67" s="2"/>
      <c r="M67" s="2"/>
      <c r="N67" s="2"/>
      <c r="O67" s="2"/>
      <c r="P67" s="9"/>
      <c r="Q67" s="2">
        <f>SUM(OSRRefD21_14_0x)+IFERROR(SUM(OSRRefE21_14_0x),0)</f>
        <v>4050</v>
      </c>
    </row>
    <row r="68" spans="1:17" s="34" customFormat="1" collapsed="1" x14ac:dyDescent="0.3">
      <c r="A68" s="35"/>
      <c r="B68" s="14" t="str">
        <f>CONCATENATE("     ","Travel                                            ")</f>
        <v xml:space="preserve">     Travel                                            </v>
      </c>
      <c r="C68" s="14"/>
      <c r="D68" s="1">
        <f>SUM(OSRRefD21_15x_0)</f>
        <v>0</v>
      </c>
      <c r="E68" s="1">
        <f>SUM(OSRRefE21_15x_0)</f>
        <v>0</v>
      </c>
      <c r="F68" s="1">
        <f>SUM(OSRRefE21_15x_1)</f>
        <v>0</v>
      </c>
      <c r="G68" s="1">
        <f>SUM(OSRRefE21_15x_2)</f>
        <v>0</v>
      </c>
      <c r="H68" s="1">
        <f>SUM(OSRRefE21_15x_3)</f>
        <v>0</v>
      </c>
      <c r="I68" s="1">
        <f>SUM(OSRRefE21_15x_4)</f>
        <v>1500</v>
      </c>
      <c r="J68" s="1">
        <f>SUM(OSRRefE21_15x_5)</f>
        <v>0</v>
      </c>
      <c r="K68" s="1">
        <f>SUM(OSRRefE21_15x_6)</f>
        <v>0</v>
      </c>
      <c r="L68" s="1">
        <f>SUM(OSRRefE21_15x_7)</f>
        <v>0</v>
      </c>
      <c r="M68" s="1">
        <f>SUM(OSRRefE21_15x_8)</f>
        <v>0</v>
      </c>
      <c r="N68" s="1">
        <f>SUM(OSRRefE21_15x_9)</f>
        <v>0</v>
      </c>
      <c r="O68" s="1">
        <f>SUM(OSRRefE21_15x_10)</f>
        <v>0</v>
      </c>
      <c r="Q68" s="2">
        <f>SUM(OSRRefD20_15x)+IFERROR(SUM(OSRRefE20_15x),0)</f>
        <v>1500</v>
      </c>
    </row>
    <row r="69" spans="1:17" s="34" customFormat="1" hidden="1" outlineLevel="1" x14ac:dyDescent="0.3">
      <c r="A69" s="35"/>
      <c r="B69" s="10" t="str">
        <f>CONCATENATE("          ","6294", " - ","TRAVEL OPERATIONAL")</f>
        <v xml:space="preserve">          6294 - TRAVEL OPERATIONAL</v>
      </c>
      <c r="C69" s="14"/>
      <c r="D69" s="2"/>
      <c r="E69" s="2"/>
      <c r="F69" s="2"/>
      <c r="G69" s="2"/>
      <c r="H69" s="2"/>
      <c r="I69" s="2">
        <v>1500</v>
      </c>
      <c r="J69" s="2"/>
      <c r="K69" s="2"/>
      <c r="L69" s="2"/>
      <c r="M69" s="2"/>
      <c r="N69" s="2"/>
      <c r="O69" s="2"/>
      <c r="P69" s="9"/>
      <c r="Q69" s="2">
        <f>SUM(OSRRefD21_15_0x)+IFERROR(SUM(OSRRefE21_15_0x),0)</f>
        <v>1500</v>
      </c>
    </row>
    <row r="70" spans="1:17" s="28" customFormat="1" x14ac:dyDescent="0.3">
      <c r="A70" s="21"/>
      <c r="B70" s="21"/>
      <c r="C70" s="2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1"/>
    </row>
    <row r="71" spans="1:17" s="9" customFormat="1" x14ac:dyDescent="0.3">
      <c r="A71" s="22"/>
      <c r="B71" s="16" t="s">
        <v>293</v>
      </c>
      <c r="C71" s="23"/>
      <c r="D71" s="3">
        <f>0</f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2">
        <f>SUM(OSRRefD23_0x)+IFERROR(SUM(OSRRefE23_0x),0)</f>
        <v>0</v>
      </c>
    </row>
    <row r="72" spans="1:17" x14ac:dyDescent="0.3">
      <c r="A72" s="5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x14ac:dyDescent="0.3">
      <c r="A73" s="6"/>
      <c r="B73" s="17" t="s">
        <v>276</v>
      </c>
      <c r="C73" s="17"/>
      <c r="D73" s="8">
        <f t="shared" ref="D73:O73" si="4">IFERROR(+D14-D17+D71, 0)</f>
        <v>-35851.090000000004</v>
      </c>
      <c r="E73" s="8">
        <f t="shared" si="4"/>
        <v>-55492.382430769183</v>
      </c>
      <c r="F73" s="8">
        <f t="shared" si="4"/>
        <v>-52542.382430769183</v>
      </c>
      <c r="G73" s="8">
        <f t="shared" si="4"/>
        <v>-51922.47803846153</v>
      </c>
      <c r="H73" s="8">
        <f t="shared" si="4"/>
        <v>-63332.928969230808</v>
      </c>
      <c r="I73" s="8">
        <f t="shared" si="4"/>
        <v>-46232.928969230808</v>
      </c>
      <c r="J73" s="8">
        <f t="shared" si="4"/>
        <v>-58900.411211538492</v>
      </c>
      <c r="K73" s="8">
        <f t="shared" si="4"/>
        <v>-39107.928969230808</v>
      </c>
      <c r="L73" s="8">
        <f t="shared" si="4"/>
        <v>-30042.382430769179</v>
      </c>
      <c r="M73" s="8">
        <f t="shared" si="4"/>
        <v>-48590.47803846153</v>
      </c>
      <c r="N73" s="8">
        <f t="shared" si="4"/>
        <v>-31517.382430769179</v>
      </c>
      <c r="O73" s="8">
        <f t="shared" si="4"/>
        <v>-31072.382430769179</v>
      </c>
      <c r="Q73" s="8">
        <f>IFERROR(+Q14-Q17+Q71, 0)</f>
        <v>-544605.15634999995</v>
      </c>
    </row>
    <row r="74" spans="1:17" s="6" customFormat="1" x14ac:dyDescent="0.3">
      <c r="B74" s="16"/>
      <c r="C74" s="16"/>
      <c r="D74" s="4">
        <f t="shared" ref="D74:O74" si="5">IFERROR(D73/D10, 0)</f>
        <v>0</v>
      </c>
      <c r="E74" s="4">
        <f t="shared" si="5"/>
        <v>0</v>
      </c>
      <c r="F74" s="4">
        <f t="shared" si="5"/>
        <v>0</v>
      </c>
      <c r="G74" s="4">
        <f t="shared" si="5"/>
        <v>0</v>
      </c>
      <c r="H74" s="4">
        <f t="shared" si="5"/>
        <v>0</v>
      </c>
      <c r="I74" s="4">
        <f t="shared" si="5"/>
        <v>0</v>
      </c>
      <c r="J74" s="4">
        <f t="shared" si="5"/>
        <v>0</v>
      </c>
      <c r="K74" s="4">
        <f t="shared" si="5"/>
        <v>0</v>
      </c>
      <c r="L74" s="4">
        <f t="shared" si="5"/>
        <v>0</v>
      </c>
      <c r="M74" s="4">
        <f t="shared" si="5"/>
        <v>0</v>
      </c>
      <c r="N74" s="4">
        <f t="shared" si="5"/>
        <v>0</v>
      </c>
      <c r="O74" s="4">
        <f t="shared" si="5"/>
        <v>0</v>
      </c>
      <c r="P74" s="18"/>
      <c r="Q74" s="4">
        <f>IFERROR(Q73/Q10, 0)</f>
        <v>0</v>
      </c>
    </row>
    <row r="75" spans="1:17" x14ac:dyDescent="0.3">
      <c r="A75" s="5"/>
      <c r="B75" s="6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</row>
    <row r="76" spans="1:17" s="15" customFormat="1" x14ac:dyDescent="0.3">
      <c r="A76" s="25"/>
      <c r="B76" s="6" t="s">
        <v>125</v>
      </c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2">
        <f>SUM(OSRRefD28_0x)+IFERROR(SUM(OSRRefE28_0x),0)</f>
        <v>0</v>
      </c>
    </row>
    <row r="77" spans="1:17" x14ac:dyDescent="0.3">
      <c r="A77" s="5"/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</row>
    <row r="78" spans="1:17" s="15" customFormat="1" ht="15" thickBot="1" x14ac:dyDescent="0.35">
      <c r="A78" s="6"/>
      <c r="B78" s="17" t="s">
        <v>124</v>
      </c>
      <c r="C78" s="17"/>
      <c r="D78" s="7">
        <f t="shared" ref="D78:O78" si="6">IFERROR(+D73-D76, 0)</f>
        <v>-35851.090000000004</v>
      </c>
      <c r="E78" s="7">
        <f t="shared" si="6"/>
        <v>-55492.382430769183</v>
      </c>
      <c r="F78" s="7">
        <f t="shared" si="6"/>
        <v>-52542.382430769183</v>
      </c>
      <c r="G78" s="7">
        <f t="shared" si="6"/>
        <v>-51922.47803846153</v>
      </c>
      <c r="H78" s="7">
        <f t="shared" si="6"/>
        <v>-63332.928969230808</v>
      </c>
      <c r="I78" s="7">
        <f t="shared" si="6"/>
        <v>-46232.928969230808</v>
      </c>
      <c r="J78" s="7">
        <f t="shared" si="6"/>
        <v>-58900.411211538492</v>
      </c>
      <c r="K78" s="7">
        <f t="shared" si="6"/>
        <v>-39107.928969230808</v>
      </c>
      <c r="L78" s="7">
        <f t="shared" si="6"/>
        <v>-30042.382430769179</v>
      </c>
      <c r="M78" s="7">
        <f t="shared" si="6"/>
        <v>-48590.47803846153</v>
      </c>
      <c r="N78" s="7">
        <f t="shared" si="6"/>
        <v>-31517.382430769179</v>
      </c>
      <c r="O78" s="7">
        <f t="shared" si="6"/>
        <v>-31072.382430769179</v>
      </c>
      <c r="Q78" s="7">
        <f>IFERROR(+Q73-Q76, 0)</f>
        <v>-544605.15634999995</v>
      </c>
    </row>
    <row r="79" spans="1:17" ht="15" thickTop="1" x14ac:dyDescent="0.3">
      <c r="A79" s="5"/>
      <c r="B79" s="5"/>
      <c r="C79" s="5"/>
      <c r="D79" s="4">
        <f t="shared" ref="D79:O79" si="7">IFERROR(D78/D10, 0)</f>
        <v>0</v>
      </c>
      <c r="E79" s="4">
        <f t="shared" si="7"/>
        <v>0</v>
      </c>
      <c r="F79" s="4">
        <f t="shared" si="7"/>
        <v>0</v>
      </c>
      <c r="G79" s="4">
        <f t="shared" si="7"/>
        <v>0</v>
      </c>
      <c r="H79" s="4">
        <f t="shared" si="7"/>
        <v>0</v>
      </c>
      <c r="I79" s="4">
        <f t="shared" si="7"/>
        <v>0</v>
      </c>
      <c r="J79" s="4">
        <f t="shared" si="7"/>
        <v>0</v>
      </c>
      <c r="K79" s="4">
        <f t="shared" si="7"/>
        <v>0</v>
      </c>
      <c r="L79" s="4">
        <f t="shared" si="7"/>
        <v>0</v>
      </c>
      <c r="M79" s="4">
        <f t="shared" si="7"/>
        <v>0</v>
      </c>
      <c r="N79" s="4">
        <f t="shared" si="7"/>
        <v>0</v>
      </c>
      <c r="O79" s="4">
        <f t="shared" si="7"/>
        <v>0</v>
      </c>
      <c r="P79" s="18"/>
      <c r="Q79" s="4">
        <f>IFERROR(Q78/Q10, 0)</f>
        <v>0</v>
      </c>
    </row>
    <row r="80" spans="1:17" x14ac:dyDescent="0.3">
      <c r="A80" s="5"/>
      <c r="B80" s="5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</row>
    <row r="81" spans="1:17" x14ac:dyDescent="0.3">
      <c r="A81" s="5"/>
      <c r="B81" s="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</row>
    <row r="82" spans="1:17" s="15" customFormat="1" ht="15" thickBot="1" x14ac:dyDescent="0.35">
      <c r="A82" s="6"/>
      <c r="B82" s="17" t="s">
        <v>294</v>
      </c>
      <c r="C82" s="17"/>
      <c r="D82" s="7">
        <f t="shared" ref="D82:O82" si="8">IFERROR(SUM(D78:D81), 0)</f>
        <v>-35851.090000000004</v>
      </c>
      <c r="E82" s="7">
        <f t="shared" si="8"/>
        <v>-55492.382430769183</v>
      </c>
      <c r="F82" s="7">
        <f t="shared" si="8"/>
        <v>-52542.382430769183</v>
      </c>
      <c r="G82" s="7">
        <f t="shared" si="8"/>
        <v>-51922.47803846153</v>
      </c>
      <c r="H82" s="7">
        <f t="shared" si="8"/>
        <v>-63332.928969230808</v>
      </c>
      <c r="I82" s="7">
        <f t="shared" si="8"/>
        <v>-46232.928969230808</v>
      </c>
      <c r="J82" s="7">
        <f t="shared" si="8"/>
        <v>-58900.411211538492</v>
      </c>
      <c r="K82" s="7">
        <f t="shared" si="8"/>
        <v>-39107.928969230808</v>
      </c>
      <c r="L82" s="7">
        <f t="shared" si="8"/>
        <v>-30042.382430769179</v>
      </c>
      <c r="M82" s="7">
        <f t="shared" si="8"/>
        <v>-48590.47803846153</v>
      </c>
      <c r="N82" s="7">
        <f t="shared" si="8"/>
        <v>-31517.382430769179</v>
      </c>
      <c r="O82" s="7">
        <f t="shared" si="8"/>
        <v>-31072.382430769179</v>
      </c>
      <c r="Q82" s="7">
        <f>IFERROR(SUM(Q78:Q81), 0)</f>
        <v>-544605.15634999995</v>
      </c>
    </row>
    <row r="83" spans="1:17" ht="15" thickTop="1" x14ac:dyDescent="0.3">
      <c r="A83" s="5"/>
      <c r="C83" s="5"/>
      <c r="D83" s="4">
        <f t="shared" ref="D83:O83" si="9">IFERROR(D82/D10, 0)</f>
        <v>0</v>
      </c>
      <c r="E83" s="4">
        <f t="shared" si="9"/>
        <v>0</v>
      </c>
      <c r="F83" s="4">
        <f t="shared" si="9"/>
        <v>0</v>
      </c>
      <c r="G83" s="4">
        <f t="shared" si="9"/>
        <v>0</v>
      </c>
      <c r="H83" s="4">
        <f t="shared" si="9"/>
        <v>0</v>
      </c>
      <c r="I83" s="4">
        <f t="shared" si="9"/>
        <v>0</v>
      </c>
      <c r="J83" s="4">
        <f t="shared" si="9"/>
        <v>0</v>
      </c>
      <c r="K83" s="4">
        <f t="shared" si="9"/>
        <v>0</v>
      </c>
      <c r="L83" s="4">
        <f t="shared" si="9"/>
        <v>0</v>
      </c>
      <c r="M83" s="4">
        <f t="shared" si="9"/>
        <v>0</v>
      </c>
      <c r="N83" s="4">
        <f t="shared" si="9"/>
        <v>0</v>
      </c>
      <c r="O83" s="4">
        <f t="shared" si="9"/>
        <v>0</v>
      </c>
      <c r="P83" s="18"/>
      <c r="Q83" s="4">
        <f>IFERROR(Q82/Q10, 0)</f>
        <v>0</v>
      </c>
    </row>
    <row r="84" spans="1:17" x14ac:dyDescent="0.3">
      <c r="A84" s="5"/>
      <c r="B84" s="30">
        <v>44462.678423958336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Q84" s="11"/>
    </row>
    <row r="85" spans="1:17" x14ac:dyDescent="0.3">
      <c r="A85" s="5"/>
      <c r="B85" s="31" t="s">
        <v>54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1:17" x14ac:dyDescent="0.3">
      <c r="A86" s="5"/>
      <c r="B86" s="2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 s="11"/>
    </row>
    <row r="87" spans="1:17" x14ac:dyDescent="0.3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  <outlinePr summaryBelow="0" summaryRight="0"/>
    <pageSetUpPr fitToPage="1"/>
  </sheetPr>
  <dimension ref="A2:R7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","202", " - ", "Accounting")</f>
        <v>Department 202 - Accounting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41601.359999999993</v>
      </c>
      <c r="E17" s="13">
        <f>SUM(OSRRefE20x_0)</f>
        <v>35627.261144307675</v>
      </c>
      <c r="F17" s="13">
        <f>SUM(OSRRefE20x_1)</f>
        <v>37946.109144307673</v>
      </c>
      <c r="G17" s="13">
        <f>SUM(OSRRefE20x_2)</f>
        <v>44910.636430384591</v>
      </c>
      <c r="H17" s="13">
        <f>SUM(OSRRefE20x_3)</f>
        <v>37946.109144307673</v>
      </c>
      <c r="I17" s="13">
        <f>SUM(OSRRefE20x_4)</f>
        <v>37946.109144307673</v>
      </c>
      <c r="J17" s="13">
        <f>SUM(OSRRefE20x_5)</f>
        <v>52613.535630384591</v>
      </c>
      <c r="K17" s="13">
        <f>SUM(OSRRefE20x_6)</f>
        <v>49108.428504307667</v>
      </c>
      <c r="L17" s="13">
        <f>SUM(OSRRefE20x_7)</f>
        <v>54549.428504307667</v>
      </c>
      <c r="M17" s="13">
        <f>SUM(OSRRefE20x_8)</f>
        <v>44054.535630384591</v>
      </c>
      <c r="N17" s="13">
        <f>SUM(OSRRefE20x_9)</f>
        <v>36641.142056307675</v>
      </c>
      <c r="O17" s="13">
        <f>SUM(OSRRefE20x_10)</f>
        <v>36732.855608307669</v>
      </c>
      <c r="Q17" s="13">
        <f>SUM(OSRRefG20x)</f>
        <v>509677.51094161515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12645.33</v>
      </c>
      <c r="E18" s="1">
        <f>SUM(OSRRefE21_0x_0)</f>
        <v>12678.48575969231</v>
      </c>
      <c r="F18" s="1">
        <f>SUM(OSRRefE21_0x_1)</f>
        <v>12757.33375969231</v>
      </c>
      <c r="G18" s="1">
        <f>SUM(OSRRefE21_0x_2)</f>
        <v>14240.9171996154</v>
      </c>
      <c r="H18" s="1">
        <f>SUM(OSRRefE21_0x_3)</f>
        <v>12757.33375969231</v>
      </c>
      <c r="I18" s="1">
        <f>SUM(OSRRefE21_0x_4)</f>
        <v>12757.33375969231</v>
      </c>
      <c r="J18" s="1">
        <f>SUM(OSRRefE21_0x_5)</f>
        <v>14247.8163996154</v>
      </c>
      <c r="K18" s="1">
        <f>SUM(OSRRefE21_0x_6)</f>
        <v>12762.85311969231</v>
      </c>
      <c r="L18" s="1">
        <f>SUM(OSRRefE21_0x_7)</f>
        <v>12762.85311969231</v>
      </c>
      <c r="M18" s="1">
        <f>SUM(OSRRefE21_0x_8)</f>
        <v>14247.8163996154</v>
      </c>
      <c r="N18" s="1">
        <f>SUM(OSRRefE21_0x_9)</f>
        <v>12854.56667169231</v>
      </c>
      <c r="O18" s="1">
        <f>SUM(OSRRefE21_0x_10)</f>
        <v>12946.280223692311</v>
      </c>
      <c r="Q18" s="2">
        <f>SUM(OSRRefD20_0x)+IFERROR(SUM(OSRRefE20_0x),0)</f>
        <v>157658.92017238468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1624.37</v>
      </c>
      <c r="E19" s="2">
        <v>1673.77703353846</v>
      </c>
      <c r="F19" s="2">
        <v>1673.77703353846</v>
      </c>
      <c r="G19" s="2">
        <v>2092.2212919230801</v>
      </c>
      <c r="H19" s="2">
        <v>1673.77703353846</v>
      </c>
      <c r="I19" s="2">
        <v>1673.77703353846</v>
      </c>
      <c r="J19" s="2">
        <v>2092.2212919230801</v>
      </c>
      <c r="K19" s="2">
        <v>1673.77703353846</v>
      </c>
      <c r="L19" s="2">
        <v>1673.77703353846</v>
      </c>
      <c r="M19" s="2">
        <v>2092.2212919230801</v>
      </c>
      <c r="N19" s="2">
        <v>1765.49058553846</v>
      </c>
      <c r="O19" s="2">
        <v>1857.2041375384599</v>
      </c>
      <c r="P19" s="9"/>
      <c r="Q19" s="2">
        <f>SUM(OSRRefD21_0_0x)+IFERROR(SUM(OSRRefE21_0_0x),0)</f>
        <v>21566.390800076919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273.92</v>
      </c>
      <c r="E20" s="2">
        <v>67.799670769230801</v>
      </c>
      <c r="F20" s="2">
        <v>74.743670769230803</v>
      </c>
      <c r="G20" s="2">
        <v>93.429588461538501</v>
      </c>
      <c r="H20" s="2">
        <v>74.743670769230803</v>
      </c>
      <c r="I20" s="2">
        <v>74.743670769230803</v>
      </c>
      <c r="J20" s="2">
        <v>94.037188461538506</v>
      </c>
      <c r="K20" s="2">
        <v>75.229750769230805</v>
      </c>
      <c r="L20" s="2">
        <v>75.229750769230805</v>
      </c>
      <c r="M20" s="2">
        <v>94.037188461538506</v>
      </c>
      <c r="N20" s="2">
        <v>75.229750769230705</v>
      </c>
      <c r="O20" s="2">
        <v>75.229750769230805</v>
      </c>
      <c r="P20" s="9"/>
      <c r="Q20" s="2">
        <f>SUM(OSRRefD21_0_1x)+IFERROR(SUM(OSRRefE21_0_1x),0)</f>
        <v>1148.3736515384619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6221.66</v>
      </c>
      <c r="E21" s="2">
        <v>6123</v>
      </c>
      <c r="F21" s="2">
        <v>6123</v>
      </c>
      <c r="G21" s="2">
        <v>6123</v>
      </c>
      <c r="H21" s="2">
        <v>6123</v>
      </c>
      <c r="I21" s="2">
        <v>6123</v>
      </c>
      <c r="J21" s="2">
        <v>6123</v>
      </c>
      <c r="K21" s="2">
        <v>6123</v>
      </c>
      <c r="L21" s="2">
        <v>6123</v>
      </c>
      <c r="M21" s="2">
        <v>6123</v>
      </c>
      <c r="N21" s="2">
        <v>6123</v>
      </c>
      <c r="O21" s="2">
        <v>6123</v>
      </c>
      <c r="P21" s="9"/>
      <c r="Q21" s="2">
        <f>SUM(OSRRefD21_0_2x)+IFERROR(SUM(OSRRefE21_0_2x),0)</f>
        <v>73574.66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55.21</v>
      </c>
      <c r="E22" s="2">
        <v>45.928809230769197</v>
      </c>
      <c r="F22" s="2">
        <v>50.632809230769197</v>
      </c>
      <c r="G22" s="2">
        <v>63.291011538461497</v>
      </c>
      <c r="H22" s="2">
        <v>50.632809230769197</v>
      </c>
      <c r="I22" s="2">
        <v>50.632809230769197</v>
      </c>
      <c r="J22" s="2">
        <v>63.702611538461497</v>
      </c>
      <c r="K22" s="2">
        <v>50.962089230769202</v>
      </c>
      <c r="L22" s="2">
        <v>50.962089230769202</v>
      </c>
      <c r="M22" s="2">
        <v>63.702611538461497</v>
      </c>
      <c r="N22" s="2">
        <v>50.962089230769202</v>
      </c>
      <c r="O22" s="2">
        <v>50.962089230769202</v>
      </c>
      <c r="P22" s="9"/>
      <c r="Q22" s="2">
        <f>SUM(OSRRefD21_0_3x)+IFERROR(SUM(OSRRefE21_0_3x),0)</f>
        <v>647.58182846153807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1947.91</v>
      </c>
      <c r="E23" s="2">
        <v>1880.89409230769</v>
      </c>
      <c r="F23" s="2">
        <v>1880.89409230769</v>
      </c>
      <c r="G23" s="2">
        <v>2351.11761538462</v>
      </c>
      <c r="H23" s="2">
        <v>1880.89409230769</v>
      </c>
      <c r="I23" s="2">
        <v>1880.89409230769</v>
      </c>
      <c r="J23" s="2">
        <v>2351.11761538462</v>
      </c>
      <c r="K23" s="2">
        <v>1880.89409230769</v>
      </c>
      <c r="L23" s="2">
        <v>1880.89409230769</v>
      </c>
      <c r="M23" s="2">
        <v>2351.11761538462</v>
      </c>
      <c r="N23" s="2">
        <v>1880.89409230769</v>
      </c>
      <c r="O23" s="2">
        <v>1880.89409230769</v>
      </c>
      <c r="P23" s="9"/>
      <c r="Q23" s="2">
        <f>SUM(OSRRefD21_0_4x)+IFERROR(SUM(OSRRefE21_0_4x),0)</f>
        <v>24048.415584615384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1181.81</v>
      </c>
      <c r="E25" s="2">
        <v>1093.54307692308</v>
      </c>
      <c r="F25" s="2">
        <v>1093.54307692308</v>
      </c>
      <c r="G25" s="2">
        <v>1366.9288461538499</v>
      </c>
      <c r="H25" s="2">
        <v>1093.54307692308</v>
      </c>
      <c r="I25" s="2">
        <v>1093.54307692308</v>
      </c>
      <c r="J25" s="2">
        <v>1366.9288461538499</v>
      </c>
      <c r="K25" s="2">
        <v>1093.54307692308</v>
      </c>
      <c r="L25" s="2">
        <v>1093.54307692308</v>
      </c>
      <c r="M25" s="2">
        <v>1366.9288461538499</v>
      </c>
      <c r="N25" s="2">
        <v>1093.54307692308</v>
      </c>
      <c r="O25" s="2">
        <v>1093.54307692308</v>
      </c>
      <c r="P25" s="9"/>
      <c r="Q25" s="2">
        <f>SUM(OSRRefD21_0_6x)+IFERROR(SUM(OSRRefE21_0_6x),0)</f>
        <v>14030.941153846192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979.42</v>
      </c>
      <c r="E26" s="2">
        <v>1093.54307692308</v>
      </c>
      <c r="F26" s="2">
        <v>1160.74307692308</v>
      </c>
      <c r="G26" s="2">
        <v>1450.9288461538499</v>
      </c>
      <c r="H26" s="2">
        <v>1160.74307692308</v>
      </c>
      <c r="I26" s="2">
        <v>1160.74307692308</v>
      </c>
      <c r="J26" s="2">
        <v>1456.80884615385</v>
      </c>
      <c r="K26" s="2">
        <v>1165.44707692308</v>
      </c>
      <c r="L26" s="2">
        <v>1165.44707692308</v>
      </c>
      <c r="M26" s="2">
        <v>1456.80884615385</v>
      </c>
      <c r="N26" s="2">
        <v>1165.44707692308</v>
      </c>
      <c r="O26" s="2">
        <v>1165.44707692308</v>
      </c>
      <c r="P26" s="9"/>
      <c r="Q26" s="2">
        <f>SUM(OSRRefD21_0_7x)+IFERROR(SUM(OSRRefE21_0_7x),0)</f>
        <v>14581.527153846188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361.03</v>
      </c>
      <c r="E27" s="2">
        <v>700</v>
      </c>
      <c r="F27" s="2">
        <v>700</v>
      </c>
      <c r="G27" s="2">
        <v>700</v>
      </c>
      <c r="H27" s="2">
        <v>700</v>
      </c>
      <c r="I27" s="2">
        <v>700</v>
      </c>
      <c r="J27" s="2">
        <v>700</v>
      </c>
      <c r="K27" s="2">
        <v>700</v>
      </c>
      <c r="L27" s="2">
        <v>700</v>
      </c>
      <c r="M27" s="2">
        <v>700</v>
      </c>
      <c r="N27" s="2">
        <v>700</v>
      </c>
      <c r="O27" s="2">
        <v>700</v>
      </c>
      <c r="P27" s="9"/>
      <c r="Q27" s="2">
        <f>SUM(OSRRefD21_0_8x)+IFERROR(SUM(OSRRefE21_0_8x),0)</f>
        <v>8061.03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26240.76</v>
      </c>
      <c r="E28" s="1">
        <f>SUM(OSRRefE21_1x_0)</f>
        <v>19683.775384615361</v>
      </c>
      <c r="F28" s="1">
        <f>SUM(OSRRefE21_1x_1)</f>
        <v>21923.775384615361</v>
      </c>
      <c r="G28" s="1">
        <f>SUM(OSRRefE21_1x_2)</f>
        <v>27404.719230769188</v>
      </c>
      <c r="H28" s="1">
        <f>SUM(OSRRefE21_1x_3)</f>
        <v>21923.775384615361</v>
      </c>
      <c r="I28" s="1">
        <f>SUM(OSRRefE21_1x_4)</f>
        <v>21923.775384615361</v>
      </c>
      <c r="J28" s="1">
        <f>SUM(OSRRefE21_1x_5)</f>
        <v>27600.719230769188</v>
      </c>
      <c r="K28" s="1">
        <f>SUM(OSRRefE21_1x_6)</f>
        <v>22080.57538461536</v>
      </c>
      <c r="L28" s="1">
        <f>SUM(OSRRefE21_1x_7)</f>
        <v>22080.57538461536</v>
      </c>
      <c r="M28" s="1">
        <f>SUM(OSRRefE21_1x_8)</f>
        <v>27600.719230769188</v>
      </c>
      <c r="N28" s="1">
        <f>SUM(OSRRefE21_1x_9)</f>
        <v>22080.575384615364</v>
      </c>
      <c r="O28" s="1">
        <f>SUM(OSRRefE21_1x_10)</f>
        <v>22080.57538461536</v>
      </c>
      <c r="Q28" s="2">
        <f>SUM(OSRRefD20_1x)+IFERROR(SUM(OSRRefE20_1x),0)</f>
        <v>282624.32076923049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/>
      <c r="E29" s="2">
        <v>5581.9661538461596</v>
      </c>
      <c r="F29" s="2">
        <v>5581.9661538461596</v>
      </c>
      <c r="G29" s="2">
        <v>6977.4576923076902</v>
      </c>
      <c r="H29" s="2">
        <v>5581.9661538461596</v>
      </c>
      <c r="I29" s="2">
        <v>5581.9661538461596</v>
      </c>
      <c r="J29" s="2">
        <v>6977.4576923076902</v>
      </c>
      <c r="K29" s="2">
        <v>5581.9661538461596</v>
      </c>
      <c r="L29" s="2">
        <v>5581.9661538461596</v>
      </c>
      <c r="M29" s="2">
        <v>6977.4576923076902</v>
      </c>
      <c r="N29" s="2">
        <v>5581.9661538461596</v>
      </c>
      <c r="O29" s="2">
        <v>5581.9661538461596</v>
      </c>
      <c r="P29" s="9"/>
      <c r="Q29" s="2">
        <f>SUM(OSRRefD21_1_0x)+IFERROR(SUM(OSRRefE21_1_0x),0)</f>
        <v>65588.102307692345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>
        <v>26240.76</v>
      </c>
      <c r="E30" s="2">
        <v>14101.8092307692</v>
      </c>
      <c r="F30" s="2">
        <v>14101.8092307692</v>
      </c>
      <c r="G30" s="2">
        <v>17627.261538461498</v>
      </c>
      <c r="H30" s="2">
        <v>14101.8092307692</v>
      </c>
      <c r="I30" s="2">
        <v>14101.8092307692</v>
      </c>
      <c r="J30" s="2">
        <v>17627.261538461498</v>
      </c>
      <c r="K30" s="2">
        <v>14101.8092307692</v>
      </c>
      <c r="L30" s="2">
        <v>14101.8092307692</v>
      </c>
      <c r="M30" s="2">
        <v>17627.261538461498</v>
      </c>
      <c r="N30" s="2">
        <v>14101.8092307692</v>
      </c>
      <c r="O30" s="2">
        <v>14101.8092307692</v>
      </c>
      <c r="P30" s="9"/>
      <c r="Q30" s="2">
        <f>SUM(OSRRefD21_1_1x)+IFERROR(SUM(OSRRefE21_1_1x),0)</f>
        <v>191937.0184615381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SUM(OSRRefD21_1_3x)+IFERROR(SUM(OSRRefE21_1_3x),0)</f>
        <v>0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1198.4000000000001</v>
      </c>
      <c r="O35" s="2">
        <v>2396.8000000000002</v>
      </c>
      <c r="P35" s="9"/>
      <c r="Q35" s="2">
        <f>SUM(OSRRefD21_1_6x)+IFERROR(SUM(OSRRefE21_1_6x),0)</f>
        <v>3595.2000000000003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/>
      <c r="E36" s="2">
        <v>0</v>
      </c>
      <c r="F36" s="2">
        <v>2240</v>
      </c>
      <c r="G36" s="2">
        <v>2800</v>
      </c>
      <c r="H36" s="2">
        <v>2240</v>
      </c>
      <c r="I36" s="2">
        <v>2240</v>
      </c>
      <c r="J36" s="2">
        <v>2996</v>
      </c>
      <c r="K36" s="2">
        <v>2396.8000000000002</v>
      </c>
      <c r="L36" s="2">
        <v>2396.8000000000002</v>
      </c>
      <c r="M36" s="2">
        <v>2996</v>
      </c>
      <c r="N36" s="2">
        <v>1198.4000000000001</v>
      </c>
      <c r="O36" s="2">
        <v>0</v>
      </c>
      <c r="P36" s="9"/>
      <c r="Q36" s="2">
        <f>SUM(OSRRefD21_1_7x)+IFERROR(SUM(OSRRefE21_1_7x),0)</f>
        <v>21504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","Depreciation                                      ")</f>
        <v xml:space="preserve">     Depreciation                                      </v>
      </c>
      <c r="C39" s="14"/>
      <c r="D39" s="1">
        <f>SUM(OSRRefD21_2x_0)</f>
        <v>1558.88</v>
      </c>
      <c r="E39" s="1">
        <f>SUM(OSRRefE21_2x_0)</f>
        <v>1559</v>
      </c>
      <c r="F39" s="1">
        <f>SUM(OSRRefE21_2x_1)</f>
        <v>1559</v>
      </c>
      <c r="G39" s="1">
        <f>SUM(OSRRefE21_2x_2)</f>
        <v>1559</v>
      </c>
      <c r="H39" s="1">
        <f>SUM(OSRRefE21_2x_3)</f>
        <v>1559</v>
      </c>
      <c r="I39" s="1">
        <f>SUM(OSRRefE21_2x_4)</f>
        <v>1559</v>
      </c>
      <c r="J39" s="1">
        <f>SUM(OSRRefE21_2x_5)</f>
        <v>1559</v>
      </c>
      <c r="K39" s="1">
        <f>SUM(OSRRefE21_2x_6)</f>
        <v>1559</v>
      </c>
      <c r="L39" s="1">
        <f>SUM(OSRRefE21_2x_7)</f>
        <v>0</v>
      </c>
      <c r="M39" s="1">
        <f>SUM(OSRRefE21_2x_8)</f>
        <v>0</v>
      </c>
      <c r="N39" s="1">
        <f>SUM(OSRRefE21_2x_9)</f>
        <v>0</v>
      </c>
      <c r="O39" s="1">
        <f>SUM(OSRRefE21_2x_10)</f>
        <v>0</v>
      </c>
      <c r="Q39" s="2">
        <f>SUM(OSRRefD20_2x)+IFERROR(SUM(OSRRefE20_2x),0)</f>
        <v>12471.880000000001</v>
      </c>
    </row>
    <row r="40" spans="1:17" s="34" customFormat="1" hidden="1" outlineLevel="1" x14ac:dyDescent="0.3">
      <c r="A40" s="35"/>
      <c r="B40" s="10" t="str">
        <f>CONCATENATE("          ","6322", " - ","EQUIPMENT DEPRECIATION EXPENSE")</f>
        <v xml:space="preserve">          6322 - EQUIPMENT DEPRECIATION EXPENSE</v>
      </c>
      <c r="C40" s="14"/>
      <c r="D40" s="2">
        <v>1558.88</v>
      </c>
      <c r="E40" s="2">
        <v>1559</v>
      </c>
      <c r="F40" s="2">
        <v>1559</v>
      </c>
      <c r="G40" s="2">
        <v>1559</v>
      </c>
      <c r="H40" s="2">
        <v>1559</v>
      </c>
      <c r="I40" s="2">
        <v>1559</v>
      </c>
      <c r="J40" s="2">
        <v>1559</v>
      </c>
      <c r="K40" s="2">
        <v>1559</v>
      </c>
      <c r="L40" s="2"/>
      <c r="M40" s="2"/>
      <c r="N40" s="2"/>
      <c r="O40" s="2"/>
      <c r="P40" s="9"/>
      <c r="Q40" s="2">
        <f>SUM(OSRRefD21_2_0x)+IFERROR(SUM(OSRRefE21_2_0x),0)</f>
        <v>12471.880000000001</v>
      </c>
    </row>
    <row r="41" spans="1:17" s="34" customFormat="1" collapsed="1" x14ac:dyDescent="0.3">
      <c r="A41" s="35"/>
      <c r="B41" s="14" t="str">
        <f>CONCATENATE("     ","Equipment Rental                                  ")</f>
        <v xml:space="preserve">     Equipment Rental                                  </v>
      </c>
      <c r="C41" s="14"/>
      <c r="D41" s="1">
        <f>SUM(OSRRefD21_3x_0)</f>
        <v>91.26</v>
      </c>
      <c r="E41" s="1">
        <f>SUM(OSRRefE21_3x_0)</f>
        <v>91</v>
      </c>
      <c r="F41" s="1">
        <f>SUM(OSRRefE21_3x_1)</f>
        <v>91</v>
      </c>
      <c r="G41" s="1">
        <f>SUM(OSRRefE21_3x_2)</f>
        <v>91</v>
      </c>
      <c r="H41" s="1">
        <f>SUM(OSRRefE21_3x_3)</f>
        <v>91</v>
      </c>
      <c r="I41" s="1">
        <f>SUM(OSRRefE21_3x_4)</f>
        <v>91</v>
      </c>
      <c r="J41" s="1">
        <f>SUM(OSRRefE21_3x_5)</f>
        <v>91</v>
      </c>
      <c r="K41" s="1">
        <f>SUM(OSRRefE21_3x_6)</f>
        <v>91</v>
      </c>
      <c r="L41" s="1">
        <f>SUM(OSRRefE21_3x_7)</f>
        <v>91</v>
      </c>
      <c r="M41" s="1">
        <f>SUM(OSRRefE21_3x_8)</f>
        <v>91</v>
      </c>
      <c r="N41" s="1">
        <f>SUM(OSRRefE21_3x_9)</f>
        <v>91</v>
      </c>
      <c r="O41" s="1">
        <f>SUM(OSRRefE21_3x_10)</f>
        <v>91</v>
      </c>
      <c r="Q41" s="2">
        <f>SUM(OSRRefD20_3x)+IFERROR(SUM(OSRRefE20_3x),0)</f>
        <v>1092.26</v>
      </c>
    </row>
    <row r="42" spans="1:17" s="34" customFormat="1" hidden="1" outlineLevel="1" x14ac:dyDescent="0.3">
      <c r="A42" s="35"/>
      <c r="B42" s="10" t="str">
        <f>CONCATENATE("          ","6351", " - ","EQUIPMENT RENTAL")</f>
        <v xml:space="preserve">          6351 - EQUIPMENT RENTAL</v>
      </c>
      <c r="C42" s="14"/>
      <c r="D42" s="2">
        <v>91.26</v>
      </c>
      <c r="E42" s="2">
        <v>91</v>
      </c>
      <c r="F42" s="2">
        <v>91</v>
      </c>
      <c r="G42" s="2">
        <v>91</v>
      </c>
      <c r="H42" s="2">
        <v>91</v>
      </c>
      <c r="I42" s="2">
        <v>91</v>
      </c>
      <c r="J42" s="2">
        <v>91</v>
      </c>
      <c r="K42" s="2">
        <v>91</v>
      </c>
      <c r="L42" s="2">
        <v>91</v>
      </c>
      <c r="M42" s="2">
        <v>91</v>
      </c>
      <c r="N42" s="2">
        <v>91</v>
      </c>
      <c r="O42" s="2">
        <v>91</v>
      </c>
      <c r="P42" s="9"/>
      <c r="Q42" s="2">
        <f>SUM(OSRRefD21_3_0x)+IFERROR(SUM(OSRRefE21_3_0x),0)</f>
        <v>1092.26</v>
      </c>
    </row>
    <row r="43" spans="1:17" s="34" customFormat="1" collapsed="1" x14ac:dyDescent="0.3">
      <c r="A43" s="35"/>
      <c r="B43" s="14" t="str">
        <f>CONCATENATE("     ","Freight out/Postage                               ")</f>
        <v xml:space="preserve">     Freight out/Postage                               </v>
      </c>
      <c r="C43" s="14"/>
      <c r="D43" s="1">
        <f>SUM(OSRRefD21_4x_0)</f>
        <v>88.12</v>
      </c>
      <c r="E43" s="1">
        <f>SUM(OSRRefE21_4x_0)</f>
        <v>100</v>
      </c>
      <c r="F43" s="1">
        <f>SUM(OSRRefE21_4x_1)</f>
        <v>100</v>
      </c>
      <c r="G43" s="1">
        <f>SUM(OSRRefE21_4x_2)</f>
        <v>100</v>
      </c>
      <c r="H43" s="1">
        <f>SUM(OSRRefE21_4x_3)</f>
        <v>100</v>
      </c>
      <c r="I43" s="1">
        <f>SUM(OSRRefE21_4x_4)</f>
        <v>100</v>
      </c>
      <c r="J43" s="1">
        <f>SUM(OSRRefE21_4x_5)</f>
        <v>100</v>
      </c>
      <c r="K43" s="1">
        <f>SUM(OSRRefE21_4x_6)</f>
        <v>100</v>
      </c>
      <c r="L43" s="1">
        <f>SUM(OSRRefE21_4x_7)</f>
        <v>100</v>
      </c>
      <c r="M43" s="1">
        <f>SUM(OSRRefE21_4x_8)</f>
        <v>100</v>
      </c>
      <c r="N43" s="1">
        <f>SUM(OSRRefE21_4x_9)</f>
        <v>100</v>
      </c>
      <c r="O43" s="1">
        <f>SUM(OSRRefE21_4x_10)</f>
        <v>100</v>
      </c>
      <c r="Q43" s="2">
        <f>SUM(OSRRefD20_4x)+IFERROR(SUM(OSRRefE20_4x),0)</f>
        <v>1188.1199999999999</v>
      </c>
    </row>
    <row r="44" spans="1:17" s="34" customFormat="1" hidden="1" outlineLevel="1" x14ac:dyDescent="0.3">
      <c r="A44" s="35"/>
      <c r="B44" s="10" t="str">
        <f>CONCATENATE("          ","6307", " - ","POSTAGE")</f>
        <v xml:space="preserve">          6307 - POSTAGE</v>
      </c>
      <c r="C44" s="14"/>
      <c r="D44" s="2">
        <v>88.12</v>
      </c>
      <c r="E44" s="2">
        <v>100</v>
      </c>
      <c r="F44" s="2">
        <v>100</v>
      </c>
      <c r="G44" s="2">
        <v>100</v>
      </c>
      <c r="H44" s="2">
        <v>100</v>
      </c>
      <c r="I44" s="2">
        <v>100</v>
      </c>
      <c r="J44" s="2">
        <v>100</v>
      </c>
      <c r="K44" s="2">
        <v>100</v>
      </c>
      <c r="L44" s="2">
        <v>100</v>
      </c>
      <c r="M44" s="2">
        <v>100</v>
      </c>
      <c r="N44" s="2">
        <v>100</v>
      </c>
      <c r="O44" s="2">
        <v>100</v>
      </c>
      <c r="P44" s="9"/>
      <c r="Q44" s="2">
        <f>SUM(OSRRefD21_4_0x)+IFERROR(SUM(OSRRefE21_4_0x),0)</f>
        <v>1188.1199999999999</v>
      </c>
    </row>
    <row r="45" spans="1:17" s="34" customFormat="1" collapsed="1" x14ac:dyDescent="0.3">
      <c r="A45" s="35"/>
      <c r="B45" s="14" t="str">
        <f>CONCATENATE("     ","Insurance                                         ")</f>
        <v xml:space="preserve">     Insurance                                         </v>
      </c>
      <c r="C45" s="14"/>
      <c r="D45" s="1">
        <f>SUM(OSRRefD21_5x_0)</f>
        <v>179.64</v>
      </c>
      <c r="E45" s="1">
        <f>SUM(OSRRefE21_5x_0)</f>
        <v>180</v>
      </c>
      <c r="F45" s="1">
        <f>SUM(OSRRefE21_5x_1)</f>
        <v>180</v>
      </c>
      <c r="G45" s="1">
        <f>SUM(OSRRefE21_5x_2)</f>
        <v>180</v>
      </c>
      <c r="H45" s="1">
        <f>SUM(OSRRefE21_5x_3)</f>
        <v>180</v>
      </c>
      <c r="I45" s="1">
        <f>SUM(OSRRefE21_5x_4)</f>
        <v>180</v>
      </c>
      <c r="J45" s="1">
        <f>SUM(OSRRefE21_5x_5)</f>
        <v>180</v>
      </c>
      <c r="K45" s="1">
        <f>SUM(OSRRefE21_5x_6)</f>
        <v>180</v>
      </c>
      <c r="L45" s="1">
        <f>SUM(OSRRefE21_5x_7)</f>
        <v>180</v>
      </c>
      <c r="M45" s="1">
        <f>SUM(OSRRefE21_5x_8)</f>
        <v>180</v>
      </c>
      <c r="N45" s="1">
        <f>SUM(OSRRefE21_5x_9)</f>
        <v>180</v>
      </c>
      <c r="O45" s="1">
        <f>SUM(OSRRefE21_5x_10)</f>
        <v>180</v>
      </c>
      <c r="Q45" s="2">
        <f>SUM(OSRRefD20_5x)+IFERROR(SUM(OSRRefE20_5x),0)</f>
        <v>2159.64</v>
      </c>
    </row>
    <row r="46" spans="1:17" s="34" customFormat="1" hidden="1" outlineLevel="1" x14ac:dyDescent="0.3">
      <c r="A46" s="35"/>
      <c r="B46" s="10" t="str">
        <f>CONCATENATE("          ","6314", " - ","LIABILITY INSURANCE")</f>
        <v xml:space="preserve">          6314 - LIABILITY INSURANCE</v>
      </c>
      <c r="C46" s="14"/>
      <c r="D46" s="2">
        <v>179.64</v>
      </c>
      <c r="E46" s="2">
        <v>180</v>
      </c>
      <c r="F46" s="2">
        <v>180</v>
      </c>
      <c r="G46" s="2">
        <v>180</v>
      </c>
      <c r="H46" s="2">
        <v>180</v>
      </c>
      <c r="I46" s="2">
        <v>180</v>
      </c>
      <c r="J46" s="2">
        <v>180</v>
      </c>
      <c r="K46" s="2">
        <v>180</v>
      </c>
      <c r="L46" s="2">
        <v>180</v>
      </c>
      <c r="M46" s="2">
        <v>180</v>
      </c>
      <c r="N46" s="2">
        <v>180</v>
      </c>
      <c r="O46" s="2">
        <v>180</v>
      </c>
      <c r="P46" s="9"/>
      <c r="Q46" s="2">
        <f>SUM(OSRRefD21_5_0x)+IFERROR(SUM(OSRRefE21_5_0x),0)</f>
        <v>2159.64</v>
      </c>
    </row>
    <row r="47" spans="1:17" s="34" customFormat="1" collapsed="1" x14ac:dyDescent="0.3">
      <c r="A47" s="35"/>
      <c r="B47" s="14" t="str">
        <f>CONCATENATE("     ","Repair and Maintenance                            ")</f>
        <v xml:space="preserve">     Repair and Maintenance                            </v>
      </c>
      <c r="C47" s="14"/>
      <c r="D47" s="1">
        <f>SUM(OSRRefD21_6x_0)</f>
        <v>59.95</v>
      </c>
      <c r="E47" s="1">
        <f>SUM(OSRRefE21_6x_0)</f>
        <v>210</v>
      </c>
      <c r="F47" s="1">
        <f>SUM(OSRRefE21_6x_1)</f>
        <v>210</v>
      </c>
      <c r="G47" s="1">
        <f>SUM(OSRRefE21_6x_2)</f>
        <v>210</v>
      </c>
      <c r="H47" s="1">
        <f>SUM(OSRRefE21_6x_3)</f>
        <v>210</v>
      </c>
      <c r="I47" s="1">
        <f>SUM(OSRRefE21_6x_4)</f>
        <v>210</v>
      </c>
      <c r="J47" s="1">
        <f>SUM(OSRRefE21_6x_5)</f>
        <v>4710</v>
      </c>
      <c r="K47" s="1">
        <f>SUM(OSRRefE21_6x_6)</f>
        <v>11210</v>
      </c>
      <c r="L47" s="1">
        <f>SUM(OSRRefE21_6x_7)</f>
        <v>18210</v>
      </c>
      <c r="M47" s="1">
        <f>SUM(OSRRefE21_6x_8)</f>
        <v>710</v>
      </c>
      <c r="N47" s="1">
        <f>SUM(OSRRefE21_6x_9)</f>
        <v>210</v>
      </c>
      <c r="O47" s="1">
        <f>SUM(OSRRefE21_6x_10)</f>
        <v>210</v>
      </c>
      <c r="Q47" s="2">
        <f>SUM(OSRRefD20_6x)+IFERROR(SUM(OSRRefE20_6x),0)</f>
        <v>36369.949999999997</v>
      </c>
    </row>
    <row r="48" spans="1:17" s="34" customFormat="1" hidden="1" outlineLevel="1" x14ac:dyDescent="0.3">
      <c r="A48" s="35"/>
      <c r="B48" s="10" t="str">
        <f>CONCATENATE("          ","6371", " - ","COMPUTER SOFTWARE MAINTENANCE")</f>
        <v xml:space="preserve">          6371 - COMPUTER SOFTWARE MAINTENANCE</v>
      </c>
      <c r="C48" s="14"/>
      <c r="D48" s="2">
        <v>59.95</v>
      </c>
      <c r="E48" s="2"/>
      <c r="F48" s="2"/>
      <c r="G48" s="2"/>
      <c r="H48" s="2"/>
      <c r="I48" s="2"/>
      <c r="J48" s="2"/>
      <c r="K48" s="2">
        <v>11000</v>
      </c>
      <c r="L48" s="2">
        <v>18000</v>
      </c>
      <c r="M48" s="2"/>
      <c r="N48" s="2"/>
      <c r="O48" s="2"/>
      <c r="P48" s="9"/>
      <c r="Q48" s="2">
        <f>SUM(OSRRefD21_6_0x)+IFERROR(SUM(OSRRefE21_6_0x),0)</f>
        <v>29059.95</v>
      </c>
    </row>
    <row r="49" spans="1:17" s="34" customFormat="1" hidden="1" outlineLevel="1" x14ac:dyDescent="0.3">
      <c r="A49" s="35"/>
      <c r="B49" s="10" t="str">
        <f>CONCATENATE("          ","6373", " - ","MAINTENANCE CONTRACTS")</f>
        <v xml:space="preserve">          6373 - MAINTENANCE CONTRACTS</v>
      </c>
      <c r="C49" s="14"/>
      <c r="D49" s="2"/>
      <c r="E49" s="2">
        <v>60</v>
      </c>
      <c r="F49" s="2">
        <v>60</v>
      </c>
      <c r="G49" s="2">
        <v>60</v>
      </c>
      <c r="H49" s="2">
        <v>60</v>
      </c>
      <c r="I49" s="2">
        <v>60</v>
      </c>
      <c r="J49" s="2">
        <v>4560</v>
      </c>
      <c r="K49" s="2">
        <v>60</v>
      </c>
      <c r="L49" s="2">
        <v>60</v>
      </c>
      <c r="M49" s="2">
        <v>560</v>
      </c>
      <c r="N49" s="2">
        <v>60</v>
      </c>
      <c r="O49" s="2">
        <v>60</v>
      </c>
      <c r="P49" s="9"/>
      <c r="Q49" s="2">
        <f>SUM(OSRRefD21_6_1x)+IFERROR(SUM(OSRRefE21_6_1x),0)</f>
        <v>5660</v>
      </c>
    </row>
    <row r="50" spans="1:17" s="34" customFormat="1" hidden="1" outlineLevel="1" x14ac:dyDescent="0.3">
      <c r="A50" s="35"/>
      <c r="B50" s="10" t="str">
        <f>CONCATENATE("          ","6375", " - ","OUTSIDE REPAIRS &amp; MAINTENANCE")</f>
        <v xml:space="preserve">          6375 - OUTSIDE REPAIRS &amp; MAINTENANCE</v>
      </c>
      <c r="C50" s="14"/>
      <c r="D50" s="2"/>
      <c r="E50" s="2">
        <v>150</v>
      </c>
      <c r="F50" s="2">
        <v>150</v>
      </c>
      <c r="G50" s="2">
        <v>150</v>
      </c>
      <c r="H50" s="2">
        <v>150</v>
      </c>
      <c r="I50" s="2">
        <v>150</v>
      </c>
      <c r="J50" s="2">
        <v>150</v>
      </c>
      <c r="K50" s="2">
        <v>150</v>
      </c>
      <c r="L50" s="2">
        <v>150</v>
      </c>
      <c r="M50" s="2">
        <v>150</v>
      </c>
      <c r="N50" s="2">
        <v>150</v>
      </c>
      <c r="O50" s="2">
        <v>150</v>
      </c>
      <c r="P50" s="9"/>
      <c r="Q50" s="2">
        <f>SUM(OSRRefD21_6_2x)+IFERROR(SUM(OSRRefE21_6_2x),0)</f>
        <v>1650</v>
      </c>
    </row>
    <row r="51" spans="1:17" s="34" customFormat="1" collapsed="1" x14ac:dyDescent="0.3">
      <c r="A51" s="35"/>
      <c r="B51" s="14" t="str">
        <f>CONCATENATE("     ","Services                                          ")</f>
        <v xml:space="preserve">     Services                                          </v>
      </c>
      <c r="C51" s="14"/>
      <c r="D51" s="1">
        <f>SUM(OSRRefD21_7x_0)</f>
        <v>0</v>
      </c>
      <c r="E51" s="1">
        <f>SUM(OSRRefE21_7x_0)</f>
        <v>625</v>
      </c>
      <c r="F51" s="1">
        <f>SUM(OSRRefE21_7x_1)</f>
        <v>625</v>
      </c>
      <c r="G51" s="1">
        <f>SUM(OSRRefE21_7x_2)</f>
        <v>625</v>
      </c>
      <c r="H51" s="1">
        <f>SUM(OSRRefE21_7x_3)</f>
        <v>625</v>
      </c>
      <c r="I51" s="1">
        <f>SUM(OSRRefE21_7x_4)</f>
        <v>625</v>
      </c>
      <c r="J51" s="1">
        <f>SUM(OSRRefE21_7x_5)</f>
        <v>625</v>
      </c>
      <c r="K51" s="1">
        <f>SUM(OSRRefE21_7x_6)</f>
        <v>625</v>
      </c>
      <c r="L51" s="1">
        <f>SUM(OSRRefE21_7x_7)</f>
        <v>625</v>
      </c>
      <c r="M51" s="1">
        <f>SUM(OSRRefE21_7x_8)</f>
        <v>625</v>
      </c>
      <c r="N51" s="1">
        <f>SUM(OSRRefE21_7x_9)</f>
        <v>625</v>
      </c>
      <c r="O51" s="1">
        <f>SUM(OSRRefE21_7x_10)</f>
        <v>625</v>
      </c>
      <c r="Q51" s="2">
        <f>SUM(OSRRefD20_7x)+IFERROR(SUM(OSRRefE20_7x),0)</f>
        <v>6875</v>
      </c>
    </row>
    <row r="52" spans="1:17" s="34" customFormat="1" hidden="1" outlineLevel="1" x14ac:dyDescent="0.3">
      <c r="A52" s="35"/>
      <c r="B52" s="10" t="str">
        <f>CONCATENATE("          ","6281", " - ","STORAGE FEE")</f>
        <v xml:space="preserve">          6281 - STORAGE FEE</v>
      </c>
      <c r="C52" s="14"/>
      <c r="D52" s="2"/>
      <c r="E52" s="2">
        <v>625</v>
      </c>
      <c r="F52" s="2">
        <v>625</v>
      </c>
      <c r="G52" s="2">
        <v>625</v>
      </c>
      <c r="H52" s="2">
        <v>625</v>
      </c>
      <c r="I52" s="2">
        <v>625</v>
      </c>
      <c r="J52" s="2">
        <v>625</v>
      </c>
      <c r="K52" s="2">
        <v>625</v>
      </c>
      <c r="L52" s="2">
        <v>625</v>
      </c>
      <c r="M52" s="2">
        <v>625</v>
      </c>
      <c r="N52" s="2">
        <v>625</v>
      </c>
      <c r="O52" s="2">
        <v>625</v>
      </c>
      <c r="P52" s="9"/>
      <c r="Q52" s="2">
        <f>SUM(OSRRefD21_7_0x)+IFERROR(SUM(OSRRefE21_7_0x),0)</f>
        <v>6875</v>
      </c>
    </row>
    <row r="53" spans="1:17" s="34" customFormat="1" collapsed="1" x14ac:dyDescent="0.3">
      <c r="A53" s="35"/>
      <c r="B53" s="14" t="str">
        <f>CONCATENATE("     ","Supplies                                          ")</f>
        <v xml:space="preserve">     Supplies                                          </v>
      </c>
      <c r="C53" s="14"/>
      <c r="D53" s="1">
        <f>SUM(OSRRefD21_8x_0)</f>
        <v>272.22000000000003</v>
      </c>
      <c r="E53" s="1">
        <f>SUM(OSRRefE21_8x_0)</f>
        <v>100</v>
      </c>
      <c r="F53" s="1">
        <f>SUM(OSRRefE21_8x_1)</f>
        <v>100</v>
      </c>
      <c r="G53" s="1">
        <f>SUM(OSRRefE21_8x_2)</f>
        <v>100</v>
      </c>
      <c r="H53" s="1">
        <f>SUM(OSRRefE21_8x_3)</f>
        <v>100</v>
      </c>
      <c r="I53" s="1">
        <f>SUM(OSRRefE21_8x_4)</f>
        <v>100</v>
      </c>
      <c r="J53" s="1">
        <f>SUM(OSRRefE21_8x_5)</f>
        <v>100</v>
      </c>
      <c r="K53" s="1">
        <f>SUM(OSRRefE21_8x_6)</f>
        <v>100</v>
      </c>
      <c r="L53" s="1">
        <f>SUM(OSRRefE21_8x_7)</f>
        <v>100</v>
      </c>
      <c r="M53" s="1">
        <f>SUM(OSRRefE21_8x_8)</f>
        <v>100</v>
      </c>
      <c r="N53" s="1">
        <f>SUM(OSRRefE21_8x_9)</f>
        <v>100</v>
      </c>
      <c r="O53" s="1">
        <f>SUM(OSRRefE21_8x_10)</f>
        <v>100</v>
      </c>
      <c r="Q53" s="2">
        <f>SUM(OSRRefD20_8x)+IFERROR(SUM(OSRRefE20_8x),0)</f>
        <v>1372.22</v>
      </c>
    </row>
    <row r="54" spans="1:17" s="34" customFormat="1" hidden="1" outlineLevel="1" x14ac:dyDescent="0.3">
      <c r="A54" s="35"/>
      <c r="B54" s="10" t="str">
        <f>CONCATENATE("          ","6241", " - ","OFFICE EXPENSE")</f>
        <v xml:space="preserve">          6241 - OFFICE EXPENSE</v>
      </c>
      <c r="C54" s="14"/>
      <c r="D54" s="2">
        <v>272.22000000000003</v>
      </c>
      <c r="E54" s="2">
        <v>100</v>
      </c>
      <c r="F54" s="2">
        <v>100</v>
      </c>
      <c r="G54" s="2">
        <v>100</v>
      </c>
      <c r="H54" s="2">
        <v>100</v>
      </c>
      <c r="I54" s="2">
        <v>100</v>
      </c>
      <c r="J54" s="2">
        <v>100</v>
      </c>
      <c r="K54" s="2">
        <v>100</v>
      </c>
      <c r="L54" s="2">
        <v>100</v>
      </c>
      <c r="M54" s="2">
        <v>100</v>
      </c>
      <c r="N54" s="2">
        <v>100</v>
      </c>
      <c r="O54" s="2">
        <v>100</v>
      </c>
      <c r="P54" s="9"/>
      <c r="Q54" s="2">
        <f>SUM(OSRRefD21_8_0x)+IFERROR(SUM(OSRRefE21_8_0x),0)</f>
        <v>1372.22</v>
      </c>
    </row>
    <row r="55" spans="1:17" s="34" customFormat="1" collapsed="1" x14ac:dyDescent="0.3">
      <c r="A55" s="35"/>
      <c r="B55" s="14" t="str">
        <f>CONCATENATE("     ","Telephone/Data Lines                              ")</f>
        <v xml:space="preserve">     Telephone/Data Lines                              </v>
      </c>
      <c r="C55" s="14"/>
      <c r="D55" s="1">
        <f>SUM(OSRRefD21_9x_0)</f>
        <v>448.1</v>
      </c>
      <c r="E55" s="1">
        <f>SUM(OSRRefE21_9x_0)</f>
        <v>400</v>
      </c>
      <c r="F55" s="1">
        <f>SUM(OSRRefE21_9x_1)</f>
        <v>400</v>
      </c>
      <c r="G55" s="1">
        <f>SUM(OSRRefE21_9x_2)</f>
        <v>400</v>
      </c>
      <c r="H55" s="1">
        <f>SUM(OSRRefE21_9x_3)</f>
        <v>400</v>
      </c>
      <c r="I55" s="1">
        <f>SUM(OSRRefE21_9x_4)</f>
        <v>400</v>
      </c>
      <c r="J55" s="1">
        <f>SUM(OSRRefE21_9x_5)</f>
        <v>400</v>
      </c>
      <c r="K55" s="1">
        <f>SUM(OSRRefE21_9x_6)</f>
        <v>400</v>
      </c>
      <c r="L55" s="1">
        <f>SUM(OSRRefE21_9x_7)</f>
        <v>400</v>
      </c>
      <c r="M55" s="1">
        <f>SUM(OSRRefE21_9x_8)</f>
        <v>400</v>
      </c>
      <c r="N55" s="1">
        <f>SUM(OSRRefE21_9x_9)</f>
        <v>400</v>
      </c>
      <c r="O55" s="1">
        <f>SUM(OSRRefE21_9x_10)</f>
        <v>400</v>
      </c>
      <c r="Q55" s="2">
        <f>SUM(OSRRefD20_9x)+IFERROR(SUM(OSRRefE20_9x),0)</f>
        <v>4848.1000000000004</v>
      </c>
    </row>
    <row r="56" spans="1:17" s="34" customFormat="1" hidden="1" outlineLevel="1" x14ac:dyDescent="0.3">
      <c r="A56" s="35"/>
      <c r="B56" s="10" t="str">
        <f>CONCATENATE("          ","6309", " - ","TELEPHONE")</f>
        <v xml:space="preserve">          6309 - TELEPHONE</v>
      </c>
      <c r="C56" s="14"/>
      <c r="D56" s="2">
        <v>448.1</v>
      </c>
      <c r="E56" s="2">
        <v>400</v>
      </c>
      <c r="F56" s="2">
        <v>400</v>
      </c>
      <c r="G56" s="2">
        <v>400</v>
      </c>
      <c r="H56" s="2">
        <v>400</v>
      </c>
      <c r="I56" s="2">
        <v>400</v>
      </c>
      <c r="J56" s="2">
        <v>400</v>
      </c>
      <c r="K56" s="2">
        <v>400</v>
      </c>
      <c r="L56" s="2">
        <v>400</v>
      </c>
      <c r="M56" s="2">
        <v>400</v>
      </c>
      <c r="N56" s="2">
        <v>400</v>
      </c>
      <c r="O56" s="2">
        <v>400</v>
      </c>
      <c r="P56" s="9"/>
      <c r="Q56" s="2">
        <f>SUM(OSRRefD21_9_0x)+IFERROR(SUM(OSRRefE21_9_0x),0)</f>
        <v>4848.1000000000004</v>
      </c>
    </row>
    <row r="57" spans="1:17" s="34" customFormat="1" collapsed="1" x14ac:dyDescent="0.3">
      <c r="A57" s="35"/>
      <c r="B57" s="14" t="str">
        <f>CONCATENATE("     ","Training                                          ")</f>
        <v xml:space="preserve">     Training                                          </v>
      </c>
      <c r="C57" s="14"/>
      <c r="D57" s="1">
        <f>SUM(OSRRefD21_10x_0)</f>
        <v>0</v>
      </c>
      <c r="E57" s="1">
        <f>SUM(OSRRefE21_10x_0)</f>
        <v>0</v>
      </c>
      <c r="F57" s="1">
        <f>SUM(OSRRefE21_10x_1)</f>
        <v>0</v>
      </c>
      <c r="G57" s="1">
        <f>SUM(OSRRefE21_10x_2)</f>
        <v>0</v>
      </c>
      <c r="H57" s="1">
        <f>SUM(OSRRefE21_10x_3)</f>
        <v>0</v>
      </c>
      <c r="I57" s="1">
        <f>SUM(OSRRefE21_10x_4)</f>
        <v>0</v>
      </c>
      <c r="J57" s="1">
        <f>SUM(OSRRefE21_10x_5)</f>
        <v>3000</v>
      </c>
      <c r="K57" s="1">
        <f>SUM(OSRRefE21_10x_6)</f>
        <v>0</v>
      </c>
      <c r="L57" s="1">
        <f>SUM(OSRRefE21_10x_7)</f>
        <v>0</v>
      </c>
      <c r="M57" s="1">
        <f>SUM(OSRRefE21_10x_8)</f>
        <v>0</v>
      </c>
      <c r="N57" s="1">
        <f>SUM(OSRRefE21_10x_9)</f>
        <v>0</v>
      </c>
      <c r="O57" s="1">
        <f>SUM(OSRRefE21_10x_10)</f>
        <v>0</v>
      </c>
      <c r="Q57" s="2">
        <f>SUM(OSRRefD20_10x)+IFERROR(SUM(OSRRefE20_10x),0)</f>
        <v>3000</v>
      </c>
    </row>
    <row r="58" spans="1:17" s="34" customFormat="1" hidden="1" outlineLevel="1" x14ac:dyDescent="0.3">
      <c r="A58" s="35"/>
      <c r="B58" s="10" t="str">
        <f>CONCATENATE("          ","6376", " - ","TRAINING")</f>
        <v xml:space="preserve">          6376 - TRAINING</v>
      </c>
      <c r="C58" s="14"/>
      <c r="D58" s="2"/>
      <c r="E58" s="2"/>
      <c r="F58" s="2"/>
      <c r="G58" s="2"/>
      <c r="H58" s="2">
        <v>0</v>
      </c>
      <c r="I58" s="2">
        <v>0</v>
      </c>
      <c r="J58" s="2">
        <v>3000</v>
      </c>
      <c r="K58" s="2"/>
      <c r="L58" s="2"/>
      <c r="M58" s="2"/>
      <c r="N58" s="2"/>
      <c r="O58" s="2"/>
      <c r="P58" s="9"/>
      <c r="Q58" s="2">
        <f>SUM(OSRRefD21_10_0x)+IFERROR(SUM(OSRRefE21_10_0x),0)</f>
        <v>3000</v>
      </c>
    </row>
    <row r="59" spans="1:17" s="34" customFormat="1" collapsed="1" x14ac:dyDescent="0.3">
      <c r="A59" s="35"/>
      <c r="B59" s="14" t="str">
        <f>CONCATENATE("     ","Travel                                            ")</f>
        <v xml:space="preserve">     Travel                                            </v>
      </c>
      <c r="C59" s="14"/>
      <c r="D59" s="1">
        <f>SUM(OSRRefD21_11x_0)</f>
        <v>17.100000000000001</v>
      </c>
      <c r="E59" s="1">
        <f>SUM(OSRRefE21_11x_0)</f>
        <v>0</v>
      </c>
      <c r="F59" s="1">
        <f>SUM(OSRRefE21_11x_1)</f>
        <v>0</v>
      </c>
      <c r="G59" s="1">
        <f>SUM(OSRRefE21_11x_2)</f>
        <v>0</v>
      </c>
      <c r="H59" s="1">
        <f>SUM(OSRRefE21_11x_3)</f>
        <v>0</v>
      </c>
      <c r="I59" s="1">
        <f>SUM(OSRRefE21_11x_4)</f>
        <v>0</v>
      </c>
      <c r="J59" s="1">
        <f>SUM(OSRRefE21_11x_5)</f>
        <v>0</v>
      </c>
      <c r="K59" s="1">
        <f>SUM(OSRRefE21_11x_6)</f>
        <v>0</v>
      </c>
      <c r="L59" s="1">
        <f>SUM(OSRRefE21_11x_7)</f>
        <v>0</v>
      </c>
      <c r="M59" s="1">
        <f>SUM(OSRRefE21_11x_8)</f>
        <v>0</v>
      </c>
      <c r="N59" s="1">
        <f>SUM(OSRRefE21_11x_9)</f>
        <v>0</v>
      </c>
      <c r="O59" s="1">
        <f>SUM(OSRRefE21_11x_10)</f>
        <v>0</v>
      </c>
      <c r="Q59" s="2">
        <f>SUM(OSRRefD20_11x)+IFERROR(SUM(OSRRefE20_11x),0)</f>
        <v>17.100000000000001</v>
      </c>
    </row>
    <row r="60" spans="1:17" s="34" customFormat="1" hidden="1" outlineLevel="1" x14ac:dyDescent="0.3">
      <c r="A60" s="35"/>
      <c r="B60" s="10" t="str">
        <f>CONCATENATE("          ","6294", " - ","TRAVEL OPERATIONAL")</f>
        <v xml:space="preserve">          6294 - TRAVEL OPERATIONAL</v>
      </c>
      <c r="C60" s="14"/>
      <c r="D60" s="2">
        <v>17.100000000000001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2">
        <f>SUM(OSRRefD21_11_0x)+IFERROR(SUM(OSRRefE21_11_0x),0)</f>
        <v>17.100000000000001</v>
      </c>
    </row>
    <row r="61" spans="1:17" s="28" customFormat="1" x14ac:dyDescent="0.3">
      <c r="A61" s="21"/>
      <c r="B61" s="21"/>
      <c r="C61" s="2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1"/>
    </row>
    <row r="62" spans="1:17" s="9" customFormat="1" x14ac:dyDescent="0.3">
      <c r="A62" s="22"/>
      <c r="B62" s="16" t="s">
        <v>293</v>
      </c>
      <c r="C62" s="23"/>
      <c r="D62" s="3">
        <f>0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2">
        <f>SUM(OSRRefD23_0x)+IFERROR(SUM(OSRRefE23_0x),0)</f>
        <v>0</v>
      </c>
    </row>
    <row r="63" spans="1:17" x14ac:dyDescent="0.3">
      <c r="A63" s="5"/>
      <c r="B63" s="6"/>
      <c r="C63" s="6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</row>
    <row r="64" spans="1:17" s="15" customFormat="1" x14ac:dyDescent="0.3">
      <c r="A64" s="6"/>
      <c r="B64" s="17" t="s">
        <v>276</v>
      </c>
      <c r="C64" s="17"/>
      <c r="D64" s="8">
        <f t="shared" ref="D64:O64" si="4">IFERROR(+D14-D17+D62, 0)</f>
        <v>-41601.359999999993</v>
      </c>
      <c r="E64" s="8">
        <f t="shared" si="4"/>
        <v>-35627.261144307675</v>
      </c>
      <c r="F64" s="8">
        <f t="shared" si="4"/>
        <v>-37946.109144307673</v>
      </c>
      <c r="G64" s="8">
        <f t="shared" si="4"/>
        <v>-44910.636430384591</v>
      </c>
      <c r="H64" s="8">
        <f t="shared" si="4"/>
        <v>-37946.109144307673</v>
      </c>
      <c r="I64" s="8">
        <f t="shared" si="4"/>
        <v>-37946.109144307673</v>
      </c>
      <c r="J64" s="8">
        <f t="shared" si="4"/>
        <v>-52613.535630384591</v>
      </c>
      <c r="K64" s="8">
        <f t="shared" si="4"/>
        <v>-49108.428504307667</v>
      </c>
      <c r="L64" s="8">
        <f t="shared" si="4"/>
        <v>-54549.428504307667</v>
      </c>
      <c r="M64" s="8">
        <f t="shared" si="4"/>
        <v>-44054.535630384591</v>
      </c>
      <c r="N64" s="8">
        <f t="shared" si="4"/>
        <v>-36641.142056307675</v>
      </c>
      <c r="O64" s="8">
        <f t="shared" si="4"/>
        <v>-36732.855608307669</v>
      </c>
      <c r="Q64" s="8">
        <f>IFERROR(+Q14-Q17+Q62, 0)</f>
        <v>-509677.51094161515</v>
      </c>
    </row>
    <row r="65" spans="1:17" s="6" customFormat="1" x14ac:dyDescent="0.3">
      <c r="B65" s="16"/>
      <c r="C65" s="16"/>
      <c r="D65" s="4">
        <f t="shared" ref="D65:O65" si="5">IFERROR(D64/D10, 0)</f>
        <v>0</v>
      </c>
      <c r="E65" s="4">
        <f t="shared" si="5"/>
        <v>0</v>
      </c>
      <c r="F65" s="4">
        <f t="shared" si="5"/>
        <v>0</v>
      </c>
      <c r="G65" s="4">
        <f t="shared" si="5"/>
        <v>0</v>
      </c>
      <c r="H65" s="4">
        <f t="shared" si="5"/>
        <v>0</v>
      </c>
      <c r="I65" s="4">
        <f t="shared" si="5"/>
        <v>0</v>
      </c>
      <c r="J65" s="4">
        <f t="shared" si="5"/>
        <v>0</v>
      </c>
      <c r="K65" s="4">
        <f t="shared" si="5"/>
        <v>0</v>
      </c>
      <c r="L65" s="4">
        <f t="shared" si="5"/>
        <v>0</v>
      </c>
      <c r="M65" s="4">
        <f t="shared" si="5"/>
        <v>0</v>
      </c>
      <c r="N65" s="4">
        <f t="shared" si="5"/>
        <v>0</v>
      </c>
      <c r="O65" s="4">
        <f t="shared" si="5"/>
        <v>0</v>
      </c>
      <c r="P65" s="18"/>
      <c r="Q65" s="4">
        <f>IFERROR(Q64/Q10, 0)</f>
        <v>0</v>
      </c>
    </row>
    <row r="66" spans="1:17" x14ac:dyDescent="0.3">
      <c r="A66" s="5"/>
      <c r="B66" s="6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</row>
    <row r="67" spans="1:17" s="15" customFormat="1" x14ac:dyDescent="0.3">
      <c r="A67" s="25"/>
      <c r="B67" s="6" t="s">
        <v>125</v>
      </c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">
        <f>SUM(OSRRefD28_0x)+IFERROR(SUM(OSRRefE28_0x),0)</f>
        <v>0</v>
      </c>
    </row>
    <row r="68" spans="1:17" x14ac:dyDescent="0.3">
      <c r="A68" s="5"/>
      <c r="B68" s="6"/>
      <c r="C68" s="6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</row>
    <row r="69" spans="1:17" s="15" customFormat="1" ht="15" thickBot="1" x14ac:dyDescent="0.35">
      <c r="A69" s="6"/>
      <c r="B69" s="17" t="s">
        <v>124</v>
      </c>
      <c r="C69" s="17"/>
      <c r="D69" s="7">
        <f t="shared" ref="D69:O69" si="6">IFERROR(+D64-D67, 0)</f>
        <v>-41601.359999999993</v>
      </c>
      <c r="E69" s="7">
        <f t="shared" si="6"/>
        <v>-35627.261144307675</v>
      </c>
      <c r="F69" s="7">
        <f t="shared" si="6"/>
        <v>-37946.109144307673</v>
      </c>
      <c r="G69" s="7">
        <f t="shared" si="6"/>
        <v>-44910.636430384591</v>
      </c>
      <c r="H69" s="7">
        <f t="shared" si="6"/>
        <v>-37946.109144307673</v>
      </c>
      <c r="I69" s="7">
        <f t="shared" si="6"/>
        <v>-37946.109144307673</v>
      </c>
      <c r="J69" s="7">
        <f t="shared" si="6"/>
        <v>-52613.535630384591</v>
      </c>
      <c r="K69" s="7">
        <f t="shared" si="6"/>
        <v>-49108.428504307667</v>
      </c>
      <c r="L69" s="7">
        <f t="shared" si="6"/>
        <v>-54549.428504307667</v>
      </c>
      <c r="M69" s="7">
        <f t="shared" si="6"/>
        <v>-44054.535630384591</v>
      </c>
      <c r="N69" s="7">
        <f t="shared" si="6"/>
        <v>-36641.142056307675</v>
      </c>
      <c r="O69" s="7">
        <f t="shared" si="6"/>
        <v>-36732.855608307669</v>
      </c>
      <c r="Q69" s="7">
        <f>IFERROR(+Q64-Q67, 0)</f>
        <v>-509677.51094161515</v>
      </c>
    </row>
    <row r="70" spans="1:17" ht="15" thickTop="1" x14ac:dyDescent="0.3">
      <c r="A70" s="5"/>
      <c r="B70" s="5"/>
      <c r="C70" s="5"/>
      <c r="D70" s="4">
        <f t="shared" ref="D70:O70" si="7">IFERROR(D69/D10, 0)</f>
        <v>0</v>
      </c>
      <c r="E70" s="4">
        <f t="shared" si="7"/>
        <v>0</v>
      </c>
      <c r="F70" s="4">
        <f t="shared" si="7"/>
        <v>0</v>
      </c>
      <c r="G70" s="4">
        <f t="shared" si="7"/>
        <v>0</v>
      </c>
      <c r="H70" s="4">
        <f t="shared" si="7"/>
        <v>0</v>
      </c>
      <c r="I70" s="4">
        <f t="shared" si="7"/>
        <v>0</v>
      </c>
      <c r="J70" s="4">
        <f t="shared" si="7"/>
        <v>0</v>
      </c>
      <c r="K70" s="4">
        <f t="shared" si="7"/>
        <v>0</v>
      </c>
      <c r="L70" s="4">
        <f t="shared" si="7"/>
        <v>0</v>
      </c>
      <c r="M70" s="4">
        <f t="shared" si="7"/>
        <v>0</v>
      </c>
      <c r="N70" s="4">
        <f t="shared" si="7"/>
        <v>0</v>
      </c>
      <c r="O70" s="4">
        <f t="shared" si="7"/>
        <v>0</v>
      </c>
      <c r="P70" s="18"/>
      <c r="Q70" s="4">
        <f>IFERROR(Q69/Q10, 0)</f>
        <v>0</v>
      </c>
    </row>
    <row r="71" spans="1:17" x14ac:dyDescent="0.3">
      <c r="A71" s="5"/>
      <c r="B71" s="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</row>
    <row r="72" spans="1:17" x14ac:dyDescent="0.3">
      <c r="A72" s="5"/>
      <c r="B72" s="5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ht="15" thickBot="1" x14ac:dyDescent="0.35">
      <c r="A73" s="6"/>
      <c r="B73" s="17" t="s">
        <v>294</v>
      </c>
      <c r="C73" s="17"/>
      <c r="D73" s="7">
        <f t="shared" ref="D73:O73" si="8">IFERROR(SUM(D69:D72), 0)</f>
        <v>-41601.359999999993</v>
      </c>
      <c r="E73" s="7">
        <f t="shared" si="8"/>
        <v>-35627.261144307675</v>
      </c>
      <c r="F73" s="7">
        <f t="shared" si="8"/>
        <v>-37946.109144307673</v>
      </c>
      <c r="G73" s="7">
        <f t="shared" si="8"/>
        <v>-44910.636430384591</v>
      </c>
      <c r="H73" s="7">
        <f t="shared" si="8"/>
        <v>-37946.109144307673</v>
      </c>
      <c r="I73" s="7">
        <f t="shared" si="8"/>
        <v>-37946.109144307673</v>
      </c>
      <c r="J73" s="7">
        <f t="shared" si="8"/>
        <v>-52613.535630384591</v>
      </c>
      <c r="K73" s="7">
        <f t="shared" si="8"/>
        <v>-49108.428504307667</v>
      </c>
      <c r="L73" s="7">
        <f t="shared" si="8"/>
        <v>-54549.428504307667</v>
      </c>
      <c r="M73" s="7">
        <f t="shared" si="8"/>
        <v>-44054.535630384591</v>
      </c>
      <c r="N73" s="7">
        <f t="shared" si="8"/>
        <v>-36641.142056307675</v>
      </c>
      <c r="O73" s="7">
        <f t="shared" si="8"/>
        <v>-36732.855608307669</v>
      </c>
      <c r="Q73" s="7">
        <f>IFERROR(SUM(Q69:Q72), 0)</f>
        <v>-509677.51094161515</v>
      </c>
    </row>
    <row r="74" spans="1:17" ht="15" thickTop="1" x14ac:dyDescent="0.3">
      <c r="A74" s="5"/>
      <c r="C74" s="5"/>
      <c r="D74" s="4">
        <f t="shared" ref="D74:O74" si="9">IFERROR(D73/D10, 0)</f>
        <v>0</v>
      </c>
      <c r="E74" s="4">
        <f t="shared" si="9"/>
        <v>0</v>
      </c>
      <c r="F74" s="4">
        <f t="shared" si="9"/>
        <v>0</v>
      </c>
      <c r="G74" s="4">
        <f t="shared" si="9"/>
        <v>0</v>
      </c>
      <c r="H74" s="4">
        <f t="shared" si="9"/>
        <v>0</v>
      </c>
      <c r="I74" s="4">
        <f t="shared" si="9"/>
        <v>0</v>
      </c>
      <c r="J74" s="4">
        <f t="shared" si="9"/>
        <v>0</v>
      </c>
      <c r="K74" s="4">
        <f t="shared" si="9"/>
        <v>0</v>
      </c>
      <c r="L74" s="4">
        <f t="shared" si="9"/>
        <v>0</v>
      </c>
      <c r="M74" s="4">
        <f t="shared" si="9"/>
        <v>0</v>
      </c>
      <c r="N74" s="4">
        <f t="shared" si="9"/>
        <v>0</v>
      </c>
      <c r="O74" s="4">
        <f t="shared" si="9"/>
        <v>0</v>
      </c>
      <c r="P74" s="18"/>
      <c r="Q74" s="4">
        <f>IFERROR(Q73/Q10, 0)</f>
        <v>0</v>
      </c>
    </row>
    <row r="75" spans="1:17" x14ac:dyDescent="0.3">
      <c r="A75" s="5"/>
      <c r="B75" s="30">
        <v>44462.678423958336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 s="11"/>
    </row>
    <row r="76" spans="1:17" x14ac:dyDescent="0.3">
      <c r="A76" s="5"/>
      <c r="B76" s="31" t="s">
        <v>54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Q76" s="11"/>
    </row>
    <row r="77" spans="1:17" x14ac:dyDescent="0.3">
      <c r="A77" s="5"/>
      <c r="B77" s="2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Q77" s="11"/>
    </row>
    <row r="78" spans="1:17" x14ac:dyDescent="0.3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  <outlinePr summaryBelow="0" summaryRight="0"/>
    <pageSetUpPr fitToPage="1"/>
  </sheetPr>
  <dimension ref="A2:R8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","203", " - ", "Human Resources")</f>
        <v>Department 203 - Human Resources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58630.380000000005</v>
      </c>
      <c r="E17" s="13">
        <f>SUM(OSRRefE20x_0)</f>
        <v>46349.26516968615</v>
      </c>
      <c r="F17" s="13">
        <f>SUM(OSRRefE20x_1)</f>
        <v>46349.26516968615</v>
      </c>
      <c r="G17" s="13">
        <f>SUM(OSRRefE20x_2)</f>
        <v>55242.831462107686</v>
      </c>
      <c r="H17" s="13">
        <f>SUM(OSRRefE20x_3)</f>
        <v>47154.26516968615</v>
      </c>
      <c r="I17" s="13">
        <f>SUM(OSRRefE20x_4)</f>
        <v>46434.26516968615</v>
      </c>
      <c r="J17" s="13">
        <f>SUM(OSRRefE20x_5)</f>
        <v>54327.831462107686</v>
      </c>
      <c r="K17" s="13">
        <f>SUM(OSRRefE20x_6)</f>
        <v>46434.26516968615</v>
      </c>
      <c r="L17" s="13">
        <f>SUM(OSRRefE20x_7)</f>
        <v>46434.26516968615</v>
      </c>
      <c r="M17" s="13">
        <f>SUM(OSRRefE20x_8)</f>
        <v>54327.831462107686</v>
      </c>
      <c r="N17" s="13">
        <f>SUM(OSRRefE20x_9)</f>
        <v>58934.26516968615</v>
      </c>
      <c r="O17" s="13">
        <f>SUM(OSRRefE20x_10)</f>
        <v>46434.26516968615</v>
      </c>
      <c r="Q17" s="13">
        <f>SUM(OSRRefG20x)</f>
        <v>607052.99574381241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13418.699999999999</v>
      </c>
      <c r="E18" s="1">
        <f>SUM(OSRRefE21_0x_0)</f>
        <v>11218.47940968615</v>
      </c>
      <c r="F18" s="1">
        <f>SUM(OSRRefE21_0x_1)</f>
        <v>11218.47940968615</v>
      </c>
      <c r="G18" s="1">
        <f>SUM(OSRRefE21_0x_2)</f>
        <v>13249.599262107689</v>
      </c>
      <c r="H18" s="1">
        <f>SUM(OSRRefE21_0x_3)</f>
        <v>11218.47940968615</v>
      </c>
      <c r="I18" s="1">
        <f>SUM(OSRRefE21_0x_4)</f>
        <v>11218.47940968615</v>
      </c>
      <c r="J18" s="1">
        <f>SUM(OSRRefE21_0x_5)</f>
        <v>13249.599262107689</v>
      </c>
      <c r="K18" s="1">
        <f>SUM(OSRRefE21_0x_6)</f>
        <v>11218.47940968615</v>
      </c>
      <c r="L18" s="1">
        <f>SUM(OSRRefE21_0x_7)</f>
        <v>11218.47940968615</v>
      </c>
      <c r="M18" s="1">
        <f>SUM(OSRRefE21_0x_8)</f>
        <v>13249.599262107689</v>
      </c>
      <c r="N18" s="1">
        <f>SUM(OSRRefE21_0x_9)</f>
        <v>11218.47940968615</v>
      </c>
      <c r="O18" s="1">
        <f>SUM(OSRRefE21_0x_10)</f>
        <v>11214.47940968615</v>
      </c>
      <c r="Q18" s="2">
        <f>SUM(OSRRefD20_0x)+IFERROR(SUM(OSRRefE20_0x),0)</f>
        <v>142911.33306381226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2117.13</v>
      </c>
      <c r="E19" s="2">
        <v>1560.2483342400001</v>
      </c>
      <c r="F19" s="2">
        <v>1560.2483342400001</v>
      </c>
      <c r="G19" s="2">
        <v>1950.3104178000001</v>
      </c>
      <c r="H19" s="2">
        <v>1560.2483342400001</v>
      </c>
      <c r="I19" s="2">
        <v>1560.2483342400001</v>
      </c>
      <c r="J19" s="2">
        <v>1950.3104178000001</v>
      </c>
      <c r="K19" s="2">
        <v>1560.2483342400001</v>
      </c>
      <c r="L19" s="2">
        <v>1560.2483342400001</v>
      </c>
      <c r="M19" s="2">
        <v>1950.3104178000001</v>
      </c>
      <c r="N19" s="2">
        <v>1560.2483342400001</v>
      </c>
      <c r="O19" s="2">
        <v>1560.2483342400001</v>
      </c>
      <c r="P19" s="9"/>
      <c r="Q19" s="2">
        <f>SUM(OSRRefD21_0_0x)+IFERROR(SUM(OSRRefE21_0_0x),0)</f>
        <v>20450.047927320004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355.88</v>
      </c>
      <c r="E20" s="2">
        <v>81.800964800000003</v>
      </c>
      <c r="F20" s="2">
        <v>81.800964800000003</v>
      </c>
      <c r="G20" s="2">
        <v>102.251206</v>
      </c>
      <c r="H20" s="2">
        <v>81.800964800000003</v>
      </c>
      <c r="I20" s="2">
        <v>81.800964800000003</v>
      </c>
      <c r="J20" s="2">
        <v>102.251206</v>
      </c>
      <c r="K20" s="2">
        <v>81.800964800000003</v>
      </c>
      <c r="L20" s="2">
        <v>81.800964800000003</v>
      </c>
      <c r="M20" s="2">
        <v>102.251206</v>
      </c>
      <c r="N20" s="2">
        <v>81.800964800000003</v>
      </c>
      <c r="O20" s="2">
        <v>81.800964800000003</v>
      </c>
      <c r="P20" s="9"/>
      <c r="Q20" s="2">
        <f>SUM(OSRRefD21_0_1x)+IFERROR(SUM(OSRRefE21_0_1x),0)</f>
        <v>1317.0413363999999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6048.94</v>
      </c>
      <c r="E21" s="2">
        <v>6238.8461538461497</v>
      </c>
      <c r="F21" s="2">
        <v>6238.8461538461497</v>
      </c>
      <c r="G21" s="2">
        <v>7304.3076923076896</v>
      </c>
      <c r="H21" s="2">
        <v>6238.8461538461497</v>
      </c>
      <c r="I21" s="2">
        <v>6238.8461538461497</v>
      </c>
      <c r="J21" s="2">
        <v>7304.3076923076896</v>
      </c>
      <c r="K21" s="2">
        <v>6238.8461538461497</v>
      </c>
      <c r="L21" s="2">
        <v>6238.8461538461497</v>
      </c>
      <c r="M21" s="2">
        <v>7304.3076923076896</v>
      </c>
      <c r="N21" s="2">
        <v>6238.8461538461497</v>
      </c>
      <c r="O21" s="2">
        <v>6238.8461538461497</v>
      </c>
      <c r="P21" s="9"/>
      <c r="Q21" s="2">
        <f>SUM(OSRRefD21_0_2x)+IFERROR(SUM(OSRRefE21_0_2x),0)</f>
        <v>77872.632307692271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71.73</v>
      </c>
      <c r="E22" s="2">
        <v>55.413556800000002</v>
      </c>
      <c r="F22" s="2">
        <v>55.413556800000002</v>
      </c>
      <c r="G22" s="2">
        <v>69.266946000000004</v>
      </c>
      <c r="H22" s="2">
        <v>55.413556800000002</v>
      </c>
      <c r="I22" s="2">
        <v>55.413556800000002</v>
      </c>
      <c r="J22" s="2">
        <v>69.266946000000004</v>
      </c>
      <c r="K22" s="2">
        <v>55.413556800000002</v>
      </c>
      <c r="L22" s="2">
        <v>55.413556800000002</v>
      </c>
      <c r="M22" s="2">
        <v>69.266946000000004</v>
      </c>
      <c r="N22" s="2">
        <v>55.413556800000002</v>
      </c>
      <c r="O22" s="2">
        <v>55.413556800000002</v>
      </c>
      <c r="P22" s="9"/>
      <c r="Q22" s="2">
        <f>SUM(OSRRefD21_0_3x)+IFERROR(SUM(OSRRefE21_0_3x),0)</f>
        <v>722.83929240000009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1238.02</v>
      </c>
      <c r="E23" s="2">
        <v>885.8</v>
      </c>
      <c r="F23" s="2">
        <v>885.8</v>
      </c>
      <c r="G23" s="2">
        <v>1107.25</v>
      </c>
      <c r="H23" s="2">
        <v>885.8</v>
      </c>
      <c r="I23" s="2">
        <v>885.8</v>
      </c>
      <c r="J23" s="2">
        <v>1107.25</v>
      </c>
      <c r="K23" s="2">
        <v>885.8</v>
      </c>
      <c r="L23" s="2">
        <v>885.8</v>
      </c>
      <c r="M23" s="2">
        <v>1107.25</v>
      </c>
      <c r="N23" s="2">
        <v>885.8</v>
      </c>
      <c r="O23" s="2">
        <v>885.8</v>
      </c>
      <c r="P23" s="9"/>
      <c r="Q23" s="2">
        <f>SUM(OSRRefD21_0_4x)+IFERROR(SUM(OSRRefE21_0_4x),0)</f>
        <v>11646.169999999998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417</v>
      </c>
      <c r="F24" s="2">
        <v>417</v>
      </c>
      <c r="G24" s="2">
        <v>417</v>
      </c>
      <c r="H24" s="2">
        <v>417</v>
      </c>
      <c r="I24" s="2">
        <v>417</v>
      </c>
      <c r="J24" s="2">
        <v>417</v>
      </c>
      <c r="K24" s="2">
        <v>417</v>
      </c>
      <c r="L24" s="2">
        <v>417</v>
      </c>
      <c r="M24" s="2">
        <v>417</v>
      </c>
      <c r="N24" s="2">
        <v>417</v>
      </c>
      <c r="O24" s="2">
        <v>413</v>
      </c>
      <c r="P24" s="9"/>
      <c r="Q24" s="2">
        <f>SUM(OSRRefD21_0_5x)+IFERROR(SUM(OSRRefE21_0_5x),0)</f>
        <v>4583</v>
      </c>
    </row>
    <row r="25" spans="1:17" s="34" customFormat="1" hidden="1" outlineLevel="1" x14ac:dyDescent="0.3">
      <c r="A25" s="35"/>
      <c r="B25" s="10" t="str">
        <f>CONCATENATE("          ","6117", " - ","RETIREMENT STAFF HOURLY")</f>
        <v xml:space="preserve">          6117 - RETIREMENT STAFF HOURLY</v>
      </c>
      <c r="C25" s="14"/>
      <c r="D25" s="2">
        <v>603.48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2">
        <f>SUM(OSRRefD21_0_6x)+IFERROR(SUM(OSRRefE21_0_6x),0)</f>
        <v>603.48</v>
      </c>
    </row>
    <row r="26" spans="1:17" s="34" customFormat="1" hidden="1" outlineLevel="1" x14ac:dyDescent="0.3">
      <c r="A26" s="35"/>
      <c r="B26" s="10" t="str">
        <f>CONCATENATE("          ","6118", " - ","VACATION")</f>
        <v xml:space="preserve">          6118 - VACATION</v>
      </c>
      <c r="C26" s="14"/>
      <c r="D26" s="2">
        <v>1769.48</v>
      </c>
      <c r="E26" s="2">
        <v>731.62224000000003</v>
      </c>
      <c r="F26" s="2">
        <v>731.62224000000003</v>
      </c>
      <c r="G26" s="2">
        <v>914.52779999999996</v>
      </c>
      <c r="H26" s="2">
        <v>731.62224000000003</v>
      </c>
      <c r="I26" s="2">
        <v>731.62224000000003</v>
      </c>
      <c r="J26" s="2">
        <v>914.52779999999996</v>
      </c>
      <c r="K26" s="2">
        <v>731.62224000000003</v>
      </c>
      <c r="L26" s="2">
        <v>731.62224000000003</v>
      </c>
      <c r="M26" s="2">
        <v>914.52779999999996</v>
      </c>
      <c r="N26" s="2">
        <v>731.62224000000003</v>
      </c>
      <c r="O26" s="2">
        <v>731.62224000000003</v>
      </c>
      <c r="P26" s="9"/>
      <c r="Q26" s="2">
        <f>SUM(OSRRefD21_0_7x)+IFERROR(SUM(OSRRefE21_0_7x),0)</f>
        <v>10366.041319999998</v>
      </c>
    </row>
    <row r="27" spans="1:17" s="34" customFormat="1" hidden="1" outlineLevel="1" x14ac:dyDescent="0.3">
      <c r="A27" s="35"/>
      <c r="B27" s="10" t="str">
        <f>CONCATENATE("          ","6119", " - ","SICK LEAVE")</f>
        <v xml:space="preserve">          6119 - SICK LEAVE</v>
      </c>
      <c r="C27" s="14"/>
      <c r="D27" s="2">
        <v>1161.08</v>
      </c>
      <c r="E27" s="2">
        <v>547.74815999999998</v>
      </c>
      <c r="F27" s="2">
        <v>547.74815999999998</v>
      </c>
      <c r="G27" s="2">
        <v>684.68520000000001</v>
      </c>
      <c r="H27" s="2">
        <v>547.74815999999998</v>
      </c>
      <c r="I27" s="2">
        <v>547.74815999999998</v>
      </c>
      <c r="J27" s="2">
        <v>684.68520000000001</v>
      </c>
      <c r="K27" s="2">
        <v>547.74815999999998</v>
      </c>
      <c r="L27" s="2">
        <v>547.74815999999998</v>
      </c>
      <c r="M27" s="2">
        <v>684.68520000000001</v>
      </c>
      <c r="N27" s="2">
        <v>547.74815999999998</v>
      </c>
      <c r="O27" s="2">
        <v>547.74815999999998</v>
      </c>
      <c r="P27" s="9"/>
      <c r="Q27" s="2">
        <f>SUM(OSRRefD21_0_8x)+IFERROR(SUM(OSRRefE21_0_8x),0)</f>
        <v>7597.1208800000004</v>
      </c>
    </row>
    <row r="28" spans="1:17" s="34" customFormat="1" hidden="1" outlineLevel="1" x14ac:dyDescent="0.3">
      <c r="A28" s="35"/>
      <c r="B28" s="10" t="str">
        <f>CONCATENATE("          ","6156", " - ","EMPLOYEE MEALS")</f>
        <v xml:space="preserve">          6156 - EMPLOYEE MEALS</v>
      </c>
      <c r="C28" s="14"/>
      <c r="D28" s="2">
        <v>52.96</v>
      </c>
      <c r="E28" s="2">
        <v>700</v>
      </c>
      <c r="F28" s="2">
        <v>700</v>
      </c>
      <c r="G28" s="2">
        <v>700</v>
      </c>
      <c r="H28" s="2">
        <v>700</v>
      </c>
      <c r="I28" s="2">
        <v>700</v>
      </c>
      <c r="J28" s="2">
        <v>700</v>
      </c>
      <c r="K28" s="2">
        <v>700</v>
      </c>
      <c r="L28" s="2">
        <v>700</v>
      </c>
      <c r="M28" s="2">
        <v>700</v>
      </c>
      <c r="N28" s="2">
        <v>700</v>
      </c>
      <c r="O28" s="2">
        <v>700</v>
      </c>
      <c r="P28" s="9"/>
      <c r="Q28" s="2">
        <f>SUM(OSRRefD21_0_9x)+IFERROR(SUM(OSRRefE21_0_9x),0)</f>
        <v>7752.96</v>
      </c>
    </row>
    <row r="29" spans="1:17" s="34" customFormat="1" collapsed="1" x14ac:dyDescent="0.3">
      <c r="A29" s="35"/>
      <c r="B29" s="14" t="str">
        <f>CONCATENATE("     ","*Payroll                                          ")</f>
        <v xml:space="preserve">     *Payroll                                          </v>
      </c>
      <c r="C29" s="14"/>
      <c r="D29" s="1">
        <f>SUM(OSRRefD21_1x_0)</f>
        <v>32156.34</v>
      </c>
      <c r="E29" s="1">
        <f>SUM(OSRRefE21_1x_0)</f>
        <v>23449.785759999999</v>
      </c>
      <c r="F29" s="1">
        <f>SUM(OSRRefE21_1x_1)</f>
        <v>23449.785759999999</v>
      </c>
      <c r="G29" s="1">
        <f>SUM(OSRRefE21_1x_2)</f>
        <v>29312.232199999999</v>
      </c>
      <c r="H29" s="1">
        <f>SUM(OSRRefE21_1x_3)</f>
        <v>23449.785759999999</v>
      </c>
      <c r="I29" s="1">
        <f>SUM(OSRRefE21_1x_4)</f>
        <v>23449.785759999999</v>
      </c>
      <c r="J29" s="1">
        <f>SUM(OSRRefE21_1x_5)</f>
        <v>29312.232199999999</v>
      </c>
      <c r="K29" s="1">
        <f>SUM(OSRRefE21_1x_6)</f>
        <v>23449.785759999999</v>
      </c>
      <c r="L29" s="1">
        <f>SUM(OSRRefE21_1x_7)</f>
        <v>23449.785759999999</v>
      </c>
      <c r="M29" s="1">
        <f>SUM(OSRRefE21_1x_8)</f>
        <v>29312.232199999999</v>
      </c>
      <c r="N29" s="1">
        <f>SUM(OSRRefE21_1x_9)</f>
        <v>23449.785759999999</v>
      </c>
      <c r="O29" s="1">
        <f>SUM(OSRRefE21_1x_10)</f>
        <v>23449.785759999999</v>
      </c>
      <c r="Q29" s="2">
        <f>SUM(OSRRefD20_1x)+IFERROR(SUM(OSRRefE20_1x),0)</f>
        <v>307691.32268000004</v>
      </c>
    </row>
    <row r="30" spans="1:17" s="34" customFormat="1" hidden="1" outlineLevel="1" x14ac:dyDescent="0.3">
      <c r="A30" s="35"/>
      <c r="B30" s="10" t="str">
        <f>CONCATENATE("          ","6001", " - ","ADMINISTRATIVE SALARIES")</f>
        <v xml:space="preserve">          6001 - ADMINISTRATIVE SALARIES</v>
      </c>
      <c r="C30" s="14"/>
      <c r="D30" s="2">
        <v>13086</v>
      </c>
      <c r="E30" s="2">
        <v>9785</v>
      </c>
      <c r="F30" s="2">
        <v>9785</v>
      </c>
      <c r="G30" s="2">
        <v>12231.25</v>
      </c>
      <c r="H30" s="2">
        <v>9785</v>
      </c>
      <c r="I30" s="2">
        <v>9785</v>
      </c>
      <c r="J30" s="2">
        <v>12231.25</v>
      </c>
      <c r="K30" s="2">
        <v>9785</v>
      </c>
      <c r="L30" s="2">
        <v>9785</v>
      </c>
      <c r="M30" s="2">
        <v>12231.25</v>
      </c>
      <c r="N30" s="2">
        <v>9785</v>
      </c>
      <c r="O30" s="2">
        <v>9785</v>
      </c>
      <c r="P30" s="9"/>
      <c r="Q30" s="2">
        <f>SUM(OSRRefD21_1_0x)+IFERROR(SUM(OSRRefE21_1_0x),0)</f>
        <v>128059.75</v>
      </c>
    </row>
    <row r="31" spans="1:17" s="34" customFormat="1" hidden="1" outlineLevel="1" x14ac:dyDescent="0.3">
      <c r="A31" s="35"/>
      <c r="B31" s="10" t="str">
        <f>CONCATENATE("          ","6002", " - ","STAFF SALARIES")</f>
        <v xml:space="preserve">          6002 - STAFF SALARIES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SUM(OSRRefD21_1_1x)+IFERROR(SUM(OSRRefE21_1_1x),0)</f>
        <v>0</v>
      </c>
    </row>
    <row r="32" spans="1:17" s="34" customFormat="1" hidden="1" outlineLevel="1" x14ac:dyDescent="0.3">
      <c r="A32" s="35"/>
      <c r="B32" s="10" t="str">
        <f>CONCATENATE("          ","6003", " - ","STAFF HOURLY-9 MONTH")</f>
        <v xml:space="preserve">          6003 - STAFF HOURLY-9 MONTH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SUM(OSRRefD21_1_2x)+IFERROR(SUM(OSRRefE21_1_2x),0)</f>
        <v>0</v>
      </c>
    </row>
    <row r="33" spans="1:17" s="34" customFormat="1" hidden="1" outlineLevel="1" x14ac:dyDescent="0.3">
      <c r="A33" s="35"/>
      <c r="B33" s="10" t="str">
        <f>CONCATENATE("          ","6004", " - ","STAFF HOURLY")</f>
        <v xml:space="preserve">          6004 - STAFF HOURLY</v>
      </c>
      <c r="C33" s="14"/>
      <c r="D33" s="2">
        <v>13206.34</v>
      </c>
      <c r="E33" s="2">
        <v>9784.7857600000007</v>
      </c>
      <c r="F33" s="2">
        <v>9784.7857600000007</v>
      </c>
      <c r="G33" s="2">
        <v>12230.9822</v>
      </c>
      <c r="H33" s="2">
        <v>9784.7857600000007</v>
      </c>
      <c r="I33" s="2">
        <v>9784.7857600000007</v>
      </c>
      <c r="J33" s="2">
        <v>12230.9822</v>
      </c>
      <c r="K33" s="2">
        <v>9784.7857600000007</v>
      </c>
      <c r="L33" s="2">
        <v>9784.7857600000007</v>
      </c>
      <c r="M33" s="2">
        <v>12230.9822</v>
      </c>
      <c r="N33" s="2">
        <v>9784.7857600000007</v>
      </c>
      <c r="O33" s="2">
        <v>9784.7857600000007</v>
      </c>
      <c r="P33" s="9"/>
      <c r="Q33" s="2">
        <f>SUM(OSRRefD21_1_3x)+IFERROR(SUM(OSRRefE21_1_3x),0)</f>
        <v>128177.57268</v>
      </c>
    </row>
    <row r="34" spans="1:17" s="34" customFormat="1" hidden="1" outlineLevel="1" x14ac:dyDescent="0.3">
      <c r="A34" s="35"/>
      <c r="B34" s="10" t="str">
        <f>CONCATENATE("          ","6005", " - ","TEMPORARY WAGES-HOURLY")</f>
        <v xml:space="preserve">          6005 - TEMPORARY WAGES-HOURLY</v>
      </c>
      <c r="C34" s="14"/>
      <c r="D34" s="2">
        <v>2027</v>
      </c>
      <c r="E34" s="2">
        <v>3880</v>
      </c>
      <c r="F34" s="2">
        <v>3880</v>
      </c>
      <c r="G34" s="2">
        <v>4850</v>
      </c>
      <c r="H34" s="2">
        <v>3880</v>
      </c>
      <c r="I34" s="2">
        <v>3880</v>
      </c>
      <c r="J34" s="2">
        <v>4850</v>
      </c>
      <c r="K34" s="2">
        <v>3880</v>
      </c>
      <c r="L34" s="2">
        <v>3880</v>
      </c>
      <c r="M34" s="2">
        <v>4850</v>
      </c>
      <c r="N34" s="2">
        <v>3880</v>
      </c>
      <c r="O34" s="2">
        <v>3880</v>
      </c>
      <c r="P34" s="9"/>
      <c r="Q34" s="2">
        <f>SUM(OSRRefD21_1_4x)+IFERROR(SUM(OSRRefE21_1_4x),0)</f>
        <v>47617</v>
      </c>
    </row>
    <row r="35" spans="1:17" s="34" customFormat="1" hidden="1" outlineLevel="1" x14ac:dyDescent="0.3">
      <c r="A35" s="35"/>
      <c r="B35" s="10" t="str">
        <f>CONCATENATE("          ","6006", " - ","TEMPORARY PART TIME")</f>
        <v xml:space="preserve">          6006 - TEMPORARY PART TIME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SUM(OSRRefD21_1_5x)+IFERROR(SUM(OSRRefE21_1_5x),0)</f>
        <v>0</v>
      </c>
    </row>
    <row r="36" spans="1:17" s="34" customFormat="1" hidden="1" outlineLevel="1" x14ac:dyDescent="0.3">
      <c r="A36" s="35"/>
      <c r="B36" s="10" t="str">
        <f>CONCATENATE("          ","6007", " - ","STUDENT HOURLY")</f>
        <v xml:space="preserve">          6007 - STUDENT HOURLY</v>
      </c>
      <c r="C36" s="14"/>
      <c r="D36" s="2">
        <v>3837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SUM(OSRRefD21_1_6x)+IFERROR(SUM(OSRRefE21_1_6x),0)</f>
        <v>3837</v>
      </c>
    </row>
    <row r="37" spans="1:17" s="34" customFormat="1" hidden="1" outlineLevel="1" x14ac:dyDescent="0.3">
      <c r="A37" s="35"/>
      <c r="B37" s="10" t="str">
        <f>CONCATENATE("          ","6008", " - ","STUDENT HOURLY-FICA EXEMPT")</f>
        <v xml:space="preserve">          6008 - STUDENT HOURLY-FICA EXEMPT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SUM(OSRRefD21_1_7x)+IFERROR(SUM(OSRRefE21_1_7x),0)</f>
        <v>0</v>
      </c>
    </row>
    <row r="38" spans="1:17" s="34" customFormat="1" hidden="1" outlineLevel="1" x14ac:dyDescent="0.3">
      <c r="A38" s="35"/>
      <c r="B38" s="10" t="str">
        <f>CONCATENATE("          ","6009", " - ","TEMPORARY-SEASONAL")</f>
        <v xml:space="preserve">          6009 - TEMPORARY-SEASONAL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SUM(OSRRefD21_1_8x)+IFERROR(SUM(OSRRefE21_1_8x),0)</f>
        <v>0</v>
      </c>
    </row>
    <row r="39" spans="1:17" s="34" customFormat="1" hidden="1" outlineLevel="1" x14ac:dyDescent="0.3">
      <c r="A39" s="35"/>
      <c r="B39" s="10" t="str">
        <f>CONCATENATE("          ","6010", " - ","GRATUITY")</f>
        <v xml:space="preserve">          6010 - GRATUITY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SUM(OSRRefD21_1_9x)+IFERROR(SUM(OSRRefE21_1_9x),0)</f>
        <v>0</v>
      </c>
    </row>
    <row r="40" spans="1:17" s="34" customFormat="1" collapsed="1" x14ac:dyDescent="0.3">
      <c r="A40" s="35"/>
      <c r="B40" s="14" t="str">
        <f>CONCATENATE("     ","Advertising/Promo                                 ")</f>
        <v xml:space="preserve">     Advertising/Promo                                 </v>
      </c>
      <c r="C40" s="14"/>
      <c r="D40" s="1">
        <f>SUM(OSRRefD21_2x_0)</f>
        <v>0</v>
      </c>
      <c r="E40" s="1">
        <f>SUM(OSRRefE21_2x_0)</f>
        <v>150</v>
      </c>
      <c r="F40" s="1">
        <f>SUM(OSRRefE21_2x_1)</f>
        <v>150</v>
      </c>
      <c r="G40" s="1">
        <f>SUM(OSRRefE21_2x_2)</f>
        <v>150</v>
      </c>
      <c r="H40" s="1">
        <f>SUM(OSRRefE21_2x_3)</f>
        <v>150</v>
      </c>
      <c r="I40" s="1">
        <f>SUM(OSRRefE21_2x_4)</f>
        <v>150</v>
      </c>
      <c r="J40" s="1">
        <f>SUM(OSRRefE21_2x_5)</f>
        <v>150</v>
      </c>
      <c r="K40" s="1">
        <f>SUM(OSRRefE21_2x_6)</f>
        <v>150</v>
      </c>
      <c r="L40" s="1">
        <f>SUM(OSRRefE21_2x_7)</f>
        <v>150</v>
      </c>
      <c r="M40" s="1">
        <f>SUM(OSRRefE21_2x_8)</f>
        <v>150</v>
      </c>
      <c r="N40" s="1">
        <f>SUM(OSRRefE21_2x_9)</f>
        <v>150</v>
      </c>
      <c r="O40" s="1">
        <f>SUM(OSRRefE21_2x_10)</f>
        <v>150</v>
      </c>
      <c r="Q40" s="2">
        <f>SUM(OSRRefD20_2x)+IFERROR(SUM(OSRRefE20_2x),0)</f>
        <v>1650</v>
      </c>
    </row>
    <row r="41" spans="1:17" s="34" customFormat="1" hidden="1" outlineLevel="1" x14ac:dyDescent="0.3">
      <c r="A41" s="35"/>
      <c r="B41" s="10" t="str">
        <f>CONCATENATE("          ","6362", " - ","ADVERTISING EXPENSE")</f>
        <v xml:space="preserve">          6362 - ADVERTISING EXPENSE</v>
      </c>
      <c r="C41" s="14"/>
      <c r="D41" s="2"/>
      <c r="E41" s="2">
        <v>150</v>
      </c>
      <c r="F41" s="2">
        <v>150</v>
      </c>
      <c r="G41" s="2">
        <v>150</v>
      </c>
      <c r="H41" s="2">
        <v>150</v>
      </c>
      <c r="I41" s="2">
        <v>150</v>
      </c>
      <c r="J41" s="2">
        <v>150</v>
      </c>
      <c r="K41" s="2">
        <v>150</v>
      </c>
      <c r="L41" s="2">
        <v>150</v>
      </c>
      <c r="M41" s="2">
        <v>150</v>
      </c>
      <c r="N41" s="2">
        <v>150</v>
      </c>
      <c r="O41" s="2">
        <v>150</v>
      </c>
      <c r="P41" s="9"/>
      <c r="Q41" s="2">
        <f>SUM(OSRRefD21_2_0x)+IFERROR(SUM(OSRRefE21_2_0x),0)</f>
        <v>1650</v>
      </c>
    </row>
    <row r="42" spans="1:17" s="34" customFormat="1" collapsed="1" x14ac:dyDescent="0.3">
      <c r="A42" s="35"/>
      <c r="B42" s="14" t="str">
        <f>CONCATENATE("     ","Employees' Appreciation                           ")</f>
        <v xml:space="preserve">     Employees' Appreciation                           </v>
      </c>
      <c r="C42" s="14"/>
      <c r="D42" s="1">
        <f>SUM(OSRRefD21_3x_0)</f>
        <v>0</v>
      </c>
      <c r="E42" s="1">
        <f>SUM(OSRRefE21_3x_0)</f>
        <v>250</v>
      </c>
      <c r="F42" s="1">
        <f>SUM(OSRRefE21_3x_1)</f>
        <v>250</v>
      </c>
      <c r="G42" s="1">
        <f>SUM(OSRRefE21_3x_2)</f>
        <v>250</v>
      </c>
      <c r="H42" s="1">
        <f>SUM(OSRRefE21_3x_3)</f>
        <v>250</v>
      </c>
      <c r="I42" s="1">
        <f>SUM(OSRRefE21_3x_4)</f>
        <v>250</v>
      </c>
      <c r="J42" s="1">
        <f>SUM(OSRRefE21_3x_5)</f>
        <v>250</v>
      </c>
      <c r="K42" s="1">
        <f>SUM(OSRRefE21_3x_6)</f>
        <v>250</v>
      </c>
      <c r="L42" s="1">
        <f>SUM(OSRRefE21_3x_7)</f>
        <v>250</v>
      </c>
      <c r="M42" s="1">
        <f>SUM(OSRRefE21_3x_8)</f>
        <v>250</v>
      </c>
      <c r="N42" s="1">
        <f>SUM(OSRRefE21_3x_9)</f>
        <v>12750</v>
      </c>
      <c r="O42" s="1">
        <f>SUM(OSRRefE21_3x_10)</f>
        <v>250</v>
      </c>
      <c r="Q42" s="2">
        <f>SUM(OSRRefD20_3x)+IFERROR(SUM(OSRRefE20_3x),0)</f>
        <v>15250</v>
      </c>
    </row>
    <row r="43" spans="1:17" s="34" customFormat="1" hidden="1" outlineLevel="1" x14ac:dyDescent="0.3">
      <c r="A43" s="35"/>
      <c r="B43" s="10" t="str">
        <f>CONCATENATE("          ","6277", " - ","EMPLOYEE APPRECIATION")</f>
        <v xml:space="preserve">          6277 - EMPLOYEE APPRECIATION</v>
      </c>
      <c r="C43" s="14"/>
      <c r="D43" s="2"/>
      <c r="E43" s="2">
        <v>250</v>
      </c>
      <c r="F43" s="2">
        <v>250</v>
      </c>
      <c r="G43" s="2">
        <v>250</v>
      </c>
      <c r="H43" s="2">
        <v>250</v>
      </c>
      <c r="I43" s="2">
        <v>250</v>
      </c>
      <c r="J43" s="2">
        <v>250</v>
      </c>
      <c r="K43" s="2">
        <v>250</v>
      </c>
      <c r="L43" s="2">
        <v>250</v>
      </c>
      <c r="M43" s="2">
        <v>250</v>
      </c>
      <c r="N43" s="2">
        <v>12750</v>
      </c>
      <c r="O43" s="2">
        <v>250</v>
      </c>
      <c r="P43" s="9"/>
      <c r="Q43" s="2">
        <f>SUM(OSRRefD21_3_0x)+IFERROR(SUM(OSRRefE21_3_0x),0)</f>
        <v>15250</v>
      </c>
    </row>
    <row r="44" spans="1:17" s="34" customFormat="1" collapsed="1" x14ac:dyDescent="0.3">
      <c r="A44" s="35"/>
      <c r="B44" s="14" t="str">
        <f>CONCATENATE("     ","Equipment Rental                                  ")</f>
        <v xml:space="preserve">     Equipment Rental                                  </v>
      </c>
      <c r="C44" s="14"/>
      <c r="D44" s="1">
        <f>SUM(OSRRefD21_4x_0)</f>
        <v>0</v>
      </c>
      <c r="E44" s="1">
        <f>SUM(OSRRefE21_4x_0)</f>
        <v>75</v>
      </c>
      <c r="F44" s="1">
        <f>SUM(OSRRefE21_4x_1)</f>
        <v>75</v>
      </c>
      <c r="G44" s="1">
        <f>SUM(OSRRefE21_4x_2)</f>
        <v>75</v>
      </c>
      <c r="H44" s="1">
        <f>SUM(OSRRefE21_4x_3)</f>
        <v>75</v>
      </c>
      <c r="I44" s="1">
        <f>SUM(OSRRefE21_4x_4)</f>
        <v>75</v>
      </c>
      <c r="J44" s="1">
        <f>SUM(OSRRefE21_4x_5)</f>
        <v>75</v>
      </c>
      <c r="K44" s="1">
        <f>SUM(OSRRefE21_4x_6)</f>
        <v>75</v>
      </c>
      <c r="L44" s="1">
        <f>SUM(OSRRefE21_4x_7)</f>
        <v>75</v>
      </c>
      <c r="M44" s="1">
        <f>SUM(OSRRefE21_4x_8)</f>
        <v>75</v>
      </c>
      <c r="N44" s="1">
        <f>SUM(OSRRefE21_4x_9)</f>
        <v>75</v>
      </c>
      <c r="O44" s="1">
        <f>SUM(OSRRefE21_4x_10)</f>
        <v>75</v>
      </c>
      <c r="Q44" s="2">
        <f>SUM(OSRRefD20_4x)+IFERROR(SUM(OSRRefE20_4x),0)</f>
        <v>825</v>
      </c>
    </row>
    <row r="45" spans="1:17" s="34" customFormat="1" hidden="1" outlineLevel="1" x14ac:dyDescent="0.3">
      <c r="A45" s="35"/>
      <c r="B45" s="10" t="str">
        <f>CONCATENATE("          ","6351", " - ","EQUIPMENT RENTAL")</f>
        <v xml:space="preserve">          6351 - EQUIPMENT RENTAL</v>
      </c>
      <c r="C45" s="14"/>
      <c r="D45" s="2"/>
      <c r="E45" s="2">
        <v>75</v>
      </c>
      <c r="F45" s="2">
        <v>75</v>
      </c>
      <c r="G45" s="2">
        <v>75</v>
      </c>
      <c r="H45" s="2">
        <v>75</v>
      </c>
      <c r="I45" s="2">
        <v>75</v>
      </c>
      <c r="J45" s="2">
        <v>75</v>
      </c>
      <c r="K45" s="2">
        <v>75</v>
      </c>
      <c r="L45" s="2">
        <v>75</v>
      </c>
      <c r="M45" s="2">
        <v>75</v>
      </c>
      <c r="N45" s="2">
        <v>75</v>
      </c>
      <c r="O45" s="2">
        <v>75</v>
      </c>
      <c r="P45" s="9"/>
      <c r="Q45" s="2">
        <f>SUM(OSRRefD21_4_0x)+IFERROR(SUM(OSRRefE21_4_0x),0)</f>
        <v>825</v>
      </c>
    </row>
    <row r="46" spans="1:17" s="34" customFormat="1" collapsed="1" x14ac:dyDescent="0.3">
      <c r="A46" s="35"/>
      <c r="B46" s="14" t="str">
        <f>CONCATENATE("     ","Freight out/Postage                               ")</f>
        <v xml:space="preserve">     Freight out/Postage                               </v>
      </c>
      <c r="C46" s="14"/>
      <c r="D46" s="1">
        <f>SUM(OSRRefD21_5x_0)</f>
        <v>1.73</v>
      </c>
      <c r="E46" s="1">
        <f>SUM(OSRRefE21_5x_0)</f>
        <v>0</v>
      </c>
      <c r="F46" s="1">
        <f>SUM(OSRRefE21_5x_1)</f>
        <v>0</v>
      </c>
      <c r="G46" s="1">
        <f>SUM(OSRRefE21_5x_2)</f>
        <v>0</v>
      </c>
      <c r="H46" s="1">
        <f>SUM(OSRRefE21_5x_3)</f>
        <v>85</v>
      </c>
      <c r="I46" s="1">
        <f>SUM(OSRRefE21_5x_4)</f>
        <v>85</v>
      </c>
      <c r="J46" s="1">
        <f>SUM(OSRRefE21_5x_5)</f>
        <v>85</v>
      </c>
      <c r="K46" s="1">
        <f>SUM(OSRRefE21_5x_6)</f>
        <v>85</v>
      </c>
      <c r="L46" s="1">
        <f>SUM(OSRRefE21_5x_7)</f>
        <v>85</v>
      </c>
      <c r="M46" s="1">
        <f>SUM(OSRRefE21_5x_8)</f>
        <v>85</v>
      </c>
      <c r="N46" s="1">
        <f>SUM(OSRRefE21_5x_9)</f>
        <v>85</v>
      </c>
      <c r="O46" s="1">
        <f>SUM(OSRRefE21_5x_10)</f>
        <v>85</v>
      </c>
      <c r="Q46" s="2">
        <f>SUM(OSRRefD20_5x)+IFERROR(SUM(OSRRefE20_5x),0)</f>
        <v>681.73</v>
      </c>
    </row>
    <row r="47" spans="1:17" s="34" customFormat="1" hidden="1" outlineLevel="1" x14ac:dyDescent="0.3">
      <c r="A47" s="35"/>
      <c r="B47" s="10" t="str">
        <f>CONCATENATE("          ","6307", " - ","POSTAGE")</f>
        <v xml:space="preserve">          6307 - POSTAGE</v>
      </c>
      <c r="C47" s="14"/>
      <c r="D47" s="2">
        <v>1.73</v>
      </c>
      <c r="E47" s="2"/>
      <c r="F47" s="2"/>
      <c r="G47" s="2"/>
      <c r="H47" s="2">
        <v>85</v>
      </c>
      <c r="I47" s="2">
        <v>85</v>
      </c>
      <c r="J47" s="2">
        <v>85</v>
      </c>
      <c r="K47" s="2">
        <v>85</v>
      </c>
      <c r="L47" s="2">
        <v>85</v>
      </c>
      <c r="M47" s="2">
        <v>85</v>
      </c>
      <c r="N47" s="2">
        <v>85</v>
      </c>
      <c r="O47" s="2">
        <v>85</v>
      </c>
      <c r="P47" s="9"/>
      <c r="Q47" s="2">
        <f>SUM(OSRRefD21_5_0x)+IFERROR(SUM(OSRRefE21_5_0x),0)</f>
        <v>681.73</v>
      </c>
    </row>
    <row r="48" spans="1:17" s="34" customFormat="1" collapsed="1" x14ac:dyDescent="0.3">
      <c r="A48" s="35"/>
      <c r="B48" s="14" t="str">
        <f>CONCATENATE("     ","General                                           ")</f>
        <v xml:space="preserve">     General                                           </v>
      </c>
      <c r="C48" s="14"/>
      <c r="D48" s="1">
        <f>SUM(OSRRefD21_6x_0)</f>
        <v>1029.5</v>
      </c>
      <c r="E48" s="1">
        <f>SUM(OSRRefE21_6x_0)</f>
        <v>0</v>
      </c>
      <c r="F48" s="1">
        <f>SUM(OSRRefE21_6x_1)</f>
        <v>0</v>
      </c>
      <c r="G48" s="1">
        <f>SUM(OSRRefE21_6x_2)</f>
        <v>0</v>
      </c>
      <c r="H48" s="1">
        <f>SUM(OSRRefE21_6x_3)</f>
        <v>0</v>
      </c>
      <c r="I48" s="1">
        <f>SUM(OSRRefE21_6x_4)</f>
        <v>0</v>
      </c>
      <c r="J48" s="1">
        <f>SUM(OSRRefE21_6x_5)</f>
        <v>0</v>
      </c>
      <c r="K48" s="1">
        <f>SUM(OSRRefE21_6x_6)</f>
        <v>0</v>
      </c>
      <c r="L48" s="1">
        <f>SUM(OSRRefE21_6x_7)</f>
        <v>0</v>
      </c>
      <c r="M48" s="1">
        <f>SUM(OSRRefE21_6x_8)</f>
        <v>0</v>
      </c>
      <c r="N48" s="1">
        <f>SUM(OSRRefE21_6x_9)</f>
        <v>0</v>
      </c>
      <c r="O48" s="1">
        <f>SUM(OSRRefE21_6x_10)</f>
        <v>0</v>
      </c>
      <c r="Q48" s="2">
        <f>SUM(OSRRefD20_6x)+IFERROR(SUM(OSRRefE20_6x),0)</f>
        <v>1029.5</v>
      </c>
    </row>
    <row r="49" spans="1:17" s="34" customFormat="1" hidden="1" outlineLevel="1" x14ac:dyDescent="0.3">
      <c r="A49" s="35"/>
      <c r="B49" s="10" t="str">
        <f>CONCATENATE("          ","6279", " - ","GENERAL EXPENSE")</f>
        <v xml:space="preserve">          6279 - GENERAL EXPENSE</v>
      </c>
      <c r="C49" s="14"/>
      <c r="D49" s="2">
        <v>1029.5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2">
        <f>SUM(OSRRefD21_6_0x)+IFERROR(SUM(OSRRefE21_6_0x),0)</f>
        <v>1029.5</v>
      </c>
    </row>
    <row r="50" spans="1:17" s="34" customFormat="1" collapsed="1" x14ac:dyDescent="0.3">
      <c r="A50" s="35"/>
      <c r="B50" s="14" t="str">
        <f>CONCATENATE("     ","Insurance                                         ")</f>
        <v xml:space="preserve">     Insurance                                         </v>
      </c>
      <c r="C50" s="14"/>
      <c r="D50" s="1">
        <f>SUM(OSRRefD21_7x_0)</f>
        <v>88.99</v>
      </c>
      <c r="E50" s="1">
        <f>SUM(OSRRefE21_7x_0)</f>
        <v>90</v>
      </c>
      <c r="F50" s="1">
        <f>SUM(OSRRefE21_7x_1)</f>
        <v>90</v>
      </c>
      <c r="G50" s="1">
        <f>SUM(OSRRefE21_7x_2)</f>
        <v>90</v>
      </c>
      <c r="H50" s="1">
        <f>SUM(OSRRefE21_7x_3)</f>
        <v>90</v>
      </c>
      <c r="I50" s="1">
        <f>SUM(OSRRefE21_7x_4)</f>
        <v>90</v>
      </c>
      <c r="J50" s="1">
        <f>SUM(OSRRefE21_7x_5)</f>
        <v>90</v>
      </c>
      <c r="K50" s="1">
        <f>SUM(OSRRefE21_7x_6)</f>
        <v>90</v>
      </c>
      <c r="L50" s="1">
        <f>SUM(OSRRefE21_7x_7)</f>
        <v>90</v>
      </c>
      <c r="M50" s="1">
        <f>SUM(OSRRefE21_7x_8)</f>
        <v>90</v>
      </c>
      <c r="N50" s="1">
        <f>SUM(OSRRefE21_7x_9)</f>
        <v>90</v>
      </c>
      <c r="O50" s="1">
        <f>SUM(OSRRefE21_7x_10)</f>
        <v>90</v>
      </c>
      <c r="Q50" s="2">
        <f>SUM(OSRRefD20_7x)+IFERROR(SUM(OSRRefE20_7x),0)</f>
        <v>1078.99</v>
      </c>
    </row>
    <row r="51" spans="1:17" s="34" customFormat="1" hidden="1" outlineLevel="1" x14ac:dyDescent="0.3">
      <c r="A51" s="35"/>
      <c r="B51" s="10" t="str">
        <f>CONCATENATE("          ","6314", " - ","LIABILITY INSURANCE")</f>
        <v xml:space="preserve">          6314 - LIABILITY INSURANCE</v>
      </c>
      <c r="C51" s="14"/>
      <c r="D51" s="2">
        <v>88.99</v>
      </c>
      <c r="E51" s="2">
        <v>90</v>
      </c>
      <c r="F51" s="2">
        <v>90</v>
      </c>
      <c r="G51" s="2">
        <v>90</v>
      </c>
      <c r="H51" s="2">
        <v>90</v>
      </c>
      <c r="I51" s="2">
        <v>90</v>
      </c>
      <c r="J51" s="2">
        <v>90</v>
      </c>
      <c r="K51" s="2">
        <v>90</v>
      </c>
      <c r="L51" s="2">
        <v>90</v>
      </c>
      <c r="M51" s="2">
        <v>90</v>
      </c>
      <c r="N51" s="2">
        <v>90</v>
      </c>
      <c r="O51" s="2">
        <v>90</v>
      </c>
      <c r="P51" s="9"/>
      <c r="Q51" s="2">
        <f>SUM(OSRRefD21_7_0x)+IFERROR(SUM(OSRRefE21_7_0x),0)</f>
        <v>1078.99</v>
      </c>
    </row>
    <row r="52" spans="1:17" s="34" customFormat="1" collapsed="1" x14ac:dyDescent="0.3">
      <c r="A52" s="35"/>
      <c r="B52" s="14" t="str">
        <f>CONCATENATE("     ","Professional Services                             ")</f>
        <v xml:space="preserve">     Professional Services                             </v>
      </c>
      <c r="C52" s="14"/>
      <c r="D52" s="1">
        <f>SUM(OSRRefD21_8x_0)</f>
        <v>4950</v>
      </c>
      <c r="E52" s="1">
        <f>SUM(OSRRefE21_8x_0)</f>
        <v>1666</v>
      </c>
      <c r="F52" s="1">
        <f>SUM(OSRRefE21_8x_1)</f>
        <v>1666</v>
      </c>
      <c r="G52" s="1">
        <f>SUM(OSRRefE21_8x_2)</f>
        <v>1666</v>
      </c>
      <c r="H52" s="1">
        <f>SUM(OSRRefE21_8x_3)</f>
        <v>1666</v>
      </c>
      <c r="I52" s="1">
        <f>SUM(OSRRefE21_8x_4)</f>
        <v>1666</v>
      </c>
      <c r="J52" s="1">
        <f>SUM(OSRRefE21_8x_5)</f>
        <v>1666</v>
      </c>
      <c r="K52" s="1">
        <f>SUM(OSRRefE21_8x_6)</f>
        <v>1666</v>
      </c>
      <c r="L52" s="1">
        <f>SUM(OSRRefE21_8x_7)</f>
        <v>1666</v>
      </c>
      <c r="M52" s="1">
        <f>SUM(OSRRefE21_8x_8)</f>
        <v>1666</v>
      </c>
      <c r="N52" s="1">
        <f>SUM(OSRRefE21_8x_9)</f>
        <v>1666</v>
      </c>
      <c r="O52" s="1">
        <f>SUM(OSRRefE21_8x_10)</f>
        <v>1674</v>
      </c>
      <c r="Q52" s="2">
        <f>SUM(OSRRefD20_8x)+IFERROR(SUM(OSRRefE20_8x),0)</f>
        <v>23284</v>
      </c>
    </row>
    <row r="53" spans="1:17" s="34" customFormat="1" hidden="1" outlineLevel="1" x14ac:dyDescent="0.3">
      <c r="A53" s="35"/>
      <c r="B53" s="10" t="str">
        <f>CONCATENATE("          ","6332", " - ","CONSULTANT FEES")</f>
        <v xml:space="preserve">          6332 - CONSULTANT FEES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SUM(OSRRefD21_8_0x)+IFERROR(SUM(OSRRefE21_8_0x),0)</f>
        <v>0</v>
      </c>
    </row>
    <row r="54" spans="1:17" s="34" customFormat="1" hidden="1" outlineLevel="1" x14ac:dyDescent="0.3">
      <c r="A54" s="35"/>
      <c r="B54" s="10" t="str">
        <f>CONCATENATE("          ","6334", " - ","LEGAL COUNCIL EXPENSE")</f>
        <v xml:space="preserve">          6334 - LEGAL COUNCIL EXPENSE</v>
      </c>
      <c r="C54" s="14"/>
      <c r="D54" s="2">
        <v>3255</v>
      </c>
      <c r="E54" s="2">
        <v>833</v>
      </c>
      <c r="F54" s="2">
        <v>833</v>
      </c>
      <c r="G54" s="2">
        <v>833</v>
      </c>
      <c r="H54" s="2">
        <v>833</v>
      </c>
      <c r="I54" s="2">
        <v>833</v>
      </c>
      <c r="J54" s="2">
        <v>833</v>
      </c>
      <c r="K54" s="2">
        <v>833</v>
      </c>
      <c r="L54" s="2">
        <v>833</v>
      </c>
      <c r="M54" s="2">
        <v>833</v>
      </c>
      <c r="N54" s="2">
        <v>833</v>
      </c>
      <c r="O54" s="2">
        <v>837</v>
      </c>
      <c r="P54" s="9"/>
      <c r="Q54" s="2">
        <f>SUM(OSRRefD21_8_1x)+IFERROR(SUM(OSRRefE21_8_1x),0)</f>
        <v>12422</v>
      </c>
    </row>
    <row r="55" spans="1:17" s="34" customFormat="1" hidden="1" outlineLevel="1" x14ac:dyDescent="0.3">
      <c r="A55" s="35"/>
      <c r="B55" s="10" t="str">
        <f>CONCATENATE("          ","6336", " - ","PROFESSIONAL SERVICES")</f>
        <v xml:space="preserve">          6336 - PROFESSIONAL SERVICES</v>
      </c>
      <c r="C55" s="14"/>
      <c r="D55" s="2">
        <v>1695</v>
      </c>
      <c r="E55" s="2">
        <v>833</v>
      </c>
      <c r="F55" s="2">
        <v>833</v>
      </c>
      <c r="G55" s="2">
        <v>833</v>
      </c>
      <c r="H55" s="2">
        <v>833</v>
      </c>
      <c r="I55" s="2">
        <v>833</v>
      </c>
      <c r="J55" s="2">
        <v>833</v>
      </c>
      <c r="K55" s="2">
        <v>833</v>
      </c>
      <c r="L55" s="2">
        <v>833</v>
      </c>
      <c r="M55" s="2">
        <v>833</v>
      </c>
      <c r="N55" s="2">
        <v>833</v>
      </c>
      <c r="O55" s="2">
        <v>837</v>
      </c>
      <c r="P55" s="9"/>
      <c r="Q55" s="2">
        <f>SUM(OSRRefD21_8_2x)+IFERROR(SUM(OSRRefE21_8_2x),0)</f>
        <v>10862</v>
      </c>
    </row>
    <row r="56" spans="1:17" s="34" customFormat="1" collapsed="1" x14ac:dyDescent="0.3">
      <c r="A56" s="35"/>
      <c r="B56" s="14" t="str">
        <f>CONCATENATE("     ","Repair and Maintenance                            ")</f>
        <v xml:space="preserve">     Repair and Maintenance                            </v>
      </c>
      <c r="C56" s="14"/>
      <c r="D56" s="1">
        <f>SUM(OSRRefD21_9x_0)</f>
        <v>3624.93</v>
      </c>
      <c r="E56" s="1">
        <f>SUM(OSRRefE21_9x_0)</f>
        <v>7000</v>
      </c>
      <c r="F56" s="1">
        <f>SUM(OSRRefE21_9x_1)</f>
        <v>7000</v>
      </c>
      <c r="G56" s="1">
        <f>SUM(OSRRefE21_9x_2)</f>
        <v>7000</v>
      </c>
      <c r="H56" s="1">
        <f>SUM(OSRRefE21_9x_3)</f>
        <v>7000</v>
      </c>
      <c r="I56" s="1">
        <f>SUM(OSRRefE21_9x_4)</f>
        <v>7000</v>
      </c>
      <c r="J56" s="1">
        <f>SUM(OSRRefE21_9x_5)</f>
        <v>7000</v>
      </c>
      <c r="K56" s="1">
        <f>SUM(OSRRefE21_9x_6)</f>
        <v>7000</v>
      </c>
      <c r="L56" s="1">
        <f>SUM(OSRRefE21_9x_7)</f>
        <v>7000</v>
      </c>
      <c r="M56" s="1">
        <f>SUM(OSRRefE21_9x_8)</f>
        <v>7000</v>
      </c>
      <c r="N56" s="1">
        <f>SUM(OSRRefE21_9x_9)</f>
        <v>7000</v>
      </c>
      <c r="O56" s="1">
        <f>SUM(OSRRefE21_9x_10)</f>
        <v>7000</v>
      </c>
      <c r="Q56" s="2">
        <f>SUM(OSRRefD20_9x)+IFERROR(SUM(OSRRefE20_9x),0)</f>
        <v>80624.929999999993</v>
      </c>
    </row>
    <row r="57" spans="1:17" s="34" customFormat="1" hidden="1" outlineLevel="1" x14ac:dyDescent="0.3">
      <c r="A57" s="35"/>
      <c r="B57" s="10" t="str">
        <f>CONCATENATE("          ","6371", " - ","COMPUTER SOFTWARE MAINTENANCE")</f>
        <v xml:space="preserve">          6371 - COMPUTER SOFTWARE MAINTENANCE</v>
      </c>
      <c r="C57" s="14"/>
      <c r="D57" s="2">
        <v>3624.93</v>
      </c>
      <c r="E57" s="2">
        <v>7000</v>
      </c>
      <c r="F57" s="2">
        <v>7000</v>
      </c>
      <c r="G57" s="2">
        <v>7000</v>
      </c>
      <c r="H57" s="2">
        <v>7000</v>
      </c>
      <c r="I57" s="2">
        <v>7000</v>
      </c>
      <c r="J57" s="2">
        <v>7000</v>
      </c>
      <c r="K57" s="2">
        <v>7000</v>
      </c>
      <c r="L57" s="2">
        <v>7000</v>
      </c>
      <c r="M57" s="2">
        <v>7000</v>
      </c>
      <c r="N57" s="2">
        <v>7000</v>
      </c>
      <c r="O57" s="2">
        <v>7000</v>
      </c>
      <c r="P57" s="9"/>
      <c r="Q57" s="2">
        <f>SUM(OSRRefD21_9_0x)+IFERROR(SUM(OSRRefE21_9_0x),0)</f>
        <v>80624.929999999993</v>
      </c>
    </row>
    <row r="58" spans="1:17" s="34" customFormat="1" collapsed="1" x14ac:dyDescent="0.3">
      <c r="A58" s="35"/>
      <c r="B58" s="14" t="str">
        <f>CONCATENATE("     ","Subscriptions &amp; Dues                              ")</f>
        <v xml:space="preserve">     Subscriptions &amp; Dues                              </v>
      </c>
      <c r="C58" s="14"/>
      <c r="D58" s="1">
        <f>SUM(OSRRefD21_10x_0)</f>
        <v>219</v>
      </c>
      <c r="E58" s="1">
        <f>SUM(OSRRefE21_10x_0)</f>
        <v>0</v>
      </c>
      <c r="F58" s="1">
        <f>SUM(OSRRefE21_10x_1)</f>
        <v>0</v>
      </c>
      <c r="G58" s="1">
        <f>SUM(OSRRefE21_10x_2)</f>
        <v>1000</v>
      </c>
      <c r="H58" s="1">
        <f>SUM(OSRRefE21_10x_3)</f>
        <v>0</v>
      </c>
      <c r="I58" s="1">
        <f>SUM(OSRRefE21_10x_4)</f>
        <v>0</v>
      </c>
      <c r="J58" s="1">
        <f>SUM(OSRRefE21_10x_5)</f>
        <v>0</v>
      </c>
      <c r="K58" s="1">
        <f>SUM(OSRRefE21_10x_6)</f>
        <v>0</v>
      </c>
      <c r="L58" s="1">
        <f>SUM(OSRRefE21_10x_7)</f>
        <v>0</v>
      </c>
      <c r="M58" s="1">
        <f>SUM(OSRRefE21_10x_8)</f>
        <v>0</v>
      </c>
      <c r="N58" s="1">
        <f>SUM(OSRRefE21_10x_9)</f>
        <v>0</v>
      </c>
      <c r="O58" s="1">
        <f>SUM(OSRRefE21_10x_10)</f>
        <v>0</v>
      </c>
      <c r="Q58" s="2">
        <f>SUM(OSRRefD20_10x)+IFERROR(SUM(OSRRefE20_10x),0)</f>
        <v>1219</v>
      </c>
    </row>
    <row r="59" spans="1:17" s="34" customFormat="1" hidden="1" outlineLevel="1" x14ac:dyDescent="0.3">
      <c r="A59" s="35"/>
      <c r="B59" s="10" t="str">
        <f>CONCATENATE("          ","6258", " - ","MEMBERSHIP DUES")</f>
        <v xml:space="preserve">          6258 - MEMBERSHIP DUES</v>
      </c>
      <c r="C59" s="14"/>
      <c r="D59" s="2">
        <v>219</v>
      </c>
      <c r="E59" s="2"/>
      <c r="F59" s="2"/>
      <c r="G59" s="2">
        <v>1000</v>
      </c>
      <c r="H59" s="2"/>
      <c r="I59" s="2"/>
      <c r="J59" s="2"/>
      <c r="K59" s="2"/>
      <c r="L59" s="2"/>
      <c r="M59" s="2"/>
      <c r="N59" s="2"/>
      <c r="O59" s="2"/>
      <c r="P59" s="9"/>
      <c r="Q59" s="2">
        <f>SUM(OSRRefD21_10_0x)+IFERROR(SUM(OSRRefE21_10_0x),0)</f>
        <v>1219</v>
      </c>
    </row>
    <row r="60" spans="1:17" s="34" customFormat="1" collapsed="1" x14ac:dyDescent="0.3">
      <c r="A60" s="35"/>
      <c r="B60" s="14" t="str">
        <f>CONCATENATE("     ","Supplies                                          ")</f>
        <v xml:space="preserve">     Supplies                                          </v>
      </c>
      <c r="C60" s="14"/>
      <c r="D60" s="1">
        <f>SUM(OSRRefD21_11x_0)</f>
        <v>2798.89</v>
      </c>
      <c r="E60" s="1">
        <f>SUM(OSRRefE21_11x_0)</f>
        <v>1834</v>
      </c>
      <c r="F60" s="1">
        <f>SUM(OSRRefE21_11x_1)</f>
        <v>1834</v>
      </c>
      <c r="G60" s="1">
        <f>SUM(OSRRefE21_11x_2)</f>
        <v>1834</v>
      </c>
      <c r="H60" s="1">
        <f>SUM(OSRRefE21_11x_3)</f>
        <v>1834</v>
      </c>
      <c r="I60" s="1">
        <f>SUM(OSRRefE21_11x_4)</f>
        <v>1834</v>
      </c>
      <c r="J60" s="1">
        <f>SUM(OSRRefE21_11x_5)</f>
        <v>1834</v>
      </c>
      <c r="K60" s="1">
        <f>SUM(OSRRefE21_11x_6)</f>
        <v>1834</v>
      </c>
      <c r="L60" s="1">
        <f>SUM(OSRRefE21_11x_7)</f>
        <v>1834</v>
      </c>
      <c r="M60" s="1">
        <f>SUM(OSRRefE21_11x_8)</f>
        <v>1834</v>
      </c>
      <c r="N60" s="1">
        <f>SUM(OSRRefE21_11x_9)</f>
        <v>1834</v>
      </c>
      <c r="O60" s="1">
        <f>SUM(OSRRefE21_11x_10)</f>
        <v>1826</v>
      </c>
      <c r="Q60" s="2">
        <f>SUM(OSRRefD20_11x)+IFERROR(SUM(OSRRefE20_11x),0)</f>
        <v>22964.89</v>
      </c>
    </row>
    <row r="61" spans="1:17" s="34" customFormat="1" hidden="1" outlineLevel="1" x14ac:dyDescent="0.3">
      <c r="A61" s="35"/>
      <c r="B61" s="10" t="str">
        <f>CONCATENATE("          ","6235", " - ","COVID-19 EXPENSES")</f>
        <v xml:space="preserve">          6235 - COVID-19 EXPENSES</v>
      </c>
      <c r="C61" s="14"/>
      <c r="D61" s="2">
        <v>2447.77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2">
        <f>SUM(OSRRefD21_11_0x)+IFERROR(SUM(OSRRefE21_11_0x),0)</f>
        <v>2447.77</v>
      </c>
    </row>
    <row r="62" spans="1:17" s="34" customFormat="1" hidden="1" outlineLevel="1" x14ac:dyDescent="0.3">
      <c r="A62" s="35"/>
      <c r="B62" s="10" t="str">
        <f>CONCATENATE("          ","6241", " - ","OFFICE EXPENSE")</f>
        <v xml:space="preserve">          6241 - OFFICE EXPENSE</v>
      </c>
      <c r="C62" s="14"/>
      <c r="D62" s="2">
        <v>176.12</v>
      </c>
      <c r="E62" s="2">
        <v>1417</v>
      </c>
      <c r="F62" s="2">
        <v>1417</v>
      </c>
      <c r="G62" s="2">
        <v>1417</v>
      </c>
      <c r="H62" s="2">
        <v>1417</v>
      </c>
      <c r="I62" s="2">
        <v>1417</v>
      </c>
      <c r="J62" s="2">
        <v>1417</v>
      </c>
      <c r="K62" s="2">
        <v>1417</v>
      </c>
      <c r="L62" s="2">
        <v>1417</v>
      </c>
      <c r="M62" s="2">
        <v>1417</v>
      </c>
      <c r="N62" s="2">
        <v>1417</v>
      </c>
      <c r="O62" s="2">
        <v>1413</v>
      </c>
      <c r="P62" s="9"/>
      <c r="Q62" s="2">
        <f>SUM(OSRRefD21_11_1x)+IFERROR(SUM(OSRRefE21_11_1x),0)</f>
        <v>15759.12</v>
      </c>
    </row>
    <row r="63" spans="1:17" s="34" customFormat="1" hidden="1" outlineLevel="1" x14ac:dyDescent="0.3">
      <c r="A63" s="35"/>
      <c r="B63" s="10" t="str">
        <f>CONCATENATE("          ","6244", " - ","SAFETY SUPPLY EXPENSE")</f>
        <v xml:space="preserve">          6244 - SAFETY SUPPLY EXPENSE</v>
      </c>
      <c r="C63" s="14"/>
      <c r="D63" s="2">
        <v>175</v>
      </c>
      <c r="E63" s="2">
        <v>417</v>
      </c>
      <c r="F63" s="2">
        <v>417</v>
      </c>
      <c r="G63" s="2">
        <v>417</v>
      </c>
      <c r="H63" s="2">
        <v>417</v>
      </c>
      <c r="I63" s="2">
        <v>417</v>
      </c>
      <c r="J63" s="2">
        <v>417</v>
      </c>
      <c r="K63" s="2">
        <v>417</v>
      </c>
      <c r="L63" s="2">
        <v>417</v>
      </c>
      <c r="M63" s="2">
        <v>417</v>
      </c>
      <c r="N63" s="2">
        <v>417</v>
      </c>
      <c r="O63" s="2">
        <v>413</v>
      </c>
      <c r="P63" s="9"/>
      <c r="Q63" s="2">
        <f>SUM(OSRRefD21_11_2x)+IFERROR(SUM(OSRRefE21_11_2x),0)</f>
        <v>4758</v>
      </c>
    </row>
    <row r="64" spans="1:17" s="34" customFormat="1" hidden="1" outlineLevel="1" x14ac:dyDescent="0.3">
      <c r="A64" s="35"/>
      <c r="B64" s="10" t="str">
        <f>CONCATENATE("          ","6248", " - ","UNIFORMS")</f>
        <v xml:space="preserve">          6248 - UNIFORMS</v>
      </c>
      <c r="C64" s="14"/>
      <c r="D64" s="2"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2">
        <f>SUM(OSRRefD21_11_3x)+IFERROR(SUM(OSRRefE21_11_3x),0)</f>
        <v>0</v>
      </c>
    </row>
    <row r="65" spans="1:17" s="34" customFormat="1" collapsed="1" x14ac:dyDescent="0.3">
      <c r="A65" s="35"/>
      <c r="B65" s="14" t="str">
        <f>CONCATENATE("     ","Telephone/Data Lines                              ")</f>
        <v xml:space="preserve">     Telephone/Data Lines                              </v>
      </c>
      <c r="C65" s="14"/>
      <c r="D65" s="1">
        <f>SUM(OSRRefD21_12x_0)</f>
        <v>342.3</v>
      </c>
      <c r="E65" s="1">
        <f>SUM(OSRRefE21_12x_0)</f>
        <v>283</v>
      </c>
      <c r="F65" s="1">
        <f>SUM(OSRRefE21_12x_1)</f>
        <v>283</v>
      </c>
      <c r="G65" s="1">
        <f>SUM(OSRRefE21_12x_2)</f>
        <v>283</v>
      </c>
      <c r="H65" s="1">
        <f>SUM(OSRRefE21_12x_3)</f>
        <v>283</v>
      </c>
      <c r="I65" s="1">
        <f>SUM(OSRRefE21_12x_4)</f>
        <v>283</v>
      </c>
      <c r="J65" s="1">
        <f>SUM(OSRRefE21_12x_5)</f>
        <v>283</v>
      </c>
      <c r="K65" s="1">
        <f>SUM(OSRRefE21_12x_6)</f>
        <v>283</v>
      </c>
      <c r="L65" s="1">
        <f>SUM(OSRRefE21_12x_7)</f>
        <v>283</v>
      </c>
      <c r="M65" s="1">
        <f>SUM(OSRRefE21_12x_8)</f>
        <v>283</v>
      </c>
      <c r="N65" s="1">
        <f>SUM(OSRRefE21_12x_9)</f>
        <v>283</v>
      </c>
      <c r="O65" s="1">
        <f>SUM(OSRRefE21_12x_10)</f>
        <v>283</v>
      </c>
      <c r="Q65" s="2">
        <f>SUM(OSRRefD20_12x)+IFERROR(SUM(OSRRefE20_12x),0)</f>
        <v>3455.3</v>
      </c>
    </row>
    <row r="66" spans="1:17" s="34" customFormat="1" hidden="1" outlineLevel="1" x14ac:dyDescent="0.3">
      <c r="A66" s="35"/>
      <c r="B66" s="10" t="str">
        <f>CONCATENATE("          ","6309", " - ","TELEPHONE")</f>
        <v xml:space="preserve">          6309 - TELEPHONE</v>
      </c>
      <c r="C66" s="14"/>
      <c r="D66" s="2">
        <v>342.3</v>
      </c>
      <c r="E66" s="2">
        <v>283</v>
      </c>
      <c r="F66" s="2">
        <v>283</v>
      </c>
      <c r="G66" s="2">
        <v>283</v>
      </c>
      <c r="H66" s="2">
        <v>283</v>
      </c>
      <c r="I66" s="2">
        <v>283</v>
      </c>
      <c r="J66" s="2">
        <v>283</v>
      </c>
      <c r="K66" s="2">
        <v>283</v>
      </c>
      <c r="L66" s="2">
        <v>283</v>
      </c>
      <c r="M66" s="2">
        <v>283</v>
      </c>
      <c r="N66" s="2">
        <v>283</v>
      </c>
      <c r="O66" s="2">
        <v>283</v>
      </c>
      <c r="P66" s="9"/>
      <c r="Q66" s="2">
        <f>SUM(OSRRefD21_12_0x)+IFERROR(SUM(OSRRefE21_12_0x),0)</f>
        <v>3455.3</v>
      </c>
    </row>
    <row r="67" spans="1:17" s="34" customFormat="1" collapsed="1" x14ac:dyDescent="0.3">
      <c r="A67" s="35"/>
      <c r="B67" s="14" t="str">
        <f>CONCATENATE("     ","Training                                          ")</f>
        <v xml:space="preserve">     Training                                          </v>
      </c>
      <c r="C67" s="14"/>
      <c r="D67" s="1">
        <f>SUM(OSRRefD21_13x_0)</f>
        <v>0</v>
      </c>
      <c r="E67" s="1">
        <f>SUM(OSRRefE21_13x_0)</f>
        <v>333</v>
      </c>
      <c r="F67" s="1">
        <f>SUM(OSRRefE21_13x_1)</f>
        <v>333</v>
      </c>
      <c r="G67" s="1">
        <f>SUM(OSRRefE21_13x_2)</f>
        <v>333</v>
      </c>
      <c r="H67" s="1">
        <f>SUM(OSRRefE21_13x_3)</f>
        <v>333</v>
      </c>
      <c r="I67" s="1">
        <f>SUM(OSRRefE21_13x_4)</f>
        <v>333</v>
      </c>
      <c r="J67" s="1">
        <f>SUM(OSRRefE21_13x_5)</f>
        <v>333</v>
      </c>
      <c r="K67" s="1">
        <f>SUM(OSRRefE21_13x_6)</f>
        <v>333</v>
      </c>
      <c r="L67" s="1">
        <f>SUM(OSRRefE21_13x_7)</f>
        <v>333</v>
      </c>
      <c r="M67" s="1">
        <f>SUM(OSRRefE21_13x_8)</f>
        <v>333</v>
      </c>
      <c r="N67" s="1">
        <f>SUM(OSRRefE21_13x_9)</f>
        <v>333</v>
      </c>
      <c r="O67" s="1">
        <f>SUM(OSRRefE21_13x_10)</f>
        <v>337</v>
      </c>
      <c r="Q67" s="2">
        <f>SUM(OSRRefD20_13x)+IFERROR(SUM(OSRRefE20_13x),0)</f>
        <v>3667</v>
      </c>
    </row>
    <row r="68" spans="1:17" s="34" customFormat="1" hidden="1" outlineLevel="1" x14ac:dyDescent="0.3">
      <c r="A68" s="35"/>
      <c r="B68" s="10" t="str">
        <f>CONCATENATE("          ","6376", " - ","TRAINING")</f>
        <v xml:space="preserve">          6376 - TRAINING</v>
      </c>
      <c r="C68" s="14"/>
      <c r="D68" s="2"/>
      <c r="E68" s="2">
        <v>333</v>
      </c>
      <c r="F68" s="2">
        <v>333</v>
      </c>
      <c r="G68" s="2">
        <v>333</v>
      </c>
      <c r="H68" s="2">
        <v>333</v>
      </c>
      <c r="I68" s="2">
        <v>333</v>
      </c>
      <c r="J68" s="2">
        <v>333</v>
      </c>
      <c r="K68" s="2">
        <v>333</v>
      </c>
      <c r="L68" s="2">
        <v>333</v>
      </c>
      <c r="M68" s="2">
        <v>333</v>
      </c>
      <c r="N68" s="2">
        <v>333</v>
      </c>
      <c r="O68" s="2">
        <v>337</v>
      </c>
      <c r="P68" s="9"/>
      <c r="Q68" s="2">
        <f>SUM(OSRRefD21_13_0x)+IFERROR(SUM(OSRRefE21_13_0x),0)</f>
        <v>3667</v>
      </c>
    </row>
    <row r="69" spans="1:17" s="34" customFormat="1" collapsed="1" x14ac:dyDescent="0.3">
      <c r="A69" s="35"/>
      <c r="B69" s="14" t="str">
        <f>CONCATENATE("     ","Travel                                            ")</f>
        <v xml:space="preserve">     Travel                                            </v>
      </c>
      <c r="C69" s="14"/>
      <c r="D69" s="1">
        <f>SUM(OSRRefD21_14x_0)</f>
        <v>0</v>
      </c>
      <c r="E69" s="1">
        <f>SUM(OSRRefE21_14x_0)</f>
        <v>0</v>
      </c>
      <c r="F69" s="1">
        <f>SUM(OSRRefE21_14x_1)</f>
        <v>0</v>
      </c>
      <c r="G69" s="1">
        <f>SUM(OSRRefE21_14x_2)</f>
        <v>0</v>
      </c>
      <c r="H69" s="1">
        <f>SUM(OSRRefE21_14x_3)</f>
        <v>720</v>
      </c>
      <c r="I69" s="1">
        <f>SUM(OSRRefE21_14x_4)</f>
        <v>0</v>
      </c>
      <c r="J69" s="1">
        <f>SUM(OSRRefE21_14x_5)</f>
        <v>0</v>
      </c>
      <c r="K69" s="1">
        <f>SUM(OSRRefE21_14x_6)</f>
        <v>0</v>
      </c>
      <c r="L69" s="1">
        <f>SUM(OSRRefE21_14x_7)</f>
        <v>0</v>
      </c>
      <c r="M69" s="1">
        <f>SUM(OSRRefE21_14x_8)</f>
        <v>0</v>
      </c>
      <c r="N69" s="1">
        <f>SUM(OSRRefE21_14x_9)</f>
        <v>0</v>
      </c>
      <c r="O69" s="1">
        <f>SUM(OSRRefE21_14x_10)</f>
        <v>0</v>
      </c>
      <c r="Q69" s="2">
        <f>SUM(OSRRefD20_14x)+IFERROR(SUM(OSRRefE20_14x),0)</f>
        <v>720</v>
      </c>
    </row>
    <row r="70" spans="1:17" s="34" customFormat="1" hidden="1" outlineLevel="1" x14ac:dyDescent="0.3">
      <c r="A70" s="35"/>
      <c r="B70" s="10" t="str">
        <f>CONCATENATE("          ","6292", " - ","TRAVEL/CONFERENCE")</f>
        <v xml:space="preserve">          6292 - TRAVEL/CONFERENCE</v>
      </c>
      <c r="C70" s="14"/>
      <c r="D70" s="2"/>
      <c r="E70" s="2"/>
      <c r="F70" s="2"/>
      <c r="G70" s="2"/>
      <c r="H70" s="2">
        <v>720</v>
      </c>
      <c r="I70" s="2"/>
      <c r="J70" s="2"/>
      <c r="K70" s="2"/>
      <c r="L70" s="2"/>
      <c r="M70" s="2"/>
      <c r="N70" s="2"/>
      <c r="O70" s="2"/>
      <c r="P70" s="9"/>
      <c r="Q70" s="2">
        <f>SUM(OSRRefD21_14_0x)+IFERROR(SUM(OSRRefE21_14_0x),0)</f>
        <v>720</v>
      </c>
    </row>
    <row r="71" spans="1:17" s="28" customFormat="1" x14ac:dyDescent="0.3">
      <c r="A71" s="21"/>
      <c r="B71" s="21"/>
      <c r="C71" s="2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</row>
    <row r="72" spans="1:17" s="9" customFormat="1" x14ac:dyDescent="0.3">
      <c r="A72" s="22"/>
      <c r="B72" s="16" t="s">
        <v>293</v>
      </c>
      <c r="C72" s="23"/>
      <c r="D72" s="3">
        <f>0</f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2">
        <f>SUM(OSRRefD23_0x)+IFERROR(SUM(OSRRefE23_0x),0)</f>
        <v>0</v>
      </c>
    </row>
    <row r="73" spans="1:17" x14ac:dyDescent="0.3">
      <c r="A73" s="5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</row>
    <row r="74" spans="1:17" s="15" customFormat="1" x14ac:dyDescent="0.3">
      <c r="A74" s="6"/>
      <c r="B74" s="17" t="s">
        <v>276</v>
      </c>
      <c r="C74" s="17"/>
      <c r="D74" s="8">
        <f t="shared" ref="D74:O74" si="4">IFERROR(+D14-D17+D72, 0)</f>
        <v>-58630.380000000005</v>
      </c>
      <c r="E74" s="8">
        <f t="shared" si="4"/>
        <v>-46349.26516968615</v>
      </c>
      <c r="F74" s="8">
        <f t="shared" si="4"/>
        <v>-46349.26516968615</v>
      </c>
      <c r="G74" s="8">
        <f t="shared" si="4"/>
        <v>-55242.831462107686</v>
      </c>
      <c r="H74" s="8">
        <f t="shared" si="4"/>
        <v>-47154.26516968615</v>
      </c>
      <c r="I74" s="8">
        <f t="shared" si="4"/>
        <v>-46434.26516968615</v>
      </c>
      <c r="J74" s="8">
        <f t="shared" si="4"/>
        <v>-54327.831462107686</v>
      </c>
      <c r="K74" s="8">
        <f t="shared" si="4"/>
        <v>-46434.26516968615</v>
      </c>
      <c r="L74" s="8">
        <f t="shared" si="4"/>
        <v>-46434.26516968615</v>
      </c>
      <c r="M74" s="8">
        <f t="shared" si="4"/>
        <v>-54327.831462107686</v>
      </c>
      <c r="N74" s="8">
        <f t="shared" si="4"/>
        <v>-58934.26516968615</v>
      </c>
      <c r="O74" s="8">
        <f t="shared" si="4"/>
        <v>-46434.26516968615</v>
      </c>
      <c r="Q74" s="8">
        <f>IFERROR(+Q14-Q17+Q72, 0)</f>
        <v>-607052.99574381241</v>
      </c>
    </row>
    <row r="75" spans="1:17" s="6" customFormat="1" x14ac:dyDescent="0.3">
      <c r="B75" s="16"/>
      <c r="C75" s="16"/>
      <c r="D75" s="4">
        <f t="shared" ref="D75:O75" si="5">IFERROR(D74/D10, 0)</f>
        <v>0</v>
      </c>
      <c r="E75" s="4">
        <f t="shared" si="5"/>
        <v>0</v>
      </c>
      <c r="F75" s="4">
        <f t="shared" si="5"/>
        <v>0</v>
      </c>
      <c r="G75" s="4">
        <f t="shared" si="5"/>
        <v>0</v>
      </c>
      <c r="H75" s="4">
        <f t="shared" si="5"/>
        <v>0</v>
      </c>
      <c r="I75" s="4">
        <f t="shared" si="5"/>
        <v>0</v>
      </c>
      <c r="J75" s="4">
        <f t="shared" si="5"/>
        <v>0</v>
      </c>
      <c r="K75" s="4">
        <f t="shared" si="5"/>
        <v>0</v>
      </c>
      <c r="L75" s="4">
        <f t="shared" si="5"/>
        <v>0</v>
      </c>
      <c r="M75" s="4">
        <f t="shared" si="5"/>
        <v>0</v>
      </c>
      <c r="N75" s="4">
        <f t="shared" si="5"/>
        <v>0</v>
      </c>
      <c r="O75" s="4">
        <f t="shared" si="5"/>
        <v>0</v>
      </c>
      <c r="P75" s="18"/>
      <c r="Q75" s="4">
        <f>IFERROR(Q74/Q10, 0)</f>
        <v>0</v>
      </c>
    </row>
    <row r="76" spans="1:17" x14ac:dyDescent="0.3">
      <c r="A76" s="5"/>
      <c r="B76" s="6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</row>
    <row r="77" spans="1:17" s="15" customFormat="1" x14ac:dyDescent="0.3">
      <c r="A77" s="25"/>
      <c r="B77" s="6" t="s">
        <v>125</v>
      </c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2">
        <f>SUM(OSRRefD28_0x)+IFERROR(SUM(OSRRefE28_0x),0)</f>
        <v>0</v>
      </c>
    </row>
    <row r="78" spans="1:17" x14ac:dyDescent="0.3">
      <c r="A78" s="5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</row>
    <row r="79" spans="1:17" s="15" customFormat="1" ht="15" thickBot="1" x14ac:dyDescent="0.35">
      <c r="A79" s="6"/>
      <c r="B79" s="17" t="s">
        <v>124</v>
      </c>
      <c r="C79" s="17"/>
      <c r="D79" s="7">
        <f t="shared" ref="D79:O79" si="6">IFERROR(+D74-D77, 0)</f>
        <v>-58630.380000000005</v>
      </c>
      <c r="E79" s="7">
        <f t="shared" si="6"/>
        <v>-46349.26516968615</v>
      </c>
      <c r="F79" s="7">
        <f t="shared" si="6"/>
        <v>-46349.26516968615</v>
      </c>
      <c r="G79" s="7">
        <f t="shared" si="6"/>
        <v>-55242.831462107686</v>
      </c>
      <c r="H79" s="7">
        <f t="shared" si="6"/>
        <v>-47154.26516968615</v>
      </c>
      <c r="I79" s="7">
        <f t="shared" si="6"/>
        <v>-46434.26516968615</v>
      </c>
      <c r="J79" s="7">
        <f t="shared" si="6"/>
        <v>-54327.831462107686</v>
      </c>
      <c r="K79" s="7">
        <f t="shared" si="6"/>
        <v>-46434.26516968615</v>
      </c>
      <c r="L79" s="7">
        <f t="shared" si="6"/>
        <v>-46434.26516968615</v>
      </c>
      <c r="M79" s="7">
        <f t="shared" si="6"/>
        <v>-54327.831462107686</v>
      </c>
      <c r="N79" s="7">
        <f t="shared" si="6"/>
        <v>-58934.26516968615</v>
      </c>
      <c r="O79" s="7">
        <f t="shared" si="6"/>
        <v>-46434.26516968615</v>
      </c>
      <c r="Q79" s="7">
        <f>IFERROR(+Q74-Q77, 0)</f>
        <v>-607052.99574381241</v>
      </c>
    </row>
    <row r="80" spans="1:17" ht="15" thickTop="1" x14ac:dyDescent="0.3">
      <c r="A80" s="5"/>
      <c r="B80" s="5"/>
      <c r="C80" s="5"/>
      <c r="D80" s="4">
        <f t="shared" ref="D80:O80" si="7">IFERROR(D79/D10, 0)</f>
        <v>0</v>
      </c>
      <c r="E80" s="4">
        <f t="shared" si="7"/>
        <v>0</v>
      </c>
      <c r="F80" s="4">
        <f t="shared" si="7"/>
        <v>0</v>
      </c>
      <c r="G80" s="4">
        <f t="shared" si="7"/>
        <v>0</v>
      </c>
      <c r="H80" s="4">
        <f t="shared" si="7"/>
        <v>0</v>
      </c>
      <c r="I80" s="4">
        <f t="shared" si="7"/>
        <v>0</v>
      </c>
      <c r="J80" s="4">
        <f t="shared" si="7"/>
        <v>0</v>
      </c>
      <c r="K80" s="4">
        <f t="shared" si="7"/>
        <v>0</v>
      </c>
      <c r="L80" s="4">
        <f t="shared" si="7"/>
        <v>0</v>
      </c>
      <c r="M80" s="4">
        <f t="shared" si="7"/>
        <v>0</v>
      </c>
      <c r="N80" s="4">
        <f t="shared" si="7"/>
        <v>0</v>
      </c>
      <c r="O80" s="4">
        <f t="shared" si="7"/>
        <v>0</v>
      </c>
      <c r="P80" s="18"/>
      <c r="Q80" s="4">
        <f>IFERROR(Q79/Q10, 0)</f>
        <v>0</v>
      </c>
    </row>
    <row r="81" spans="1:17" x14ac:dyDescent="0.3">
      <c r="A81" s="5"/>
      <c r="B81" s="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</row>
    <row r="82" spans="1:17" x14ac:dyDescent="0.3">
      <c r="A82" s="5"/>
      <c r="B82" s="5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</row>
    <row r="83" spans="1:17" s="15" customFormat="1" ht="15" thickBot="1" x14ac:dyDescent="0.35">
      <c r="A83" s="6"/>
      <c r="B83" s="17" t="s">
        <v>294</v>
      </c>
      <c r="C83" s="17"/>
      <c r="D83" s="7">
        <f t="shared" ref="D83:O83" si="8">IFERROR(SUM(D79:D82), 0)</f>
        <v>-58630.380000000005</v>
      </c>
      <c r="E83" s="7">
        <f t="shared" si="8"/>
        <v>-46349.26516968615</v>
      </c>
      <c r="F83" s="7">
        <f t="shared" si="8"/>
        <v>-46349.26516968615</v>
      </c>
      <c r="G83" s="7">
        <f t="shared" si="8"/>
        <v>-55242.831462107686</v>
      </c>
      <c r="H83" s="7">
        <f t="shared" si="8"/>
        <v>-47154.26516968615</v>
      </c>
      <c r="I83" s="7">
        <f t="shared" si="8"/>
        <v>-46434.26516968615</v>
      </c>
      <c r="J83" s="7">
        <f t="shared" si="8"/>
        <v>-54327.831462107686</v>
      </c>
      <c r="K83" s="7">
        <f t="shared" si="8"/>
        <v>-46434.26516968615</v>
      </c>
      <c r="L83" s="7">
        <f t="shared" si="8"/>
        <v>-46434.26516968615</v>
      </c>
      <c r="M83" s="7">
        <f t="shared" si="8"/>
        <v>-54327.831462107686</v>
      </c>
      <c r="N83" s="7">
        <f t="shared" si="8"/>
        <v>-58934.26516968615</v>
      </c>
      <c r="O83" s="7">
        <f t="shared" si="8"/>
        <v>-46434.26516968615</v>
      </c>
      <c r="Q83" s="7">
        <f>IFERROR(SUM(Q79:Q82), 0)</f>
        <v>-607052.99574381241</v>
      </c>
    </row>
    <row r="84" spans="1:17" ht="15" thickTop="1" x14ac:dyDescent="0.3">
      <c r="A84" s="5"/>
      <c r="C84" s="5"/>
      <c r="D84" s="4">
        <f t="shared" ref="D84:O84" si="9">IFERROR(D83/D10, 0)</f>
        <v>0</v>
      </c>
      <c r="E84" s="4">
        <f t="shared" si="9"/>
        <v>0</v>
      </c>
      <c r="F84" s="4">
        <f t="shared" si="9"/>
        <v>0</v>
      </c>
      <c r="G84" s="4">
        <f t="shared" si="9"/>
        <v>0</v>
      </c>
      <c r="H84" s="4">
        <f t="shared" si="9"/>
        <v>0</v>
      </c>
      <c r="I84" s="4">
        <f t="shared" si="9"/>
        <v>0</v>
      </c>
      <c r="J84" s="4">
        <f t="shared" si="9"/>
        <v>0</v>
      </c>
      <c r="K84" s="4">
        <f t="shared" si="9"/>
        <v>0</v>
      </c>
      <c r="L84" s="4">
        <f t="shared" si="9"/>
        <v>0</v>
      </c>
      <c r="M84" s="4">
        <f t="shared" si="9"/>
        <v>0</v>
      </c>
      <c r="N84" s="4">
        <f t="shared" si="9"/>
        <v>0</v>
      </c>
      <c r="O84" s="4">
        <f t="shared" si="9"/>
        <v>0</v>
      </c>
      <c r="P84" s="18"/>
      <c r="Q84" s="4">
        <f>IFERROR(Q83/Q10, 0)</f>
        <v>0</v>
      </c>
    </row>
    <row r="85" spans="1:17" x14ac:dyDescent="0.3">
      <c r="A85" s="5"/>
      <c r="B85" s="30">
        <v>44462.678423958336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1:17" x14ac:dyDescent="0.3">
      <c r="A86" s="5"/>
      <c r="B86" s="31" t="s">
        <v>54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 s="11"/>
    </row>
    <row r="87" spans="1:17" x14ac:dyDescent="0.3">
      <c r="A87" s="5"/>
      <c r="B87" s="2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8" spans="1:17" x14ac:dyDescent="0.3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Q8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  <outlinePr summaryBelow="0" summaryRight="0"/>
    <pageSetUpPr fitToPage="1"/>
  </sheetPr>
  <dimension ref="A2:R75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","204", " - ", "Information Technology")</f>
        <v>Department 204 - Information Technology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47853.990000000005</v>
      </c>
      <c r="E17" s="13">
        <f>SUM(OSRRefE20x_0)</f>
        <v>49159.666047384591</v>
      </c>
      <c r="F17" s="13">
        <f>SUM(OSRRefE20x_1)</f>
        <v>49159.666047384591</v>
      </c>
      <c r="G17" s="13">
        <f>SUM(OSRRefE20x_2)</f>
        <v>53034.082559230737</v>
      </c>
      <c r="H17" s="13">
        <f>SUM(OSRRefE20x_3)</f>
        <v>46202.666047384591</v>
      </c>
      <c r="I17" s="13">
        <f>SUM(OSRRefE20x_4)</f>
        <v>50302.666047384591</v>
      </c>
      <c r="J17" s="13">
        <f>SUM(OSRRefE20x_5)</f>
        <v>55284.082559230737</v>
      </c>
      <c r="K17" s="13">
        <f>SUM(OSRRefE20x_6)</f>
        <v>46202.666047384591</v>
      </c>
      <c r="L17" s="13">
        <f>SUM(OSRRefE20x_7)</f>
        <v>46202.666047384591</v>
      </c>
      <c r="M17" s="13">
        <f>SUM(OSRRefE20x_8)</f>
        <v>53034.082559230737</v>
      </c>
      <c r="N17" s="13">
        <f>SUM(OSRRefE20x_9)</f>
        <v>46302.666047384591</v>
      </c>
      <c r="O17" s="13">
        <f>SUM(OSRRefE20x_10)</f>
        <v>45828.666047384591</v>
      </c>
      <c r="Q17" s="13">
        <f>SUM(OSRRefG20x)</f>
        <v>588567.56605676911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10721.180000000002</v>
      </c>
      <c r="E18" s="1">
        <f>SUM(OSRRefE21_0x_0)</f>
        <v>11122.496816615394</v>
      </c>
      <c r="F18" s="1">
        <f>SUM(OSRRefE21_0x_1)</f>
        <v>11122.496816615394</v>
      </c>
      <c r="G18" s="1">
        <f>SUM(OSRRefE21_0x_2)</f>
        <v>12494.121020769242</v>
      </c>
      <c r="H18" s="1">
        <f>SUM(OSRRefE21_0x_3)</f>
        <v>11122.496816615394</v>
      </c>
      <c r="I18" s="1">
        <f>SUM(OSRRefE21_0x_4)</f>
        <v>11122.496816615394</v>
      </c>
      <c r="J18" s="1">
        <f>SUM(OSRRefE21_0x_5)</f>
        <v>12494.121020769242</v>
      </c>
      <c r="K18" s="1">
        <f>SUM(OSRRefE21_0x_6)</f>
        <v>11122.496816615394</v>
      </c>
      <c r="L18" s="1">
        <f>SUM(OSRRefE21_0x_7)</f>
        <v>11122.496816615394</v>
      </c>
      <c r="M18" s="1">
        <f>SUM(OSRRefE21_0x_8)</f>
        <v>12494.121020769242</v>
      </c>
      <c r="N18" s="1">
        <f>SUM(OSRRefE21_0x_9)</f>
        <v>11122.496816615394</v>
      </c>
      <c r="O18" s="1">
        <f>SUM(OSRRefE21_0x_10)</f>
        <v>11122.496816615394</v>
      </c>
      <c r="Q18" s="2">
        <f>SUM(OSRRefD20_0x)+IFERROR(SUM(OSRRefE20_0x),0)</f>
        <v>137183.51759523089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1399.92</v>
      </c>
      <c r="E19" s="2">
        <v>1810.8128289230799</v>
      </c>
      <c r="F19" s="2">
        <v>1810.8128289230799</v>
      </c>
      <c r="G19" s="2">
        <v>2263.5160361538501</v>
      </c>
      <c r="H19" s="2">
        <v>1810.8128289230799</v>
      </c>
      <c r="I19" s="2">
        <v>1810.8128289230799</v>
      </c>
      <c r="J19" s="2">
        <v>2263.5160361538501</v>
      </c>
      <c r="K19" s="2">
        <v>1810.8128289230799</v>
      </c>
      <c r="L19" s="2">
        <v>1810.8128289230799</v>
      </c>
      <c r="M19" s="2">
        <v>2263.5160361538501</v>
      </c>
      <c r="N19" s="2">
        <v>1810.8128289230799</v>
      </c>
      <c r="O19" s="2">
        <v>1810.8128289230799</v>
      </c>
      <c r="P19" s="9"/>
      <c r="Q19" s="2">
        <f>SUM(OSRRefD21_0_0x)+IFERROR(SUM(OSRRefE21_0_0x),0)</f>
        <v>22676.970739846198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236.07</v>
      </c>
      <c r="E20" s="2">
        <v>73.350578461538504</v>
      </c>
      <c r="F20" s="2">
        <v>73.350578461538504</v>
      </c>
      <c r="G20" s="2">
        <v>91.688223076923094</v>
      </c>
      <c r="H20" s="2">
        <v>73.350578461538504</v>
      </c>
      <c r="I20" s="2">
        <v>73.350578461538504</v>
      </c>
      <c r="J20" s="2">
        <v>91.688223076923094</v>
      </c>
      <c r="K20" s="2">
        <v>73.350578461538504</v>
      </c>
      <c r="L20" s="2">
        <v>73.350578461538504</v>
      </c>
      <c r="M20" s="2">
        <v>91.688223076923094</v>
      </c>
      <c r="N20" s="2">
        <v>73.350578461538504</v>
      </c>
      <c r="O20" s="2">
        <v>73.350578461538504</v>
      </c>
      <c r="P20" s="9"/>
      <c r="Q20" s="2">
        <f>SUM(OSRRefD21_0_1x)+IFERROR(SUM(OSRRefE21_0_1x),0)</f>
        <v>1097.9392969230773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4833.2700000000004</v>
      </c>
      <c r="E21" s="2">
        <v>5336</v>
      </c>
      <c r="F21" s="2">
        <v>5336</v>
      </c>
      <c r="G21" s="2">
        <v>5336</v>
      </c>
      <c r="H21" s="2">
        <v>5336</v>
      </c>
      <c r="I21" s="2">
        <v>5336</v>
      </c>
      <c r="J21" s="2">
        <v>5336</v>
      </c>
      <c r="K21" s="2">
        <v>5336</v>
      </c>
      <c r="L21" s="2">
        <v>5336</v>
      </c>
      <c r="M21" s="2">
        <v>5336</v>
      </c>
      <c r="N21" s="2">
        <v>5336</v>
      </c>
      <c r="O21" s="2">
        <v>5336</v>
      </c>
      <c r="P21" s="9"/>
      <c r="Q21" s="2">
        <f>SUM(OSRRefD21_0_2x)+IFERROR(SUM(OSRRefE21_0_2x),0)</f>
        <v>63529.270000000004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47.58</v>
      </c>
      <c r="E22" s="2">
        <v>49.6891015384615</v>
      </c>
      <c r="F22" s="2">
        <v>49.6891015384615</v>
      </c>
      <c r="G22" s="2">
        <v>62.111376923076897</v>
      </c>
      <c r="H22" s="2">
        <v>49.6891015384615</v>
      </c>
      <c r="I22" s="2">
        <v>49.6891015384615</v>
      </c>
      <c r="J22" s="2">
        <v>62.111376923076897</v>
      </c>
      <c r="K22" s="2">
        <v>49.6891015384615</v>
      </c>
      <c r="L22" s="2">
        <v>49.6891015384615</v>
      </c>
      <c r="M22" s="2">
        <v>62.111376923076897</v>
      </c>
      <c r="N22" s="2">
        <v>49.6891015384615</v>
      </c>
      <c r="O22" s="2">
        <v>49.6891015384615</v>
      </c>
      <c r="P22" s="9"/>
      <c r="Q22" s="2">
        <f>SUM(OSRRefD21_0_3x)+IFERROR(SUM(OSRRefE21_0_3x),0)</f>
        <v>631.42694307692273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1834.11</v>
      </c>
      <c r="E23" s="2">
        <v>1567.18461538462</v>
      </c>
      <c r="F23" s="2">
        <v>1567.18461538462</v>
      </c>
      <c r="G23" s="2">
        <v>1958.98076923077</v>
      </c>
      <c r="H23" s="2">
        <v>1567.18461538462</v>
      </c>
      <c r="I23" s="2">
        <v>1567.18461538462</v>
      </c>
      <c r="J23" s="2">
        <v>1958.98076923077</v>
      </c>
      <c r="K23" s="2">
        <v>1567.18461538462</v>
      </c>
      <c r="L23" s="2">
        <v>1567.18461538462</v>
      </c>
      <c r="M23" s="2">
        <v>1958.98076923077</v>
      </c>
      <c r="N23" s="2">
        <v>1567.18461538462</v>
      </c>
      <c r="O23" s="2">
        <v>1567.18461538462</v>
      </c>
      <c r="P23" s="9"/>
      <c r="Q23" s="2">
        <f>SUM(OSRRefD21_0_4x)+IFERROR(SUM(OSRRefE21_0_4x),0)</f>
        <v>20248.529230769269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1390.88</v>
      </c>
      <c r="E25" s="2">
        <v>911.15384615384596</v>
      </c>
      <c r="F25" s="2">
        <v>911.15384615384596</v>
      </c>
      <c r="G25" s="2">
        <v>1138.9423076923099</v>
      </c>
      <c r="H25" s="2">
        <v>911.15384615384596</v>
      </c>
      <c r="I25" s="2">
        <v>911.15384615384596</v>
      </c>
      <c r="J25" s="2">
        <v>1138.9423076923099</v>
      </c>
      <c r="K25" s="2">
        <v>911.15384615384596</v>
      </c>
      <c r="L25" s="2">
        <v>911.15384615384596</v>
      </c>
      <c r="M25" s="2">
        <v>1138.9423076923099</v>
      </c>
      <c r="N25" s="2">
        <v>911.15384615384596</v>
      </c>
      <c r="O25" s="2">
        <v>911.15384615384596</v>
      </c>
      <c r="P25" s="9"/>
      <c r="Q25" s="2">
        <f>SUM(OSRRefD21_0_6x)+IFERROR(SUM(OSRRefE21_0_6x),0)</f>
        <v>12096.937692307696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844.06</v>
      </c>
      <c r="E26" s="2">
        <v>1074.3058461538501</v>
      </c>
      <c r="F26" s="2">
        <v>1074.3058461538501</v>
      </c>
      <c r="G26" s="2">
        <v>1342.88230769231</v>
      </c>
      <c r="H26" s="2">
        <v>1074.3058461538501</v>
      </c>
      <c r="I26" s="2">
        <v>1074.3058461538501</v>
      </c>
      <c r="J26" s="2">
        <v>1342.88230769231</v>
      </c>
      <c r="K26" s="2">
        <v>1074.3058461538501</v>
      </c>
      <c r="L26" s="2">
        <v>1074.3058461538501</v>
      </c>
      <c r="M26" s="2">
        <v>1342.88230769231</v>
      </c>
      <c r="N26" s="2">
        <v>1074.3058461538501</v>
      </c>
      <c r="O26" s="2">
        <v>1074.3058461538501</v>
      </c>
      <c r="P26" s="9"/>
      <c r="Q26" s="2">
        <f>SUM(OSRRefD21_0_7x)+IFERROR(SUM(OSRRefE21_0_7x),0)</f>
        <v>13467.153692307727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135.29</v>
      </c>
      <c r="E27" s="2">
        <v>300</v>
      </c>
      <c r="F27" s="2">
        <v>300</v>
      </c>
      <c r="G27" s="2">
        <v>300</v>
      </c>
      <c r="H27" s="2">
        <v>300</v>
      </c>
      <c r="I27" s="2">
        <v>300</v>
      </c>
      <c r="J27" s="2">
        <v>300</v>
      </c>
      <c r="K27" s="2">
        <v>300</v>
      </c>
      <c r="L27" s="2">
        <v>300</v>
      </c>
      <c r="M27" s="2">
        <v>300</v>
      </c>
      <c r="N27" s="2">
        <v>300</v>
      </c>
      <c r="O27" s="2">
        <v>300</v>
      </c>
      <c r="P27" s="9"/>
      <c r="Q27" s="2">
        <f>SUM(OSRRefD21_0_8x)+IFERROR(SUM(OSRRefE21_0_8x),0)</f>
        <v>3435.29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21142.27</v>
      </c>
      <c r="E28" s="1">
        <f>SUM(OSRRefE21_1x_0)</f>
        <v>21839.169230769199</v>
      </c>
      <c r="F28" s="1">
        <f>SUM(OSRRefE21_1x_1)</f>
        <v>21839.169230769199</v>
      </c>
      <c r="G28" s="1">
        <f>SUM(OSRRefE21_1x_2)</f>
        <v>27298.961538461499</v>
      </c>
      <c r="H28" s="1">
        <f>SUM(OSRRefE21_1x_3)</f>
        <v>21839.169230769199</v>
      </c>
      <c r="I28" s="1">
        <f>SUM(OSRRefE21_1x_4)</f>
        <v>21839.169230769199</v>
      </c>
      <c r="J28" s="1">
        <f>SUM(OSRRefE21_1x_5)</f>
        <v>27298.961538461499</v>
      </c>
      <c r="K28" s="1">
        <f>SUM(OSRRefE21_1x_6)</f>
        <v>21839.169230769199</v>
      </c>
      <c r="L28" s="1">
        <f>SUM(OSRRefE21_1x_7)</f>
        <v>21839.169230769199</v>
      </c>
      <c r="M28" s="1">
        <f>SUM(OSRRefE21_1x_8)</f>
        <v>27298.961538461499</v>
      </c>
      <c r="N28" s="1">
        <f>SUM(OSRRefE21_1x_9)</f>
        <v>21839.169230769199</v>
      </c>
      <c r="O28" s="1">
        <f>SUM(OSRRefE21_1x_10)</f>
        <v>21839.169230769199</v>
      </c>
      <c r="Q28" s="2">
        <f>SUM(OSRRefD20_1x)+IFERROR(SUM(OSRRefE20_1x),0)</f>
        <v>277752.50846153818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/>
      <c r="Q29" s="2">
        <f>SUM(OSRRefD21_1_0x)+IFERROR(SUM(OSRRefE21_1_0x),0)</f>
        <v>0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>
        <v>21142.27</v>
      </c>
      <c r="E30" s="2">
        <v>16400.769230769201</v>
      </c>
      <c r="F30" s="2">
        <v>16400.769230769201</v>
      </c>
      <c r="G30" s="2">
        <v>20500.961538461499</v>
      </c>
      <c r="H30" s="2">
        <v>16400.769230769201</v>
      </c>
      <c r="I30" s="2">
        <v>16400.769230769201</v>
      </c>
      <c r="J30" s="2">
        <v>20500.961538461499</v>
      </c>
      <c r="K30" s="2">
        <v>16400.769230769201</v>
      </c>
      <c r="L30" s="2">
        <v>16400.769230769201</v>
      </c>
      <c r="M30" s="2">
        <v>20500.961538461499</v>
      </c>
      <c r="N30" s="2">
        <v>16400.769230769201</v>
      </c>
      <c r="O30" s="2">
        <v>16400.769230769201</v>
      </c>
      <c r="P30" s="9"/>
      <c r="Q30" s="2">
        <f>SUM(OSRRefD21_1_1x)+IFERROR(SUM(OSRRefE21_1_1x),0)</f>
        <v>213851.30846153808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/>
      <c r="E32" s="2">
        <v>5438.4</v>
      </c>
      <c r="F32" s="2">
        <v>5438.4</v>
      </c>
      <c r="G32" s="2">
        <v>6798</v>
      </c>
      <c r="H32" s="2">
        <v>5438.4</v>
      </c>
      <c r="I32" s="2">
        <v>5438.4</v>
      </c>
      <c r="J32" s="2">
        <v>6798</v>
      </c>
      <c r="K32" s="2">
        <v>5438.4</v>
      </c>
      <c r="L32" s="2">
        <v>5438.4</v>
      </c>
      <c r="M32" s="2">
        <v>6798</v>
      </c>
      <c r="N32" s="2">
        <v>5438.4</v>
      </c>
      <c r="O32" s="2">
        <v>5438.4</v>
      </c>
      <c r="P32" s="9"/>
      <c r="Q32" s="2">
        <f>SUM(OSRRefD21_1_3x)+IFERROR(SUM(OSRRefE21_1_3x),0)</f>
        <v>63901.200000000004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SUM(OSRRefD21_1_6x)+IFERROR(SUM(OSRRefE21_1_6x),0)</f>
        <v>0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SUM(OSRRefD21_1_7x)+IFERROR(SUM(OSRRefE21_1_7x),0)</f>
        <v>0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","Depreciation                                      ")</f>
        <v xml:space="preserve">     Depreciation                                      </v>
      </c>
      <c r="C39" s="14"/>
      <c r="D39" s="1">
        <f>SUM(OSRRefD21_2x_0)</f>
        <v>5098.37</v>
      </c>
      <c r="E39" s="1">
        <f>SUM(OSRRefE21_2x_0)</f>
        <v>5056</v>
      </c>
      <c r="F39" s="1">
        <f>SUM(OSRRefE21_2x_1)</f>
        <v>5056</v>
      </c>
      <c r="G39" s="1">
        <f>SUM(OSRRefE21_2x_2)</f>
        <v>2099</v>
      </c>
      <c r="H39" s="1">
        <f>SUM(OSRRefE21_2x_3)</f>
        <v>2099</v>
      </c>
      <c r="I39" s="1">
        <f>SUM(OSRRefE21_2x_4)</f>
        <v>2099</v>
      </c>
      <c r="J39" s="1">
        <f>SUM(OSRRefE21_2x_5)</f>
        <v>2099</v>
      </c>
      <c r="K39" s="1">
        <f>SUM(OSRRefE21_2x_6)</f>
        <v>2099</v>
      </c>
      <c r="L39" s="1">
        <f>SUM(OSRRefE21_2x_7)</f>
        <v>2099</v>
      </c>
      <c r="M39" s="1">
        <f>SUM(OSRRefE21_2x_8)</f>
        <v>2099</v>
      </c>
      <c r="N39" s="1">
        <f>SUM(OSRRefE21_2x_9)</f>
        <v>2099</v>
      </c>
      <c r="O39" s="1">
        <f>SUM(OSRRefE21_2x_10)</f>
        <v>1645</v>
      </c>
      <c r="Q39" s="2">
        <f>SUM(OSRRefD20_2x)+IFERROR(SUM(OSRRefE20_2x),0)</f>
        <v>33647.370000000003</v>
      </c>
    </row>
    <row r="40" spans="1:17" s="34" customFormat="1" hidden="1" outlineLevel="1" x14ac:dyDescent="0.3">
      <c r="A40" s="35"/>
      <c r="B40" s="10" t="str">
        <f>CONCATENATE("          ","6322", " - ","EQUIPMENT DEPRECIATION EXPENSE")</f>
        <v xml:space="preserve">          6322 - EQUIPMENT DEPRECIATION EXPENSE</v>
      </c>
      <c r="C40" s="14"/>
      <c r="D40" s="2">
        <v>5098.37</v>
      </c>
      <c r="E40" s="2">
        <v>4556</v>
      </c>
      <c r="F40" s="2">
        <v>4556</v>
      </c>
      <c r="G40" s="2">
        <v>1599</v>
      </c>
      <c r="H40" s="2">
        <v>1599</v>
      </c>
      <c r="I40" s="2">
        <v>1599</v>
      </c>
      <c r="J40" s="2">
        <v>1599</v>
      </c>
      <c r="K40" s="2">
        <v>1599</v>
      </c>
      <c r="L40" s="2">
        <v>1599</v>
      </c>
      <c r="M40" s="2">
        <v>1599</v>
      </c>
      <c r="N40" s="2">
        <v>1599</v>
      </c>
      <c r="O40" s="2">
        <v>1145</v>
      </c>
      <c r="P40" s="9"/>
      <c r="Q40" s="2">
        <f>SUM(OSRRefD21_2_0x)+IFERROR(SUM(OSRRefE21_2_0x),0)</f>
        <v>28147.37</v>
      </c>
    </row>
    <row r="41" spans="1:17" s="34" customFormat="1" hidden="1" outlineLevel="1" x14ac:dyDescent="0.3">
      <c r="A41" s="35"/>
      <c r="B41" s="10" t="str">
        <f>CONCATENATE("          ","6324", " - ","FURNITURE + FIXT DEPRECIATION")</f>
        <v xml:space="preserve">          6324 - FURNITURE + FIXT DEPRECIATION</v>
      </c>
      <c r="C41" s="14"/>
      <c r="D41" s="2"/>
      <c r="E41" s="2">
        <v>500</v>
      </c>
      <c r="F41" s="2">
        <v>500</v>
      </c>
      <c r="G41" s="2">
        <v>500</v>
      </c>
      <c r="H41" s="2">
        <v>500</v>
      </c>
      <c r="I41" s="2">
        <v>500</v>
      </c>
      <c r="J41" s="2">
        <v>500</v>
      </c>
      <c r="K41" s="2">
        <v>500</v>
      </c>
      <c r="L41" s="2">
        <v>500</v>
      </c>
      <c r="M41" s="2">
        <v>500</v>
      </c>
      <c r="N41" s="2">
        <v>500</v>
      </c>
      <c r="O41" s="2">
        <v>500</v>
      </c>
      <c r="P41" s="9"/>
      <c r="Q41" s="2">
        <f>SUM(OSRRefD21_2_1x)+IFERROR(SUM(OSRRefE21_2_1x),0)</f>
        <v>5500</v>
      </c>
    </row>
    <row r="42" spans="1:17" s="34" customFormat="1" collapsed="1" x14ac:dyDescent="0.3">
      <c r="A42" s="35"/>
      <c r="B42" s="14" t="str">
        <f>CONCATENATE("     ","Insurance                                         ")</f>
        <v xml:space="preserve">     Insurance                                         </v>
      </c>
      <c r="C42" s="14"/>
      <c r="D42" s="1">
        <f>SUM(OSRRefD21_3x_0)</f>
        <v>76.569999999999993</v>
      </c>
      <c r="E42" s="1">
        <f>SUM(OSRRefE21_3x_0)</f>
        <v>75</v>
      </c>
      <c r="F42" s="1">
        <f>SUM(OSRRefE21_3x_1)</f>
        <v>75</v>
      </c>
      <c r="G42" s="1">
        <f>SUM(OSRRefE21_3x_2)</f>
        <v>75</v>
      </c>
      <c r="H42" s="1">
        <f>SUM(OSRRefE21_3x_3)</f>
        <v>75</v>
      </c>
      <c r="I42" s="1">
        <f>SUM(OSRRefE21_3x_4)</f>
        <v>75</v>
      </c>
      <c r="J42" s="1">
        <f>SUM(OSRRefE21_3x_5)</f>
        <v>75</v>
      </c>
      <c r="K42" s="1">
        <f>SUM(OSRRefE21_3x_6)</f>
        <v>75</v>
      </c>
      <c r="L42" s="1">
        <f>SUM(OSRRefE21_3x_7)</f>
        <v>75</v>
      </c>
      <c r="M42" s="1">
        <f>SUM(OSRRefE21_3x_8)</f>
        <v>75</v>
      </c>
      <c r="N42" s="1">
        <f>SUM(OSRRefE21_3x_9)</f>
        <v>75</v>
      </c>
      <c r="O42" s="1">
        <f>SUM(OSRRefE21_3x_10)</f>
        <v>75</v>
      </c>
      <c r="Q42" s="2">
        <f>SUM(OSRRefD20_3x)+IFERROR(SUM(OSRRefE20_3x),0)</f>
        <v>901.56999999999994</v>
      </c>
    </row>
    <row r="43" spans="1:17" s="34" customFormat="1" hidden="1" outlineLevel="1" x14ac:dyDescent="0.3">
      <c r="A43" s="35"/>
      <c r="B43" s="10" t="str">
        <f>CONCATENATE("          ","6314", " - ","LIABILITY INSURANCE")</f>
        <v xml:space="preserve">          6314 - LIABILITY INSURANCE</v>
      </c>
      <c r="C43" s="14"/>
      <c r="D43" s="2">
        <v>76.569999999999993</v>
      </c>
      <c r="E43" s="2">
        <v>75</v>
      </c>
      <c r="F43" s="2">
        <v>75</v>
      </c>
      <c r="G43" s="2">
        <v>75</v>
      </c>
      <c r="H43" s="2">
        <v>75</v>
      </c>
      <c r="I43" s="2">
        <v>75</v>
      </c>
      <c r="J43" s="2">
        <v>75</v>
      </c>
      <c r="K43" s="2">
        <v>75</v>
      </c>
      <c r="L43" s="2">
        <v>75</v>
      </c>
      <c r="M43" s="2">
        <v>75</v>
      </c>
      <c r="N43" s="2">
        <v>75</v>
      </c>
      <c r="O43" s="2">
        <v>75</v>
      </c>
      <c r="P43" s="9"/>
      <c r="Q43" s="2">
        <f>SUM(OSRRefD21_3_0x)+IFERROR(SUM(OSRRefE21_3_0x),0)</f>
        <v>901.56999999999994</v>
      </c>
    </row>
    <row r="44" spans="1:17" s="34" customFormat="1" collapsed="1" x14ac:dyDescent="0.3">
      <c r="A44" s="35"/>
      <c r="B44" s="14" t="str">
        <f>CONCATENATE("     ","Repair and Maintenance                            ")</f>
        <v xml:space="preserve">     Repair and Maintenance                            </v>
      </c>
      <c r="C44" s="14"/>
      <c r="D44" s="1">
        <f>SUM(OSRRefD21_4x_0)</f>
        <v>9565</v>
      </c>
      <c r="E44" s="1">
        <f>SUM(OSRRefE21_4x_0)</f>
        <v>10467</v>
      </c>
      <c r="F44" s="1">
        <f>SUM(OSRRefE21_4x_1)</f>
        <v>10467</v>
      </c>
      <c r="G44" s="1">
        <f>SUM(OSRRefE21_4x_2)</f>
        <v>10467</v>
      </c>
      <c r="H44" s="1">
        <f>SUM(OSRRefE21_4x_3)</f>
        <v>10467</v>
      </c>
      <c r="I44" s="1">
        <f>SUM(OSRRefE21_4x_4)</f>
        <v>10467</v>
      </c>
      <c r="J44" s="1">
        <f>SUM(OSRRefE21_4x_5)</f>
        <v>10467</v>
      </c>
      <c r="K44" s="1">
        <f>SUM(OSRRefE21_4x_6)</f>
        <v>10467</v>
      </c>
      <c r="L44" s="1">
        <f>SUM(OSRRefE21_4x_7)</f>
        <v>10467</v>
      </c>
      <c r="M44" s="1">
        <f>SUM(OSRRefE21_4x_8)</f>
        <v>10467</v>
      </c>
      <c r="N44" s="1">
        <f>SUM(OSRRefE21_4x_9)</f>
        <v>10467</v>
      </c>
      <c r="O44" s="1">
        <f>SUM(OSRRefE21_4x_10)</f>
        <v>10467</v>
      </c>
      <c r="Q44" s="2">
        <f>SUM(OSRRefD20_4x)+IFERROR(SUM(OSRRefE20_4x),0)</f>
        <v>124702</v>
      </c>
    </row>
    <row r="45" spans="1:17" s="34" customFormat="1" hidden="1" outlineLevel="1" x14ac:dyDescent="0.3">
      <c r="A45" s="35"/>
      <c r="B45" s="10" t="str">
        <f>CONCATENATE("          ","6371", " - ","COMPUTER SOFTWARE MAINTENANCE")</f>
        <v xml:space="preserve">          6371 - COMPUTER SOFTWARE MAINTENANCE</v>
      </c>
      <c r="C45" s="14"/>
      <c r="D45" s="2">
        <v>99</v>
      </c>
      <c r="E45" s="2">
        <v>1000</v>
      </c>
      <c r="F45" s="2">
        <v>1000</v>
      </c>
      <c r="G45" s="2">
        <v>1000</v>
      </c>
      <c r="H45" s="2">
        <v>1000</v>
      </c>
      <c r="I45" s="2">
        <v>1000</v>
      </c>
      <c r="J45" s="2">
        <v>1000</v>
      </c>
      <c r="K45" s="2">
        <v>1000</v>
      </c>
      <c r="L45" s="2">
        <v>1000</v>
      </c>
      <c r="M45" s="2">
        <v>1000</v>
      </c>
      <c r="N45" s="2">
        <v>1000</v>
      </c>
      <c r="O45" s="2">
        <v>1000</v>
      </c>
      <c r="P45" s="9"/>
      <c r="Q45" s="2">
        <f>SUM(OSRRefD21_4_0x)+IFERROR(SUM(OSRRefE21_4_0x),0)</f>
        <v>11099</v>
      </c>
    </row>
    <row r="46" spans="1:17" s="34" customFormat="1" hidden="1" outlineLevel="1" x14ac:dyDescent="0.3">
      <c r="A46" s="35"/>
      <c r="B46" s="10" t="str">
        <f>CONCATENATE("          ","6372", " - ","COMPUTER HARDWARE MAINTENANCE")</f>
        <v xml:space="preserve">          6372 - COMPUTER HARDWARE MAINTENANCE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/>
      <c r="L46" s="2"/>
      <c r="M46" s="2"/>
      <c r="N46" s="2"/>
      <c r="O46" s="2"/>
      <c r="P46" s="9"/>
      <c r="Q46" s="2">
        <f>SUM(OSRRefD21_4_1x)+IFERROR(SUM(OSRRefE21_4_1x),0)</f>
        <v>0</v>
      </c>
    </row>
    <row r="47" spans="1:17" s="34" customFormat="1" hidden="1" outlineLevel="1" x14ac:dyDescent="0.3">
      <c r="A47" s="35"/>
      <c r="B47" s="10" t="str">
        <f>CONCATENATE("          ","6373", " - ","MAINTENANCE CONTRACTS")</f>
        <v xml:space="preserve">          6373 - MAINTENANCE CONTRACTS</v>
      </c>
      <c r="C47" s="14"/>
      <c r="D47" s="2">
        <v>9466</v>
      </c>
      <c r="E47" s="2">
        <v>9467</v>
      </c>
      <c r="F47" s="2">
        <v>9467</v>
      </c>
      <c r="G47" s="2">
        <v>9467</v>
      </c>
      <c r="H47" s="2">
        <v>9467</v>
      </c>
      <c r="I47" s="2">
        <v>9467</v>
      </c>
      <c r="J47" s="2">
        <v>9467</v>
      </c>
      <c r="K47" s="2">
        <v>9467</v>
      </c>
      <c r="L47" s="2">
        <v>9467</v>
      </c>
      <c r="M47" s="2">
        <v>9467</v>
      </c>
      <c r="N47" s="2">
        <v>9467</v>
      </c>
      <c r="O47" s="2">
        <v>9467</v>
      </c>
      <c r="P47" s="9"/>
      <c r="Q47" s="2">
        <f>SUM(OSRRefD21_4_2x)+IFERROR(SUM(OSRRefE21_4_2x),0)</f>
        <v>113603</v>
      </c>
    </row>
    <row r="48" spans="1:17" s="34" customFormat="1" collapsed="1" x14ac:dyDescent="0.3">
      <c r="A48" s="35"/>
      <c r="B48" s="14" t="str">
        <f>CONCATENATE("     ","Subscriptions &amp; Dues                              ")</f>
        <v xml:space="preserve">     Subscriptions &amp; Dues                              </v>
      </c>
      <c r="C48" s="14"/>
      <c r="D48" s="1">
        <f>SUM(OSRRefD21_5x_0)</f>
        <v>0</v>
      </c>
      <c r="E48" s="1">
        <f>SUM(OSRRefE21_5x_0)</f>
        <v>0</v>
      </c>
      <c r="F48" s="1">
        <f>SUM(OSRRefE21_5x_1)</f>
        <v>0</v>
      </c>
      <c r="G48" s="1">
        <f>SUM(OSRRefE21_5x_2)</f>
        <v>0</v>
      </c>
      <c r="H48" s="1">
        <f>SUM(OSRRefE21_5x_3)</f>
        <v>0</v>
      </c>
      <c r="I48" s="1">
        <f>SUM(OSRRefE21_5x_4)</f>
        <v>600</v>
      </c>
      <c r="J48" s="1">
        <f>SUM(OSRRefE21_5x_5)</f>
        <v>250</v>
      </c>
      <c r="K48" s="1">
        <f>SUM(OSRRefE21_5x_6)</f>
        <v>0</v>
      </c>
      <c r="L48" s="1">
        <f>SUM(OSRRefE21_5x_7)</f>
        <v>0</v>
      </c>
      <c r="M48" s="1">
        <f>SUM(OSRRefE21_5x_8)</f>
        <v>0</v>
      </c>
      <c r="N48" s="1">
        <f>SUM(OSRRefE21_5x_9)</f>
        <v>0</v>
      </c>
      <c r="O48" s="1">
        <f>SUM(OSRRefE21_5x_10)</f>
        <v>0</v>
      </c>
      <c r="Q48" s="2">
        <f>SUM(OSRRefD20_5x)+IFERROR(SUM(OSRRefE20_5x),0)</f>
        <v>850</v>
      </c>
    </row>
    <row r="49" spans="1:17" s="34" customFormat="1" hidden="1" outlineLevel="1" x14ac:dyDescent="0.3">
      <c r="A49" s="35"/>
      <c r="B49" s="10" t="str">
        <f>CONCATENATE("          ","6258", " - ","MEMBERSHIP DUES")</f>
        <v xml:space="preserve">          6258 - MEMBERSHIP DUES</v>
      </c>
      <c r="C49" s="14"/>
      <c r="D49" s="2"/>
      <c r="E49" s="2"/>
      <c r="F49" s="2"/>
      <c r="G49" s="2"/>
      <c r="H49" s="2"/>
      <c r="I49" s="2"/>
      <c r="J49" s="2">
        <v>250</v>
      </c>
      <c r="K49" s="2"/>
      <c r="L49" s="2"/>
      <c r="M49" s="2"/>
      <c r="N49" s="2"/>
      <c r="O49" s="2"/>
      <c r="P49" s="9"/>
      <c r="Q49" s="2">
        <f>SUM(OSRRefD21_5_0x)+IFERROR(SUM(OSRRefE21_5_0x),0)</f>
        <v>250</v>
      </c>
    </row>
    <row r="50" spans="1:17" s="34" customFormat="1" hidden="1" outlineLevel="1" x14ac:dyDescent="0.3">
      <c r="A50" s="35"/>
      <c r="B50" s="10" t="str">
        <f>CONCATENATE("          ","6275", " - ","SUBSCRIPTIONS")</f>
        <v xml:space="preserve">          6275 - SUBSCRIPTIONS</v>
      </c>
      <c r="C50" s="14"/>
      <c r="D50" s="2"/>
      <c r="E50" s="2"/>
      <c r="F50" s="2"/>
      <c r="G50" s="2"/>
      <c r="H50" s="2"/>
      <c r="I50" s="2">
        <v>600</v>
      </c>
      <c r="J50" s="2"/>
      <c r="K50" s="2"/>
      <c r="L50" s="2"/>
      <c r="M50" s="2"/>
      <c r="N50" s="2"/>
      <c r="O50" s="2"/>
      <c r="P50" s="9"/>
      <c r="Q50" s="2">
        <f>SUM(OSRRefD21_5_1x)+IFERROR(SUM(OSRRefE21_5_1x),0)</f>
        <v>600</v>
      </c>
    </row>
    <row r="51" spans="1:17" s="34" customFormat="1" collapsed="1" x14ac:dyDescent="0.3">
      <c r="A51" s="35"/>
      <c r="B51" s="14" t="str">
        <f>CONCATENATE("     ","Supplies                                          ")</f>
        <v xml:space="preserve">     Supplies                                          </v>
      </c>
      <c r="C51" s="14"/>
      <c r="D51" s="1">
        <f>SUM(OSRRefD21_6x_0)</f>
        <v>336.92</v>
      </c>
      <c r="E51" s="1">
        <f>SUM(OSRRefE21_6x_0)</f>
        <v>100</v>
      </c>
      <c r="F51" s="1">
        <f>SUM(OSRRefE21_6x_1)</f>
        <v>100</v>
      </c>
      <c r="G51" s="1">
        <f>SUM(OSRRefE21_6x_2)</f>
        <v>100</v>
      </c>
      <c r="H51" s="1">
        <f>SUM(OSRRefE21_6x_3)</f>
        <v>100</v>
      </c>
      <c r="I51" s="1">
        <f>SUM(OSRRefE21_6x_4)</f>
        <v>100</v>
      </c>
      <c r="J51" s="1">
        <f>SUM(OSRRefE21_6x_5)</f>
        <v>100</v>
      </c>
      <c r="K51" s="1">
        <f>SUM(OSRRefE21_6x_6)</f>
        <v>100</v>
      </c>
      <c r="L51" s="1">
        <f>SUM(OSRRefE21_6x_7)</f>
        <v>100</v>
      </c>
      <c r="M51" s="1">
        <f>SUM(OSRRefE21_6x_8)</f>
        <v>100</v>
      </c>
      <c r="N51" s="1">
        <f>SUM(OSRRefE21_6x_9)</f>
        <v>100</v>
      </c>
      <c r="O51" s="1">
        <f>SUM(OSRRefE21_6x_10)</f>
        <v>100</v>
      </c>
      <c r="Q51" s="2">
        <f>SUM(OSRRefD20_6x)+IFERROR(SUM(OSRRefE20_6x),0)</f>
        <v>1436.92</v>
      </c>
    </row>
    <row r="52" spans="1:17" s="34" customFormat="1" hidden="1" outlineLevel="1" x14ac:dyDescent="0.3">
      <c r="A52" s="35"/>
      <c r="B52" s="10" t="str">
        <f>CONCATENATE("          ","6241", " - ","OFFICE EXPENSE")</f>
        <v xml:space="preserve">          6241 - OFFICE EXPENSE</v>
      </c>
      <c r="C52" s="14"/>
      <c r="D52" s="2">
        <v>336.92</v>
      </c>
      <c r="E52" s="2">
        <v>100</v>
      </c>
      <c r="F52" s="2">
        <v>100</v>
      </c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100</v>
      </c>
      <c r="M52" s="2">
        <v>100</v>
      </c>
      <c r="N52" s="2">
        <v>100</v>
      </c>
      <c r="O52" s="2">
        <v>100</v>
      </c>
      <c r="P52" s="9"/>
      <c r="Q52" s="2">
        <f>SUM(OSRRefD21_6_0x)+IFERROR(SUM(OSRRefE21_6_0x),0)</f>
        <v>1436.92</v>
      </c>
    </row>
    <row r="53" spans="1:17" s="34" customFormat="1" collapsed="1" x14ac:dyDescent="0.3">
      <c r="A53" s="35"/>
      <c r="B53" s="14" t="str">
        <f>CONCATENATE("     ","Telephone/Data Lines                              ")</f>
        <v xml:space="preserve">     Telephone/Data Lines                              </v>
      </c>
      <c r="C53" s="14"/>
      <c r="D53" s="1">
        <f>SUM(OSRRefD21_7x_0)</f>
        <v>913.68000000000006</v>
      </c>
      <c r="E53" s="1">
        <f>SUM(OSRRefE21_7x_0)</f>
        <v>500</v>
      </c>
      <c r="F53" s="1">
        <f>SUM(OSRRefE21_7x_1)</f>
        <v>500</v>
      </c>
      <c r="G53" s="1">
        <f>SUM(OSRRefE21_7x_2)</f>
        <v>500</v>
      </c>
      <c r="H53" s="1">
        <f>SUM(OSRRefE21_7x_3)</f>
        <v>500</v>
      </c>
      <c r="I53" s="1">
        <f>SUM(OSRRefE21_7x_4)</f>
        <v>500</v>
      </c>
      <c r="J53" s="1">
        <f>SUM(OSRRefE21_7x_5)</f>
        <v>500</v>
      </c>
      <c r="K53" s="1">
        <f>SUM(OSRRefE21_7x_6)</f>
        <v>500</v>
      </c>
      <c r="L53" s="1">
        <f>SUM(OSRRefE21_7x_7)</f>
        <v>500</v>
      </c>
      <c r="M53" s="1">
        <f>SUM(OSRRefE21_7x_8)</f>
        <v>500</v>
      </c>
      <c r="N53" s="1">
        <f>SUM(OSRRefE21_7x_9)</f>
        <v>600</v>
      </c>
      <c r="O53" s="1">
        <f>SUM(OSRRefE21_7x_10)</f>
        <v>580</v>
      </c>
      <c r="Q53" s="2">
        <f>SUM(OSRRefD20_7x)+IFERROR(SUM(OSRRefE20_7x),0)</f>
        <v>6593.68</v>
      </c>
    </row>
    <row r="54" spans="1:17" s="34" customFormat="1" hidden="1" outlineLevel="1" x14ac:dyDescent="0.3">
      <c r="A54" s="35"/>
      <c r="B54" s="10" t="str">
        <f>CONCATENATE("          ","6303", " - ","DATA PHONE LINES")</f>
        <v xml:space="preserve">          6303 - DATA PHONE LINES</v>
      </c>
      <c r="C54" s="14"/>
      <c r="D54" s="2">
        <v>161.97999999999999</v>
      </c>
      <c r="E54" s="2">
        <v>200</v>
      </c>
      <c r="F54" s="2">
        <v>200</v>
      </c>
      <c r="G54" s="2">
        <v>200</v>
      </c>
      <c r="H54" s="2">
        <v>200</v>
      </c>
      <c r="I54" s="2">
        <v>200</v>
      </c>
      <c r="J54" s="2">
        <v>200</v>
      </c>
      <c r="K54" s="2">
        <v>200</v>
      </c>
      <c r="L54" s="2">
        <v>200</v>
      </c>
      <c r="M54" s="2">
        <v>200</v>
      </c>
      <c r="N54" s="2">
        <v>300</v>
      </c>
      <c r="O54" s="2">
        <v>280</v>
      </c>
      <c r="P54" s="9"/>
      <c r="Q54" s="2">
        <f>SUM(OSRRefD21_7_0x)+IFERROR(SUM(OSRRefE21_7_0x),0)</f>
        <v>2541.98</v>
      </c>
    </row>
    <row r="55" spans="1:17" s="34" customFormat="1" hidden="1" outlineLevel="1" x14ac:dyDescent="0.3">
      <c r="A55" s="35"/>
      <c r="B55" s="10" t="str">
        <f>CONCATENATE("          ","6309", " - ","TELEPHONE")</f>
        <v xml:space="preserve">          6309 - TELEPHONE</v>
      </c>
      <c r="C55" s="14"/>
      <c r="D55" s="2">
        <v>751.7</v>
      </c>
      <c r="E55" s="2">
        <v>300</v>
      </c>
      <c r="F55" s="2">
        <v>300</v>
      </c>
      <c r="G55" s="2">
        <v>300</v>
      </c>
      <c r="H55" s="2">
        <v>300</v>
      </c>
      <c r="I55" s="2">
        <v>300</v>
      </c>
      <c r="J55" s="2">
        <v>300</v>
      </c>
      <c r="K55" s="2">
        <v>300</v>
      </c>
      <c r="L55" s="2">
        <v>300</v>
      </c>
      <c r="M55" s="2">
        <v>300</v>
      </c>
      <c r="N55" s="2">
        <v>300</v>
      </c>
      <c r="O55" s="2">
        <v>300</v>
      </c>
      <c r="P55" s="9"/>
      <c r="Q55" s="2">
        <f>SUM(OSRRefD21_7_1x)+IFERROR(SUM(OSRRefE21_7_1x),0)</f>
        <v>4051.7</v>
      </c>
    </row>
    <row r="56" spans="1:17" s="34" customFormat="1" collapsed="1" x14ac:dyDescent="0.3">
      <c r="A56" s="35"/>
      <c r="B56" s="14" t="str">
        <f>CONCATENATE("     ","Travel                                            ")</f>
        <v xml:space="preserve">     Travel                                            </v>
      </c>
      <c r="C56" s="14"/>
      <c r="D56" s="1">
        <f>SUM(OSRRefD21_8x_0)</f>
        <v>0</v>
      </c>
      <c r="E56" s="1">
        <f>SUM(OSRRefE21_8x_0)</f>
        <v>0</v>
      </c>
      <c r="F56" s="1">
        <f>SUM(OSRRefE21_8x_1)</f>
        <v>0</v>
      </c>
      <c r="G56" s="1">
        <f>SUM(OSRRefE21_8x_2)</f>
        <v>0</v>
      </c>
      <c r="H56" s="1">
        <f>SUM(OSRRefE21_8x_3)</f>
        <v>0</v>
      </c>
      <c r="I56" s="1">
        <f>SUM(OSRRefE21_8x_4)</f>
        <v>3500</v>
      </c>
      <c r="J56" s="1">
        <f>SUM(OSRRefE21_8x_5)</f>
        <v>2000</v>
      </c>
      <c r="K56" s="1">
        <f>SUM(OSRRefE21_8x_6)</f>
        <v>0</v>
      </c>
      <c r="L56" s="1">
        <f>SUM(OSRRefE21_8x_7)</f>
        <v>0</v>
      </c>
      <c r="M56" s="1">
        <f>SUM(OSRRefE21_8x_8)</f>
        <v>0</v>
      </c>
      <c r="N56" s="1">
        <f>SUM(OSRRefE21_8x_9)</f>
        <v>0</v>
      </c>
      <c r="O56" s="1">
        <f>SUM(OSRRefE21_8x_10)</f>
        <v>0</v>
      </c>
      <c r="Q56" s="2">
        <f>SUM(OSRRefD20_8x)+IFERROR(SUM(OSRRefE20_8x),0)</f>
        <v>5500</v>
      </c>
    </row>
    <row r="57" spans="1:17" s="34" customFormat="1" hidden="1" outlineLevel="1" x14ac:dyDescent="0.3">
      <c r="A57" s="35"/>
      <c r="B57" s="10" t="str">
        <f>CONCATENATE("          ","6292", " - ","TRAVEL/CONFERENCE")</f>
        <v xml:space="preserve">          6292 - TRAVEL/CONFERENCE</v>
      </c>
      <c r="C57" s="14"/>
      <c r="D57" s="2"/>
      <c r="E57" s="2"/>
      <c r="F57" s="2"/>
      <c r="G57" s="2"/>
      <c r="H57" s="2"/>
      <c r="I57" s="2">
        <v>3500</v>
      </c>
      <c r="J57" s="2">
        <v>2000</v>
      </c>
      <c r="K57" s="2"/>
      <c r="L57" s="2"/>
      <c r="M57" s="2"/>
      <c r="N57" s="2"/>
      <c r="O57" s="2"/>
      <c r="P57" s="9"/>
      <c r="Q57" s="2">
        <f>SUM(OSRRefD21_8_0x)+IFERROR(SUM(OSRRefE21_8_0x),0)</f>
        <v>5500</v>
      </c>
    </row>
    <row r="58" spans="1:17" s="28" customFormat="1" x14ac:dyDescent="0.3">
      <c r="A58" s="21"/>
      <c r="B58" s="21"/>
      <c r="C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</row>
    <row r="59" spans="1:17" s="9" customFormat="1" x14ac:dyDescent="0.3">
      <c r="A59" s="22"/>
      <c r="B59" s="16" t="s">
        <v>293</v>
      </c>
      <c r="C59" s="23"/>
      <c r="D59" s="3">
        <f>0</f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Q59" s="2">
        <f>SUM(OSRRefD23_0x)+IFERROR(SUM(OSRRefE23_0x),0)</f>
        <v>0</v>
      </c>
    </row>
    <row r="60" spans="1:17" x14ac:dyDescent="0.3">
      <c r="A60" s="5"/>
      <c r="B60" s="6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</row>
    <row r="61" spans="1:17" s="15" customFormat="1" x14ac:dyDescent="0.3">
      <c r="A61" s="6"/>
      <c r="B61" s="17" t="s">
        <v>276</v>
      </c>
      <c r="C61" s="17"/>
      <c r="D61" s="8">
        <f t="shared" ref="D61:O61" si="4">IFERROR(+D14-D17+D59, 0)</f>
        <v>-47853.990000000005</v>
      </c>
      <c r="E61" s="8">
        <f t="shared" si="4"/>
        <v>-49159.666047384591</v>
      </c>
      <c r="F61" s="8">
        <f t="shared" si="4"/>
        <v>-49159.666047384591</v>
      </c>
      <c r="G61" s="8">
        <f t="shared" si="4"/>
        <v>-53034.082559230737</v>
      </c>
      <c r="H61" s="8">
        <f t="shared" si="4"/>
        <v>-46202.666047384591</v>
      </c>
      <c r="I61" s="8">
        <f t="shared" si="4"/>
        <v>-50302.666047384591</v>
      </c>
      <c r="J61" s="8">
        <f t="shared" si="4"/>
        <v>-55284.082559230737</v>
      </c>
      <c r="K61" s="8">
        <f t="shared" si="4"/>
        <v>-46202.666047384591</v>
      </c>
      <c r="L61" s="8">
        <f t="shared" si="4"/>
        <v>-46202.666047384591</v>
      </c>
      <c r="M61" s="8">
        <f t="shared" si="4"/>
        <v>-53034.082559230737</v>
      </c>
      <c r="N61" s="8">
        <f t="shared" si="4"/>
        <v>-46302.666047384591</v>
      </c>
      <c r="O61" s="8">
        <f t="shared" si="4"/>
        <v>-45828.666047384591</v>
      </c>
      <c r="Q61" s="8">
        <f>IFERROR(+Q14-Q17+Q59, 0)</f>
        <v>-588567.56605676911</v>
      </c>
    </row>
    <row r="62" spans="1:17" s="6" customFormat="1" x14ac:dyDescent="0.3">
      <c r="B62" s="16"/>
      <c r="C62" s="16"/>
      <c r="D62" s="4">
        <f t="shared" ref="D62:O62" si="5">IFERROR(D61/D10, 0)</f>
        <v>0</v>
      </c>
      <c r="E62" s="4">
        <f t="shared" si="5"/>
        <v>0</v>
      </c>
      <c r="F62" s="4">
        <f t="shared" si="5"/>
        <v>0</v>
      </c>
      <c r="G62" s="4">
        <f t="shared" si="5"/>
        <v>0</v>
      </c>
      <c r="H62" s="4">
        <f t="shared" si="5"/>
        <v>0</v>
      </c>
      <c r="I62" s="4">
        <f t="shared" si="5"/>
        <v>0</v>
      </c>
      <c r="J62" s="4">
        <f t="shared" si="5"/>
        <v>0</v>
      </c>
      <c r="K62" s="4">
        <f t="shared" si="5"/>
        <v>0</v>
      </c>
      <c r="L62" s="4">
        <f t="shared" si="5"/>
        <v>0</v>
      </c>
      <c r="M62" s="4">
        <f t="shared" si="5"/>
        <v>0</v>
      </c>
      <c r="N62" s="4">
        <f t="shared" si="5"/>
        <v>0</v>
      </c>
      <c r="O62" s="4">
        <f t="shared" si="5"/>
        <v>0</v>
      </c>
      <c r="P62" s="18"/>
      <c r="Q62" s="4">
        <f>IFERROR(Q61/Q10, 0)</f>
        <v>0</v>
      </c>
    </row>
    <row r="63" spans="1:17" x14ac:dyDescent="0.3">
      <c r="A63" s="5"/>
      <c r="B63" s="6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</row>
    <row r="64" spans="1:17" s="15" customFormat="1" x14ac:dyDescent="0.3">
      <c r="A64" s="25"/>
      <c r="B64" s="6" t="s">
        <v>125</v>
      </c>
      <c r="C64" s="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2">
        <f>SUM(OSRRefD28_0x)+IFERROR(SUM(OSRRefE28_0x),0)</f>
        <v>0</v>
      </c>
    </row>
    <row r="65" spans="1:17" x14ac:dyDescent="0.3">
      <c r="A65" s="5"/>
      <c r="B65" s="6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</row>
    <row r="66" spans="1:17" s="15" customFormat="1" ht="15" thickBot="1" x14ac:dyDescent="0.35">
      <c r="A66" s="6"/>
      <c r="B66" s="17" t="s">
        <v>124</v>
      </c>
      <c r="C66" s="17"/>
      <c r="D66" s="7">
        <f t="shared" ref="D66:O66" si="6">IFERROR(+D61-D64, 0)</f>
        <v>-47853.990000000005</v>
      </c>
      <c r="E66" s="7">
        <f t="shared" si="6"/>
        <v>-49159.666047384591</v>
      </c>
      <c r="F66" s="7">
        <f t="shared" si="6"/>
        <v>-49159.666047384591</v>
      </c>
      <c r="G66" s="7">
        <f t="shared" si="6"/>
        <v>-53034.082559230737</v>
      </c>
      <c r="H66" s="7">
        <f t="shared" si="6"/>
        <v>-46202.666047384591</v>
      </c>
      <c r="I66" s="7">
        <f t="shared" si="6"/>
        <v>-50302.666047384591</v>
      </c>
      <c r="J66" s="7">
        <f t="shared" si="6"/>
        <v>-55284.082559230737</v>
      </c>
      <c r="K66" s="7">
        <f t="shared" si="6"/>
        <v>-46202.666047384591</v>
      </c>
      <c r="L66" s="7">
        <f t="shared" si="6"/>
        <v>-46202.666047384591</v>
      </c>
      <c r="M66" s="7">
        <f t="shared" si="6"/>
        <v>-53034.082559230737</v>
      </c>
      <c r="N66" s="7">
        <f t="shared" si="6"/>
        <v>-46302.666047384591</v>
      </c>
      <c r="O66" s="7">
        <f t="shared" si="6"/>
        <v>-45828.666047384591</v>
      </c>
      <c r="Q66" s="7">
        <f>IFERROR(+Q61-Q64, 0)</f>
        <v>-588567.56605676911</v>
      </c>
    </row>
    <row r="67" spans="1:17" ht="15" thickTop="1" x14ac:dyDescent="0.3">
      <c r="A67" s="5"/>
      <c r="B67" s="5"/>
      <c r="C67" s="5"/>
      <c r="D67" s="4">
        <f t="shared" ref="D67:O67" si="7">IFERROR(D66/D10, 0)</f>
        <v>0</v>
      </c>
      <c r="E67" s="4">
        <f t="shared" si="7"/>
        <v>0</v>
      </c>
      <c r="F67" s="4">
        <f t="shared" si="7"/>
        <v>0</v>
      </c>
      <c r="G67" s="4">
        <f t="shared" si="7"/>
        <v>0</v>
      </c>
      <c r="H67" s="4">
        <f t="shared" si="7"/>
        <v>0</v>
      </c>
      <c r="I67" s="4">
        <f t="shared" si="7"/>
        <v>0</v>
      </c>
      <c r="J67" s="4">
        <f t="shared" si="7"/>
        <v>0</v>
      </c>
      <c r="K67" s="4">
        <f t="shared" si="7"/>
        <v>0</v>
      </c>
      <c r="L67" s="4">
        <f t="shared" si="7"/>
        <v>0</v>
      </c>
      <c r="M67" s="4">
        <f t="shared" si="7"/>
        <v>0</v>
      </c>
      <c r="N67" s="4">
        <f t="shared" si="7"/>
        <v>0</v>
      </c>
      <c r="O67" s="4">
        <f t="shared" si="7"/>
        <v>0</v>
      </c>
      <c r="P67" s="18"/>
      <c r="Q67" s="4">
        <f>IFERROR(Q66/Q10, 0)</f>
        <v>0</v>
      </c>
    </row>
    <row r="68" spans="1:17" x14ac:dyDescent="0.3">
      <c r="A68" s="5"/>
      <c r="B68" s="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</row>
    <row r="69" spans="1:17" x14ac:dyDescent="0.3">
      <c r="A69" s="5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</row>
    <row r="70" spans="1:17" s="15" customFormat="1" ht="15" thickBot="1" x14ac:dyDescent="0.35">
      <c r="A70" s="6"/>
      <c r="B70" s="17" t="s">
        <v>294</v>
      </c>
      <c r="C70" s="17"/>
      <c r="D70" s="7">
        <f t="shared" ref="D70:O70" si="8">IFERROR(SUM(D66:D69), 0)</f>
        <v>-47853.990000000005</v>
      </c>
      <c r="E70" s="7">
        <f t="shared" si="8"/>
        <v>-49159.666047384591</v>
      </c>
      <c r="F70" s="7">
        <f t="shared" si="8"/>
        <v>-49159.666047384591</v>
      </c>
      <c r="G70" s="7">
        <f t="shared" si="8"/>
        <v>-53034.082559230737</v>
      </c>
      <c r="H70" s="7">
        <f t="shared" si="8"/>
        <v>-46202.666047384591</v>
      </c>
      <c r="I70" s="7">
        <f t="shared" si="8"/>
        <v>-50302.666047384591</v>
      </c>
      <c r="J70" s="7">
        <f t="shared" si="8"/>
        <v>-55284.082559230737</v>
      </c>
      <c r="K70" s="7">
        <f t="shared" si="8"/>
        <v>-46202.666047384591</v>
      </c>
      <c r="L70" s="7">
        <f t="shared" si="8"/>
        <v>-46202.666047384591</v>
      </c>
      <c r="M70" s="7">
        <f t="shared" si="8"/>
        <v>-53034.082559230737</v>
      </c>
      <c r="N70" s="7">
        <f t="shared" si="8"/>
        <v>-46302.666047384591</v>
      </c>
      <c r="O70" s="7">
        <f t="shared" si="8"/>
        <v>-45828.666047384591</v>
      </c>
      <c r="Q70" s="7">
        <f>IFERROR(SUM(Q66:Q69), 0)</f>
        <v>-588567.56605676911</v>
      </c>
    </row>
    <row r="71" spans="1:17" ht="15" thickTop="1" x14ac:dyDescent="0.3">
      <c r="A71" s="5"/>
      <c r="C71" s="5"/>
      <c r="D71" s="4">
        <f t="shared" ref="D71:O71" si="9">IFERROR(D70/D10, 0)</f>
        <v>0</v>
      </c>
      <c r="E71" s="4">
        <f t="shared" si="9"/>
        <v>0</v>
      </c>
      <c r="F71" s="4">
        <f t="shared" si="9"/>
        <v>0</v>
      </c>
      <c r="G71" s="4">
        <f t="shared" si="9"/>
        <v>0</v>
      </c>
      <c r="H71" s="4">
        <f t="shared" si="9"/>
        <v>0</v>
      </c>
      <c r="I71" s="4">
        <f t="shared" si="9"/>
        <v>0</v>
      </c>
      <c r="J71" s="4">
        <f t="shared" si="9"/>
        <v>0</v>
      </c>
      <c r="K71" s="4">
        <f t="shared" si="9"/>
        <v>0</v>
      </c>
      <c r="L71" s="4">
        <f t="shared" si="9"/>
        <v>0</v>
      </c>
      <c r="M71" s="4">
        <f t="shared" si="9"/>
        <v>0</v>
      </c>
      <c r="N71" s="4">
        <f t="shared" si="9"/>
        <v>0</v>
      </c>
      <c r="O71" s="4">
        <f t="shared" si="9"/>
        <v>0</v>
      </c>
      <c r="P71" s="18"/>
      <c r="Q71" s="4">
        <f>IFERROR(Q70/Q10, 0)</f>
        <v>0</v>
      </c>
    </row>
    <row r="72" spans="1:17" x14ac:dyDescent="0.3">
      <c r="A72" s="5"/>
      <c r="B72" s="30">
        <v>44462.678423958336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Q72" s="11"/>
    </row>
    <row r="73" spans="1:17" x14ac:dyDescent="0.3">
      <c r="A73" s="5"/>
      <c r="B73" s="31" t="s">
        <v>54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Q73" s="11"/>
    </row>
    <row r="74" spans="1:17" x14ac:dyDescent="0.3">
      <c r="A74" s="5"/>
      <c r="B74" s="2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Q74" s="11"/>
    </row>
    <row r="75" spans="1:17" x14ac:dyDescent="0.3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  <outlinePr summaryBelow="0" summaryRight="0"/>
    <pageSetUpPr fitToPage="1"/>
  </sheetPr>
  <dimension ref="A2:R70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","205", " - ", "Maintenance")</f>
        <v>Department 205 - Maintenance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8183.68</v>
      </c>
      <c r="E17" s="13">
        <f>SUM(OSRRefE20x_0)</f>
        <v>6887.9665799999993</v>
      </c>
      <c r="F17" s="13">
        <f>SUM(OSRRefE20x_1)</f>
        <v>7437.9665799999993</v>
      </c>
      <c r="G17" s="13">
        <f>SUM(OSRRefE20x_2)</f>
        <v>8863.7082250000003</v>
      </c>
      <c r="H17" s="13">
        <f>SUM(OSRRefE20x_3)</f>
        <v>7437.9665799999993</v>
      </c>
      <c r="I17" s="13">
        <f>SUM(OSRRefE20x_4)</f>
        <v>7437.9665799999993</v>
      </c>
      <c r="J17" s="13">
        <f>SUM(OSRRefE20x_5)</f>
        <v>9013.7082250000003</v>
      </c>
      <c r="K17" s="13">
        <f>SUM(OSRRefE20x_6)</f>
        <v>7587.9665799999993</v>
      </c>
      <c r="L17" s="13">
        <f>SUM(OSRRefE20x_7)</f>
        <v>7437.9665799999993</v>
      </c>
      <c r="M17" s="13">
        <f>SUM(OSRRefE20x_8)</f>
        <v>14013.708225</v>
      </c>
      <c r="N17" s="13">
        <f>SUM(OSRRefE20x_9)</f>
        <v>7587.9665799999993</v>
      </c>
      <c r="O17" s="13">
        <f>SUM(OSRRefE20x_10)</f>
        <v>7587.9665799999993</v>
      </c>
      <c r="Q17" s="13">
        <f>SUM(OSRRefG20x)</f>
        <v>99478.537314999994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2170.5699999999997</v>
      </c>
      <c r="E18" s="1">
        <f>SUM(OSRRefE21_0x_0)</f>
        <v>1854.7865799999997</v>
      </c>
      <c r="F18" s="1">
        <f>SUM(OSRRefE21_0x_1)</f>
        <v>1854.7865799999997</v>
      </c>
      <c r="G18" s="1">
        <f>SUM(OSRRefE21_0x_2)</f>
        <v>2274.7332249999999</v>
      </c>
      <c r="H18" s="1">
        <f>SUM(OSRRefE21_0x_3)</f>
        <v>1854.7865799999997</v>
      </c>
      <c r="I18" s="1">
        <f>SUM(OSRRefE21_0x_4)</f>
        <v>1854.7865799999997</v>
      </c>
      <c r="J18" s="1">
        <f>SUM(OSRRefE21_0x_5)</f>
        <v>2274.7332249999999</v>
      </c>
      <c r="K18" s="1">
        <f>SUM(OSRRefE21_0x_6)</f>
        <v>1854.7865799999997</v>
      </c>
      <c r="L18" s="1">
        <f>SUM(OSRRefE21_0x_7)</f>
        <v>1854.7865799999997</v>
      </c>
      <c r="M18" s="1">
        <f>SUM(OSRRefE21_0x_8)</f>
        <v>2274.7332249999999</v>
      </c>
      <c r="N18" s="1">
        <f>SUM(OSRRefE21_0x_9)</f>
        <v>1854.7865799999997</v>
      </c>
      <c r="O18" s="1">
        <f>SUM(OSRRefE21_0x_10)</f>
        <v>1854.7865799999997</v>
      </c>
      <c r="Q18" s="2">
        <f>SUM(OSRRefD20_0x)+IFERROR(SUM(OSRRefE20_0x),0)</f>
        <v>23833.062314999999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318.92</v>
      </c>
      <c r="E19" s="2">
        <v>331.06878</v>
      </c>
      <c r="F19" s="2">
        <v>331.06878</v>
      </c>
      <c r="G19" s="2">
        <v>413.83597500000002</v>
      </c>
      <c r="H19" s="2">
        <v>331.06878</v>
      </c>
      <c r="I19" s="2">
        <v>331.06878</v>
      </c>
      <c r="J19" s="2">
        <v>413.83597500000002</v>
      </c>
      <c r="K19" s="2">
        <v>331.06878</v>
      </c>
      <c r="L19" s="2">
        <v>331.06878</v>
      </c>
      <c r="M19" s="2">
        <v>413.83597500000002</v>
      </c>
      <c r="N19" s="2">
        <v>331.06878</v>
      </c>
      <c r="O19" s="2">
        <v>331.06878</v>
      </c>
      <c r="P19" s="9"/>
      <c r="Q19" s="2">
        <f>SUM(OSRRefD21_0_0x)+IFERROR(SUM(OSRRefE21_0_0x),0)</f>
        <v>4208.9781650000004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230.54</v>
      </c>
      <c r="E20" s="2">
        <v>295.03320000000002</v>
      </c>
      <c r="F20" s="2">
        <v>295.03320000000002</v>
      </c>
      <c r="G20" s="2">
        <v>368.79149999999998</v>
      </c>
      <c r="H20" s="2">
        <v>295.03320000000002</v>
      </c>
      <c r="I20" s="2">
        <v>295.03320000000002</v>
      </c>
      <c r="J20" s="2">
        <v>368.79149999999998</v>
      </c>
      <c r="K20" s="2">
        <v>295.03320000000002</v>
      </c>
      <c r="L20" s="2">
        <v>295.03320000000002</v>
      </c>
      <c r="M20" s="2">
        <v>368.79149999999998</v>
      </c>
      <c r="N20" s="2">
        <v>295.03320000000002</v>
      </c>
      <c r="O20" s="2">
        <v>295.03320000000002</v>
      </c>
      <c r="P20" s="9"/>
      <c r="Q20" s="2">
        <f>SUM(OSRRefD21_0_1x)+IFERROR(SUM(OSRRefE21_0_1x),0)</f>
        <v>3697.1800999999996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696.16</v>
      </c>
      <c r="E21" s="2">
        <v>612</v>
      </c>
      <c r="F21" s="2">
        <v>612</v>
      </c>
      <c r="G21" s="2">
        <v>765</v>
      </c>
      <c r="H21" s="2">
        <v>612</v>
      </c>
      <c r="I21" s="2">
        <v>612</v>
      </c>
      <c r="J21" s="2">
        <v>765</v>
      </c>
      <c r="K21" s="2">
        <v>612</v>
      </c>
      <c r="L21" s="2">
        <v>612</v>
      </c>
      <c r="M21" s="2">
        <v>765</v>
      </c>
      <c r="N21" s="2">
        <v>612</v>
      </c>
      <c r="O21" s="2">
        <v>612</v>
      </c>
      <c r="P21" s="9"/>
      <c r="Q21" s="2">
        <f>SUM(OSRRefD21_0_2x)+IFERROR(SUM(OSRRefE21_0_2x),0)</f>
        <v>7887.16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10.84</v>
      </c>
      <c r="E22" s="2">
        <v>9.0846</v>
      </c>
      <c r="F22" s="2">
        <v>9.0846</v>
      </c>
      <c r="G22" s="2">
        <v>11.35575</v>
      </c>
      <c r="H22" s="2">
        <v>9.0846</v>
      </c>
      <c r="I22" s="2">
        <v>9.0846</v>
      </c>
      <c r="J22" s="2">
        <v>11.35575</v>
      </c>
      <c r="K22" s="2">
        <v>9.0846</v>
      </c>
      <c r="L22" s="2">
        <v>9.0846</v>
      </c>
      <c r="M22" s="2">
        <v>11.35575</v>
      </c>
      <c r="N22" s="2">
        <v>9.0846</v>
      </c>
      <c r="O22" s="2">
        <v>9.0846</v>
      </c>
      <c r="P22" s="9"/>
      <c r="Q22" s="2">
        <f>SUM(OSRRefD21_0_3x)+IFERROR(SUM(OSRRefE21_0_3x),0)</f>
        <v>117.58404999999999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456.93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9"/>
      <c r="Q23" s="2">
        <f>SUM(OSRRefD21_0_4x)+IFERROR(SUM(OSRRefE21_0_4x),0)</f>
        <v>456.93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88.46</v>
      </c>
      <c r="E25" s="2">
        <v>346.08</v>
      </c>
      <c r="F25" s="2">
        <v>346.08</v>
      </c>
      <c r="G25" s="2">
        <v>432.6</v>
      </c>
      <c r="H25" s="2">
        <v>346.08</v>
      </c>
      <c r="I25" s="2">
        <v>346.08</v>
      </c>
      <c r="J25" s="2">
        <v>432.6</v>
      </c>
      <c r="K25" s="2">
        <v>346.08</v>
      </c>
      <c r="L25" s="2">
        <v>346.08</v>
      </c>
      <c r="M25" s="2">
        <v>432.6</v>
      </c>
      <c r="N25" s="2">
        <v>346.08</v>
      </c>
      <c r="O25" s="2">
        <v>346.08</v>
      </c>
      <c r="P25" s="9"/>
      <c r="Q25" s="2">
        <f>SUM(OSRRefD21_0_6x)+IFERROR(SUM(OSRRefE21_0_6x),0)</f>
        <v>4154.8999999999996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193.72</v>
      </c>
      <c r="E26" s="2">
        <v>86.52</v>
      </c>
      <c r="F26" s="2">
        <v>86.52</v>
      </c>
      <c r="G26" s="2">
        <v>108.15</v>
      </c>
      <c r="H26" s="2">
        <v>86.52</v>
      </c>
      <c r="I26" s="2">
        <v>86.52</v>
      </c>
      <c r="J26" s="2">
        <v>108.15</v>
      </c>
      <c r="K26" s="2">
        <v>86.52</v>
      </c>
      <c r="L26" s="2">
        <v>86.52</v>
      </c>
      <c r="M26" s="2">
        <v>108.15</v>
      </c>
      <c r="N26" s="2">
        <v>86.52</v>
      </c>
      <c r="O26" s="2">
        <v>86.52</v>
      </c>
      <c r="P26" s="9"/>
      <c r="Q26" s="2">
        <f>SUM(OSRRefD21_0_7x)+IFERROR(SUM(OSRRefE21_0_7x),0)</f>
        <v>1210.33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175</v>
      </c>
      <c r="E27" s="2">
        <v>175</v>
      </c>
      <c r="F27" s="2">
        <v>175</v>
      </c>
      <c r="G27" s="2">
        <v>175</v>
      </c>
      <c r="H27" s="2">
        <v>175</v>
      </c>
      <c r="I27" s="2">
        <v>175</v>
      </c>
      <c r="J27" s="2">
        <v>175</v>
      </c>
      <c r="K27" s="2">
        <v>175</v>
      </c>
      <c r="L27" s="2">
        <v>175</v>
      </c>
      <c r="M27" s="2">
        <v>175</v>
      </c>
      <c r="N27" s="2">
        <v>175</v>
      </c>
      <c r="O27" s="2">
        <v>175</v>
      </c>
      <c r="P27" s="9"/>
      <c r="Q27" s="2">
        <f>SUM(OSRRefD21_0_8x)+IFERROR(SUM(OSRRefE21_0_8x),0)</f>
        <v>2100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5039.75</v>
      </c>
      <c r="E28" s="1">
        <f>SUM(OSRRefE21_1x_0)</f>
        <v>4023.18</v>
      </c>
      <c r="F28" s="1">
        <f>SUM(OSRRefE21_1x_1)</f>
        <v>4023.18</v>
      </c>
      <c r="G28" s="1">
        <f>SUM(OSRRefE21_1x_2)</f>
        <v>5028.9750000000004</v>
      </c>
      <c r="H28" s="1">
        <f>SUM(OSRRefE21_1x_3)</f>
        <v>4023.18</v>
      </c>
      <c r="I28" s="1">
        <f>SUM(OSRRefE21_1x_4)</f>
        <v>4023.18</v>
      </c>
      <c r="J28" s="1">
        <f>SUM(OSRRefE21_1x_5)</f>
        <v>5028.9750000000004</v>
      </c>
      <c r="K28" s="1">
        <f>SUM(OSRRefE21_1x_6)</f>
        <v>4023.18</v>
      </c>
      <c r="L28" s="1">
        <f>SUM(OSRRefE21_1x_7)</f>
        <v>4023.18</v>
      </c>
      <c r="M28" s="1">
        <f>SUM(OSRRefE21_1x_8)</f>
        <v>5028.9750000000004</v>
      </c>
      <c r="N28" s="1">
        <f>SUM(OSRRefE21_1x_9)</f>
        <v>4023.18</v>
      </c>
      <c r="O28" s="1">
        <f>SUM(OSRRefE21_1x_10)</f>
        <v>4023.18</v>
      </c>
      <c r="Q28" s="2">
        <f>SUM(OSRRefD20_1x)+IFERROR(SUM(OSRRefE20_1x),0)</f>
        <v>52312.114999999998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/>
      <c r="Q29" s="2">
        <f>SUM(OSRRefD21_1_0x)+IFERROR(SUM(OSRRefE21_1_0x),0)</f>
        <v>0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>
        <v>5039.75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9"/>
      <c r="Q30" s="2">
        <f>SUM(OSRRefD21_1_1x)+IFERROR(SUM(OSRRefE21_1_1x),0)</f>
        <v>5039.75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/>
      <c r="E32" s="2">
        <v>4023.18</v>
      </c>
      <c r="F32" s="2">
        <v>4023.18</v>
      </c>
      <c r="G32" s="2">
        <v>5028.9750000000004</v>
      </c>
      <c r="H32" s="2">
        <v>4023.18</v>
      </c>
      <c r="I32" s="2">
        <v>4023.18</v>
      </c>
      <c r="J32" s="2">
        <v>5028.9750000000004</v>
      </c>
      <c r="K32" s="2">
        <v>4023.18</v>
      </c>
      <c r="L32" s="2">
        <v>4023.18</v>
      </c>
      <c r="M32" s="2">
        <v>5028.9750000000004</v>
      </c>
      <c r="N32" s="2">
        <v>4023.18</v>
      </c>
      <c r="O32" s="2">
        <v>4023.18</v>
      </c>
      <c r="P32" s="9"/>
      <c r="Q32" s="2">
        <f>SUM(OSRRefD21_1_3x)+IFERROR(SUM(OSRRefE21_1_3x),0)</f>
        <v>47272.364999999998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SUM(OSRRefD21_1_6x)+IFERROR(SUM(OSRRefE21_1_6x),0)</f>
        <v>0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SUM(OSRRefD21_1_7x)+IFERROR(SUM(OSRRefE21_1_7x),0)</f>
        <v>0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","General                                           ")</f>
        <v xml:space="preserve">     General                                           </v>
      </c>
      <c r="C39" s="14"/>
      <c r="D39" s="1">
        <f>SUM(OSRRefD21_2x_0)</f>
        <v>0</v>
      </c>
      <c r="E39" s="1">
        <f>SUM(OSRRefE21_2x_0)</f>
        <v>0</v>
      </c>
      <c r="F39" s="1">
        <f>SUM(OSRRefE21_2x_1)</f>
        <v>-150</v>
      </c>
      <c r="G39" s="1">
        <f>SUM(OSRRefE21_2x_2)</f>
        <v>-150</v>
      </c>
      <c r="H39" s="1">
        <f>SUM(OSRRefE21_2x_3)</f>
        <v>-150</v>
      </c>
      <c r="I39" s="1">
        <f>SUM(OSRRefE21_2x_4)</f>
        <v>-150</v>
      </c>
      <c r="J39" s="1">
        <f>SUM(OSRRefE21_2x_5)</f>
        <v>0</v>
      </c>
      <c r="K39" s="1">
        <f>SUM(OSRRefE21_2x_6)</f>
        <v>0</v>
      </c>
      <c r="L39" s="1">
        <f>SUM(OSRRefE21_2x_7)</f>
        <v>-150</v>
      </c>
      <c r="M39" s="1">
        <f>SUM(OSRRefE21_2x_8)</f>
        <v>0</v>
      </c>
      <c r="N39" s="1">
        <f>SUM(OSRRefE21_2x_9)</f>
        <v>0</v>
      </c>
      <c r="O39" s="1">
        <f>SUM(OSRRefE21_2x_10)</f>
        <v>0</v>
      </c>
      <c r="Q39" s="2">
        <f>SUM(OSRRefD20_2x)+IFERROR(SUM(OSRRefE20_2x),0)</f>
        <v>-750</v>
      </c>
    </row>
    <row r="40" spans="1:17" s="34" customFormat="1" hidden="1" outlineLevel="1" x14ac:dyDescent="0.3">
      <c r="A40" s="35"/>
      <c r="B40" s="10" t="str">
        <f>CONCATENATE("          ","6279", " - ","GENERAL EXPENSE")</f>
        <v xml:space="preserve">          6279 - GENERAL EXPENSE</v>
      </c>
      <c r="C40" s="14"/>
      <c r="D40" s="2"/>
      <c r="E40" s="2">
        <v>0</v>
      </c>
      <c r="F40" s="2">
        <v>-150</v>
      </c>
      <c r="G40" s="2">
        <v>-150</v>
      </c>
      <c r="H40" s="2">
        <v>-150</v>
      </c>
      <c r="I40" s="2">
        <v>-150</v>
      </c>
      <c r="J40" s="2">
        <v>0</v>
      </c>
      <c r="K40" s="2">
        <v>0</v>
      </c>
      <c r="L40" s="2">
        <v>-150</v>
      </c>
      <c r="M40" s="2">
        <v>0</v>
      </c>
      <c r="N40" s="2">
        <v>0</v>
      </c>
      <c r="O40" s="2">
        <v>0</v>
      </c>
      <c r="P40" s="9"/>
      <c r="Q40" s="2">
        <f>SUM(OSRRefD21_2_0x)+IFERROR(SUM(OSRRefE21_2_0x),0)</f>
        <v>-750</v>
      </c>
    </row>
    <row r="41" spans="1:17" s="34" customFormat="1" collapsed="1" x14ac:dyDescent="0.3">
      <c r="A41" s="35"/>
      <c r="B41" s="14" t="str">
        <f>CONCATENATE("     ","Insurance                                         ")</f>
        <v xml:space="preserve">     Insurance                                         </v>
      </c>
      <c r="C41" s="14"/>
      <c r="D41" s="1">
        <f>SUM(OSRRefD21_3x_0)</f>
        <v>33.380000000000003</v>
      </c>
      <c r="E41" s="1">
        <f>SUM(OSRRefE21_3x_0)</f>
        <v>35</v>
      </c>
      <c r="F41" s="1">
        <f>SUM(OSRRefE21_3x_1)</f>
        <v>35</v>
      </c>
      <c r="G41" s="1">
        <f>SUM(OSRRefE21_3x_2)</f>
        <v>35</v>
      </c>
      <c r="H41" s="1">
        <f>SUM(OSRRefE21_3x_3)</f>
        <v>35</v>
      </c>
      <c r="I41" s="1">
        <f>SUM(OSRRefE21_3x_4)</f>
        <v>35</v>
      </c>
      <c r="J41" s="1">
        <f>SUM(OSRRefE21_3x_5)</f>
        <v>35</v>
      </c>
      <c r="K41" s="1">
        <f>SUM(OSRRefE21_3x_6)</f>
        <v>35</v>
      </c>
      <c r="L41" s="1">
        <f>SUM(OSRRefE21_3x_7)</f>
        <v>35</v>
      </c>
      <c r="M41" s="1">
        <f>SUM(OSRRefE21_3x_8)</f>
        <v>35</v>
      </c>
      <c r="N41" s="1">
        <f>SUM(OSRRefE21_3x_9)</f>
        <v>35</v>
      </c>
      <c r="O41" s="1">
        <f>SUM(OSRRefE21_3x_10)</f>
        <v>35</v>
      </c>
      <c r="Q41" s="2">
        <f>SUM(OSRRefD20_3x)+IFERROR(SUM(OSRRefE20_3x),0)</f>
        <v>418.38</v>
      </c>
    </row>
    <row r="42" spans="1:17" s="34" customFormat="1" hidden="1" outlineLevel="1" x14ac:dyDescent="0.3">
      <c r="A42" s="35"/>
      <c r="B42" s="10" t="str">
        <f>CONCATENATE("          ","6314", " - ","LIABILITY INSURANCE")</f>
        <v xml:space="preserve">          6314 - LIABILITY INSURANCE</v>
      </c>
      <c r="C42" s="14"/>
      <c r="D42" s="2">
        <v>33.380000000000003</v>
      </c>
      <c r="E42" s="2">
        <v>35</v>
      </c>
      <c r="F42" s="2">
        <v>35</v>
      </c>
      <c r="G42" s="2">
        <v>35</v>
      </c>
      <c r="H42" s="2">
        <v>35</v>
      </c>
      <c r="I42" s="2">
        <v>35</v>
      </c>
      <c r="J42" s="2">
        <v>35</v>
      </c>
      <c r="K42" s="2">
        <v>35</v>
      </c>
      <c r="L42" s="2">
        <v>35</v>
      </c>
      <c r="M42" s="2">
        <v>35</v>
      </c>
      <c r="N42" s="2">
        <v>35</v>
      </c>
      <c r="O42" s="2">
        <v>35</v>
      </c>
      <c r="P42" s="9"/>
      <c r="Q42" s="2">
        <f>SUM(OSRRefD21_3_0x)+IFERROR(SUM(OSRRefE21_3_0x),0)</f>
        <v>418.38</v>
      </c>
    </row>
    <row r="43" spans="1:17" s="34" customFormat="1" collapsed="1" x14ac:dyDescent="0.3">
      <c r="A43" s="35"/>
      <c r="B43" s="14" t="str">
        <f>CONCATENATE("     ","Repair and Maintenance                            ")</f>
        <v xml:space="preserve">     Repair and Maintenance                            </v>
      </c>
      <c r="C43" s="14"/>
      <c r="D43" s="1">
        <f>SUM(OSRRefD21_4x_0)</f>
        <v>891.98</v>
      </c>
      <c r="E43" s="1">
        <f>SUM(OSRRefE21_4x_0)</f>
        <v>800</v>
      </c>
      <c r="F43" s="1">
        <f>SUM(OSRRefE21_4x_1)</f>
        <v>1500</v>
      </c>
      <c r="G43" s="1">
        <f>SUM(OSRRefE21_4x_2)</f>
        <v>1500</v>
      </c>
      <c r="H43" s="1">
        <f>SUM(OSRRefE21_4x_3)</f>
        <v>1500</v>
      </c>
      <c r="I43" s="1">
        <f>SUM(OSRRefE21_4x_4)</f>
        <v>1500</v>
      </c>
      <c r="J43" s="1">
        <f>SUM(OSRRefE21_4x_5)</f>
        <v>1500</v>
      </c>
      <c r="K43" s="1">
        <f>SUM(OSRRefE21_4x_6)</f>
        <v>1500</v>
      </c>
      <c r="L43" s="1">
        <f>SUM(OSRRefE21_4x_7)</f>
        <v>1500</v>
      </c>
      <c r="M43" s="1">
        <f>SUM(OSRRefE21_4x_8)</f>
        <v>6500</v>
      </c>
      <c r="N43" s="1">
        <f>SUM(OSRRefE21_4x_9)</f>
        <v>1500</v>
      </c>
      <c r="O43" s="1">
        <f>SUM(OSRRefE21_4x_10)</f>
        <v>1500</v>
      </c>
      <c r="Q43" s="2">
        <f>SUM(OSRRefD20_4x)+IFERROR(SUM(OSRRefE20_4x),0)</f>
        <v>21691.98</v>
      </c>
    </row>
    <row r="44" spans="1:17" s="34" customFormat="1" hidden="1" outlineLevel="1" x14ac:dyDescent="0.3">
      <c r="A44" s="35"/>
      <c r="B44" s="10" t="str">
        <f>CONCATENATE("          ","6371", " - ","COMPUTER SOFTWARE MAINTENANCE")</f>
        <v xml:space="preserve">          6371 - COMPUTER SOFTWARE MAINTENANCE</v>
      </c>
      <c r="C44" s="14"/>
      <c r="D44" s="2"/>
      <c r="E44" s="2"/>
      <c r="F44" s="2"/>
      <c r="G44" s="2"/>
      <c r="H44" s="2"/>
      <c r="I44" s="2"/>
      <c r="J44" s="2"/>
      <c r="K44" s="2"/>
      <c r="L44" s="2"/>
      <c r="M44" s="2">
        <v>5000</v>
      </c>
      <c r="N44" s="2"/>
      <c r="O44" s="2"/>
      <c r="P44" s="9"/>
      <c r="Q44" s="2">
        <f>SUM(OSRRefD21_4_0x)+IFERROR(SUM(OSRRefE21_4_0x),0)</f>
        <v>5000</v>
      </c>
    </row>
    <row r="45" spans="1:17" s="34" customFormat="1" hidden="1" outlineLevel="1" x14ac:dyDescent="0.3">
      <c r="A45" s="35"/>
      <c r="B45" s="10" t="str">
        <f>CONCATENATE("          ","6373", " - ","MAINTENANCE CONTRACTS")</f>
        <v xml:space="preserve">          6373 - MAINTENANCE CONTRACTS</v>
      </c>
      <c r="C45" s="14"/>
      <c r="D45" s="2">
        <v>891.98</v>
      </c>
      <c r="E45" s="2">
        <v>800</v>
      </c>
      <c r="F45" s="2">
        <v>1500</v>
      </c>
      <c r="G45" s="2">
        <v>1500</v>
      </c>
      <c r="H45" s="2">
        <v>1500</v>
      </c>
      <c r="I45" s="2">
        <v>1500</v>
      </c>
      <c r="J45" s="2">
        <v>1500</v>
      </c>
      <c r="K45" s="2">
        <v>1500</v>
      </c>
      <c r="L45" s="2">
        <v>1500</v>
      </c>
      <c r="M45" s="2">
        <v>1500</v>
      </c>
      <c r="N45" s="2">
        <v>1500</v>
      </c>
      <c r="O45" s="2">
        <v>1500</v>
      </c>
      <c r="P45" s="9"/>
      <c r="Q45" s="2">
        <f>SUM(OSRRefD21_4_1x)+IFERROR(SUM(OSRRefE21_4_1x),0)</f>
        <v>16691.98</v>
      </c>
    </row>
    <row r="46" spans="1:17" s="34" customFormat="1" hidden="1" outlineLevel="1" x14ac:dyDescent="0.3">
      <c r="A46" s="35"/>
      <c r="B46" s="10" t="str">
        <f>CONCATENATE("          ","6375", " - ","OUTSIDE REPAIRS &amp; MAINTENANCE")</f>
        <v xml:space="preserve">          6375 - OUTSIDE REPAIRS &amp; MAINTENANCE</v>
      </c>
      <c r="C46" s="14"/>
      <c r="D46" s="2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2">
        <f>SUM(OSRRefD21_4_2x)+IFERROR(SUM(OSRRefE21_4_2x),0)</f>
        <v>0</v>
      </c>
    </row>
    <row r="47" spans="1:17" s="34" customFormat="1" collapsed="1" x14ac:dyDescent="0.3">
      <c r="A47" s="35"/>
      <c r="B47" s="14" t="str">
        <f>CONCATENATE("     ","Services                                          ")</f>
        <v xml:space="preserve">     Services                                          </v>
      </c>
      <c r="C47" s="14"/>
      <c r="D47" s="1">
        <f>SUM(OSRRefD21_5x_0)</f>
        <v>0</v>
      </c>
      <c r="E47" s="1">
        <f>SUM(OSRRefE21_5x_0)</f>
        <v>25</v>
      </c>
      <c r="F47" s="1">
        <f>SUM(OSRRefE21_5x_1)</f>
        <v>25</v>
      </c>
      <c r="G47" s="1">
        <f>SUM(OSRRefE21_5x_2)</f>
        <v>25</v>
      </c>
      <c r="H47" s="1">
        <f>SUM(OSRRefE21_5x_3)</f>
        <v>25</v>
      </c>
      <c r="I47" s="1">
        <f>SUM(OSRRefE21_5x_4)</f>
        <v>25</v>
      </c>
      <c r="J47" s="1">
        <f>SUM(OSRRefE21_5x_5)</f>
        <v>25</v>
      </c>
      <c r="K47" s="1">
        <f>SUM(OSRRefE21_5x_6)</f>
        <v>25</v>
      </c>
      <c r="L47" s="1">
        <f>SUM(OSRRefE21_5x_7)</f>
        <v>25</v>
      </c>
      <c r="M47" s="1">
        <f>SUM(OSRRefE21_5x_8)</f>
        <v>25</v>
      </c>
      <c r="N47" s="1">
        <f>SUM(OSRRefE21_5x_9)</f>
        <v>25</v>
      </c>
      <c r="O47" s="1">
        <f>SUM(OSRRefE21_5x_10)</f>
        <v>25</v>
      </c>
      <c r="Q47" s="2">
        <f>SUM(OSRRefD20_5x)+IFERROR(SUM(OSRRefE20_5x),0)</f>
        <v>275</v>
      </c>
    </row>
    <row r="48" spans="1:17" s="34" customFormat="1" hidden="1" outlineLevel="1" x14ac:dyDescent="0.3">
      <c r="A48" s="35"/>
      <c r="B48" s="10" t="str">
        <f>CONCATENATE("          ","6286", " - ","LAUNDRY EXPENSE")</f>
        <v xml:space="preserve">          6286 - LAUNDRY EXPENSE</v>
      </c>
      <c r="C48" s="14"/>
      <c r="D48" s="2"/>
      <c r="E48" s="2">
        <v>25</v>
      </c>
      <c r="F48" s="2">
        <v>25</v>
      </c>
      <c r="G48" s="2">
        <v>25</v>
      </c>
      <c r="H48" s="2">
        <v>25</v>
      </c>
      <c r="I48" s="2">
        <v>25</v>
      </c>
      <c r="J48" s="2">
        <v>25</v>
      </c>
      <c r="K48" s="2">
        <v>25</v>
      </c>
      <c r="L48" s="2">
        <v>25</v>
      </c>
      <c r="M48" s="2">
        <v>25</v>
      </c>
      <c r="N48" s="2">
        <v>25</v>
      </c>
      <c r="O48" s="2">
        <v>25</v>
      </c>
      <c r="P48" s="9"/>
      <c r="Q48" s="2">
        <f>SUM(OSRRefD21_5_0x)+IFERROR(SUM(OSRRefE21_5_0x),0)</f>
        <v>275</v>
      </c>
    </row>
    <row r="49" spans="1:17" s="34" customFormat="1" collapsed="1" x14ac:dyDescent="0.3">
      <c r="A49" s="35"/>
      <c r="B49" s="14" t="str">
        <f>CONCATENATE("     ","Supplies                                          ")</f>
        <v xml:space="preserve">     Supplies                                          </v>
      </c>
      <c r="C49" s="14"/>
      <c r="D49" s="1">
        <f>SUM(OSRRefD21_6x_0)</f>
        <v>0</v>
      </c>
      <c r="E49" s="1">
        <f>SUM(OSRRefE21_6x_0)</f>
        <v>25</v>
      </c>
      <c r="F49" s="1">
        <f>SUM(OSRRefE21_6x_1)</f>
        <v>25</v>
      </c>
      <c r="G49" s="1">
        <f>SUM(OSRRefE21_6x_2)</f>
        <v>25</v>
      </c>
      <c r="H49" s="1">
        <f>SUM(OSRRefE21_6x_3)</f>
        <v>25</v>
      </c>
      <c r="I49" s="1">
        <f>SUM(OSRRefE21_6x_4)</f>
        <v>25</v>
      </c>
      <c r="J49" s="1">
        <f>SUM(OSRRefE21_6x_5)</f>
        <v>25</v>
      </c>
      <c r="K49" s="1">
        <f>SUM(OSRRefE21_6x_6)</f>
        <v>25</v>
      </c>
      <c r="L49" s="1">
        <f>SUM(OSRRefE21_6x_7)</f>
        <v>25</v>
      </c>
      <c r="M49" s="1">
        <f>SUM(OSRRefE21_6x_8)</f>
        <v>25</v>
      </c>
      <c r="N49" s="1">
        <f>SUM(OSRRefE21_6x_9)</f>
        <v>25</v>
      </c>
      <c r="O49" s="1">
        <f>SUM(OSRRefE21_6x_10)</f>
        <v>25</v>
      </c>
      <c r="Q49" s="2">
        <f>SUM(OSRRefD20_6x)+IFERROR(SUM(OSRRefE20_6x),0)</f>
        <v>275</v>
      </c>
    </row>
    <row r="50" spans="1:17" s="34" customFormat="1" hidden="1" outlineLevel="1" x14ac:dyDescent="0.3">
      <c r="A50" s="35"/>
      <c r="B50" s="10" t="str">
        <f>CONCATENATE("          ","6241", " - ","OFFICE EXPENSE")</f>
        <v xml:space="preserve">          6241 - OFFICE EXPENSE</v>
      </c>
      <c r="C50" s="14"/>
      <c r="D50" s="2"/>
      <c r="E50" s="2">
        <v>25</v>
      </c>
      <c r="F50" s="2">
        <v>25</v>
      </c>
      <c r="G50" s="2">
        <v>25</v>
      </c>
      <c r="H50" s="2">
        <v>25</v>
      </c>
      <c r="I50" s="2">
        <v>25</v>
      </c>
      <c r="J50" s="2">
        <v>25</v>
      </c>
      <c r="K50" s="2">
        <v>25</v>
      </c>
      <c r="L50" s="2">
        <v>25</v>
      </c>
      <c r="M50" s="2">
        <v>25</v>
      </c>
      <c r="N50" s="2">
        <v>25</v>
      </c>
      <c r="O50" s="2">
        <v>25</v>
      </c>
      <c r="P50" s="9"/>
      <c r="Q50" s="2">
        <f>SUM(OSRRefD21_6_0x)+IFERROR(SUM(OSRRefE21_6_0x),0)</f>
        <v>275</v>
      </c>
    </row>
    <row r="51" spans="1:17" s="34" customFormat="1" collapsed="1" x14ac:dyDescent="0.3">
      <c r="A51" s="35"/>
      <c r="B51" s="14" t="str">
        <f>CONCATENATE("     ","Telephone/Data Lines                              ")</f>
        <v xml:space="preserve">     Telephone/Data Lines                              </v>
      </c>
      <c r="C51" s="14"/>
      <c r="D51" s="1">
        <f>SUM(OSRRefD21_7x_0)</f>
        <v>48</v>
      </c>
      <c r="E51" s="1">
        <f>SUM(OSRRefE21_7x_0)</f>
        <v>125</v>
      </c>
      <c r="F51" s="1">
        <f>SUM(OSRRefE21_7x_1)</f>
        <v>125</v>
      </c>
      <c r="G51" s="1">
        <f>SUM(OSRRefE21_7x_2)</f>
        <v>125</v>
      </c>
      <c r="H51" s="1">
        <f>SUM(OSRRefE21_7x_3)</f>
        <v>125</v>
      </c>
      <c r="I51" s="1">
        <f>SUM(OSRRefE21_7x_4)</f>
        <v>125</v>
      </c>
      <c r="J51" s="1">
        <f>SUM(OSRRefE21_7x_5)</f>
        <v>125</v>
      </c>
      <c r="K51" s="1">
        <f>SUM(OSRRefE21_7x_6)</f>
        <v>125</v>
      </c>
      <c r="L51" s="1">
        <f>SUM(OSRRefE21_7x_7)</f>
        <v>125</v>
      </c>
      <c r="M51" s="1">
        <f>SUM(OSRRefE21_7x_8)</f>
        <v>125</v>
      </c>
      <c r="N51" s="1">
        <f>SUM(OSRRefE21_7x_9)</f>
        <v>125</v>
      </c>
      <c r="O51" s="1">
        <f>SUM(OSRRefE21_7x_10)</f>
        <v>125</v>
      </c>
      <c r="Q51" s="2">
        <f>SUM(OSRRefD20_7x)+IFERROR(SUM(OSRRefE20_7x),0)</f>
        <v>1423</v>
      </c>
    </row>
    <row r="52" spans="1:17" s="34" customFormat="1" hidden="1" outlineLevel="1" x14ac:dyDescent="0.3">
      <c r="A52" s="35"/>
      <c r="B52" s="10" t="str">
        <f>CONCATENATE("          ","6309", " - ","TELEPHONE")</f>
        <v xml:space="preserve">          6309 - TELEPHONE</v>
      </c>
      <c r="C52" s="14"/>
      <c r="D52" s="2">
        <v>48</v>
      </c>
      <c r="E52" s="2">
        <v>125</v>
      </c>
      <c r="F52" s="2">
        <v>125</v>
      </c>
      <c r="G52" s="2">
        <v>125</v>
      </c>
      <c r="H52" s="2">
        <v>125</v>
      </c>
      <c r="I52" s="2">
        <v>125</v>
      </c>
      <c r="J52" s="2">
        <v>125</v>
      </c>
      <c r="K52" s="2">
        <v>125</v>
      </c>
      <c r="L52" s="2">
        <v>125</v>
      </c>
      <c r="M52" s="2">
        <v>125</v>
      </c>
      <c r="N52" s="2">
        <v>125</v>
      </c>
      <c r="O52" s="2">
        <v>125</v>
      </c>
      <c r="P52" s="9"/>
      <c r="Q52" s="2">
        <f>SUM(OSRRefD21_7_0x)+IFERROR(SUM(OSRRefE21_7_0x),0)</f>
        <v>1423</v>
      </c>
    </row>
    <row r="53" spans="1:17" s="28" customFormat="1" x14ac:dyDescent="0.3">
      <c r="A53" s="21"/>
      <c r="B53" s="21"/>
      <c r="C53" s="2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</row>
    <row r="54" spans="1:17" s="9" customFormat="1" x14ac:dyDescent="0.3">
      <c r="A54" s="22"/>
      <c r="B54" s="16" t="s">
        <v>293</v>
      </c>
      <c r="C54" s="23"/>
      <c r="D54" s="3">
        <f>0</f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2">
        <f>SUM(OSRRefD23_0x)+IFERROR(SUM(OSRRefE23_0x),0)</f>
        <v>0</v>
      </c>
    </row>
    <row r="55" spans="1:17" x14ac:dyDescent="0.3">
      <c r="A55" s="5"/>
      <c r="B55" s="6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</row>
    <row r="56" spans="1:17" s="15" customFormat="1" x14ac:dyDescent="0.3">
      <c r="A56" s="6"/>
      <c r="B56" s="17" t="s">
        <v>276</v>
      </c>
      <c r="C56" s="17"/>
      <c r="D56" s="8">
        <f t="shared" ref="D56:O56" si="4">IFERROR(+D14-D17+D54, 0)</f>
        <v>-8183.68</v>
      </c>
      <c r="E56" s="8">
        <f t="shared" si="4"/>
        <v>-6887.9665799999993</v>
      </c>
      <c r="F56" s="8">
        <f t="shared" si="4"/>
        <v>-7437.9665799999993</v>
      </c>
      <c r="G56" s="8">
        <f t="shared" si="4"/>
        <v>-8863.7082250000003</v>
      </c>
      <c r="H56" s="8">
        <f t="shared" si="4"/>
        <v>-7437.9665799999993</v>
      </c>
      <c r="I56" s="8">
        <f t="shared" si="4"/>
        <v>-7437.9665799999993</v>
      </c>
      <c r="J56" s="8">
        <f t="shared" si="4"/>
        <v>-9013.7082250000003</v>
      </c>
      <c r="K56" s="8">
        <f t="shared" si="4"/>
        <v>-7587.9665799999993</v>
      </c>
      <c r="L56" s="8">
        <f t="shared" si="4"/>
        <v>-7437.9665799999993</v>
      </c>
      <c r="M56" s="8">
        <f t="shared" si="4"/>
        <v>-14013.708225</v>
      </c>
      <c r="N56" s="8">
        <f t="shared" si="4"/>
        <v>-7587.9665799999993</v>
      </c>
      <c r="O56" s="8">
        <f t="shared" si="4"/>
        <v>-7587.9665799999993</v>
      </c>
      <c r="Q56" s="8">
        <f>IFERROR(+Q14-Q17+Q54, 0)</f>
        <v>-99478.537314999994</v>
      </c>
    </row>
    <row r="57" spans="1:17" s="6" customFormat="1" x14ac:dyDescent="0.3">
      <c r="B57" s="16"/>
      <c r="C57" s="16"/>
      <c r="D57" s="4">
        <f t="shared" ref="D57:O57" si="5">IFERROR(D56/D10, 0)</f>
        <v>0</v>
      </c>
      <c r="E57" s="4">
        <f t="shared" si="5"/>
        <v>0</v>
      </c>
      <c r="F57" s="4">
        <f t="shared" si="5"/>
        <v>0</v>
      </c>
      <c r="G57" s="4">
        <f t="shared" si="5"/>
        <v>0</v>
      </c>
      <c r="H57" s="4">
        <f t="shared" si="5"/>
        <v>0</v>
      </c>
      <c r="I57" s="4">
        <f t="shared" si="5"/>
        <v>0</v>
      </c>
      <c r="J57" s="4">
        <f t="shared" si="5"/>
        <v>0</v>
      </c>
      <c r="K57" s="4">
        <f t="shared" si="5"/>
        <v>0</v>
      </c>
      <c r="L57" s="4">
        <f t="shared" si="5"/>
        <v>0</v>
      </c>
      <c r="M57" s="4">
        <f t="shared" si="5"/>
        <v>0</v>
      </c>
      <c r="N57" s="4">
        <f t="shared" si="5"/>
        <v>0</v>
      </c>
      <c r="O57" s="4">
        <f t="shared" si="5"/>
        <v>0</v>
      </c>
      <c r="P57" s="18"/>
      <c r="Q57" s="4">
        <f>IFERROR(Q56/Q10, 0)</f>
        <v>0</v>
      </c>
    </row>
    <row r="58" spans="1:17" x14ac:dyDescent="0.3">
      <c r="A58" s="5"/>
      <c r="B58" s="6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</row>
    <row r="59" spans="1:17" s="15" customFormat="1" x14ac:dyDescent="0.3">
      <c r="A59" s="25"/>
      <c r="B59" s="6" t="s">
        <v>125</v>
      </c>
      <c r="C59" s="6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Q59" s="2">
        <f>SUM(OSRRefD28_0x)+IFERROR(SUM(OSRRefE28_0x),0)</f>
        <v>0</v>
      </c>
    </row>
    <row r="60" spans="1:17" x14ac:dyDescent="0.3">
      <c r="A60" s="5"/>
      <c r="B60" s="6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</row>
    <row r="61" spans="1:17" s="15" customFormat="1" ht="15" thickBot="1" x14ac:dyDescent="0.35">
      <c r="A61" s="6"/>
      <c r="B61" s="17" t="s">
        <v>124</v>
      </c>
      <c r="C61" s="17"/>
      <c r="D61" s="7">
        <f t="shared" ref="D61:O61" si="6">IFERROR(+D56-D59, 0)</f>
        <v>-8183.68</v>
      </c>
      <c r="E61" s="7">
        <f t="shared" si="6"/>
        <v>-6887.9665799999993</v>
      </c>
      <c r="F61" s="7">
        <f t="shared" si="6"/>
        <v>-7437.9665799999993</v>
      </c>
      <c r="G61" s="7">
        <f t="shared" si="6"/>
        <v>-8863.7082250000003</v>
      </c>
      <c r="H61" s="7">
        <f t="shared" si="6"/>
        <v>-7437.9665799999993</v>
      </c>
      <c r="I61" s="7">
        <f t="shared" si="6"/>
        <v>-7437.9665799999993</v>
      </c>
      <c r="J61" s="7">
        <f t="shared" si="6"/>
        <v>-9013.7082250000003</v>
      </c>
      <c r="K61" s="7">
        <f t="shared" si="6"/>
        <v>-7587.9665799999993</v>
      </c>
      <c r="L61" s="7">
        <f t="shared" si="6"/>
        <v>-7437.9665799999993</v>
      </c>
      <c r="M61" s="7">
        <f t="shared" si="6"/>
        <v>-14013.708225</v>
      </c>
      <c r="N61" s="7">
        <f t="shared" si="6"/>
        <v>-7587.9665799999993</v>
      </c>
      <c r="O61" s="7">
        <f t="shared" si="6"/>
        <v>-7587.9665799999993</v>
      </c>
      <c r="Q61" s="7">
        <f>IFERROR(+Q56-Q59, 0)</f>
        <v>-99478.537314999994</v>
      </c>
    </row>
    <row r="62" spans="1:17" ht="15" thickTop="1" x14ac:dyDescent="0.3">
      <c r="A62" s="5"/>
      <c r="B62" s="5"/>
      <c r="C62" s="5"/>
      <c r="D62" s="4">
        <f t="shared" ref="D62:O62" si="7">IFERROR(D61/D10, 0)</f>
        <v>0</v>
      </c>
      <c r="E62" s="4">
        <f t="shared" si="7"/>
        <v>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 t="shared" si="7"/>
        <v>0</v>
      </c>
      <c r="L62" s="4">
        <f t="shared" si="7"/>
        <v>0</v>
      </c>
      <c r="M62" s="4">
        <f t="shared" si="7"/>
        <v>0</v>
      </c>
      <c r="N62" s="4">
        <f t="shared" si="7"/>
        <v>0</v>
      </c>
      <c r="O62" s="4">
        <f t="shared" si="7"/>
        <v>0</v>
      </c>
      <c r="P62" s="18"/>
      <c r="Q62" s="4">
        <f>IFERROR(Q61/Q10, 0)</f>
        <v>0</v>
      </c>
    </row>
    <row r="63" spans="1:17" x14ac:dyDescent="0.3">
      <c r="A63" s="5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</row>
    <row r="64" spans="1:17" x14ac:dyDescent="0.3">
      <c r="A64" s="5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</row>
    <row r="65" spans="1:17" s="15" customFormat="1" ht="15" thickBot="1" x14ac:dyDescent="0.35">
      <c r="A65" s="6"/>
      <c r="B65" s="17" t="s">
        <v>294</v>
      </c>
      <c r="C65" s="17"/>
      <c r="D65" s="7">
        <f t="shared" ref="D65:O65" si="8">IFERROR(SUM(D61:D64), 0)</f>
        <v>-8183.68</v>
      </c>
      <c r="E65" s="7">
        <f t="shared" si="8"/>
        <v>-6887.9665799999993</v>
      </c>
      <c r="F65" s="7">
        <f t="shared" si="8"/>
        <v>-7437.9665799999993</v>
      </c>
      <c r="G65" s="7">
        <f t="shared" si="8"/>
        <v>-8863.7082250000003</v>
      </c>
      <c r="H65" s="7">
        <f t="shared" si="8"/>
        <v>-7437.9665799999993</v>
      </c>
      <c r="I65" s="7">
        <f t="shared" si="8"/>
        <v>-7437.9665799999993</v>
      </c>
      <c r="J65" s="7">
        <f t="shared" si="8"/>
        <v>-9013.7082250000003</v>
      </c>
      <c r="K65" s="7">
        <f t="shared" si="8"/>
        <v>-7587.9665799999993</v>
      </c>
      <c r="L65" s="7">
        <f t="shared" si="8"/>
        <v>-7437.9665799999993</v>
      </c>
      <c r="M65" s="7">
        <f t="shared" si="8"/>
        <v>-14013.708225</v>
      </c>
      <c r="N65" s="7">
        <f t="shared" si="8"/>
        <v>-7587.9665799999993</v>
      </c>
      <c r="O65" s="7">
        <f t="shared" si="8"/>
        <v>-7587.9665799999993</v>
      </c>
      <c r="Q65" s="7">
        <f>IFERROR(SUM(Q61:Q64), 0)</f>
        <v>-99478.537314999994</v>
      </c>
    </row>
    <row r="66" spans="1:17" ht="15" thickTop="1" x14ac:dyDescent="0.3">
      <c r="A66" s="5"/>
      <c r="C66" s="5"/>
      <c r="D66" s="4">
        <f t="shared" ref="D66:O66" si="9">IFERROR(D65/D10, 0)</f>
        <v>0</v>
      </c>
      <c r="E66" s="4">
        <f t="shared" si="9"/>
        <v>0</v>
      </c>
      <c r="F66" s="4">
        <f t="shared" si="9"/>
        <v>0</v>
      </c>
      <c r="G66" s="4">
        <f t="shared" si="9"/>
        <v>0</v>
      </c>
      <c r="H66" s="4">
        <f t="shared" si="9"/>
        <v>0</v>
      </c>
      <c r="I66" s="4">
        <f t="shared" si="9"/>
        <v>0</v>
      </c>
      <c r="J66" s="4">
        <f t="shared" si="9"/>
        <v>0</v>
      </c>
      <c r="K66" s="4">
        <f t="shared" si="9"/>
        <v>0</v>
      </c>
      <c r="L66" s="4">
        <f t="shared" si="9"/>
        <v>0</v>
      </c>
      <c r="M66" s="4">
        <f t="shared" si="9"/>
        <v>0</v>
      </c>
      <c r="N66" s="4">
        <f t="shared" si="9"/>
        <v>0</v>
      </c>
      <c r="O66" s="4">
        <f t="shared" si="9"/>
        <v>0</v>
      </c>
      <c r="P66" s="18"/>
      <c r="Q66" s="4">
        <f>IFERROR(Q65/Q10, 0)</f>
        <v>0</v>
      </c>
    </row>
    <row r="67" spans="1:17" x14ac:dyDescent="0.3">
      <c r="A67" s="5"/>
      <c r="B67" s="30">
        <v>44462.678423958336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 s="11"/>
    </row>
    <row r="68" spans="1:17" x14ac:dyDescent="0.3">
      <c r="A68" s="5"/>
      <c r="B68" s="31" t="s">
        <v>54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Q68" s="11"/>
    </row>
    <row r="69" spans="1:17" x14ac:dyDescent="0.3">
      <c r="A69" s="5"/>
      <c r="B69" s="2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Q69" s="11"/>
    </row>
    <row r="70" spans="1:17" x14ac:dyDescent="0.3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Q70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  <outlinePr summaryBelow="0" summaryRight="0"/>
    <pageSetUpPr fitToPage="1"/>
  </sheetPr>
  <dimension ref="A2:R65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","206", " - ", "Communications")</f>
        <v>Department 206 - Communications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10470.700000000001</v>
      </c>
      <c r="E17" s="13">
        <f>SUM(OSRRefE20x_0)</f>
        <v>12432.674227692311</v>
      </c>
      <c r="F17" s="13">
        <f>SUM(OSRRefE20x_1)</f>
        <v>12432.674227692311</v>
      </c>
      <c r="G17" s="13">
        <f>SUM(OSRRefE20x_2)</f>
        <v>14579.94678461538</v>
      </c>
      <c r="H17" s="13">
        <f>SUM(OSRRefE20x_3)</f>
        <v>12236.75742769231</v>
      </c>
      <c r="I17" s="13">
        <f>SUM(OSRRefE20x_4)</f>
        <v>12236.75742769231</v>
      </c>
      <c r="J17" s="13">
        <f>SUM(OSRRefE20x_5)</f>
        <v>14579.94678461538</v>
      </c>
      <c r="K17" s="13">
        <f>SUM(OSRRefE20x_6)</f>
        <v>12236.75742769231</v>
      </c>
      <c r="L17" s="13">
        <f>SUM(OSRRefE20x_7)</f>
        <v>12236.75742769231</v>
      </c>
      <c r="M17" s="13">
        <f>SUM(OSRRefE20x_8)</f>
        <v>14579.94678461538</v>
      </c>
      <c r="N17" s="13">
        <f>SUM(OSRRefE20x_9)</f>
        <v>12236.75742769231</v>
      </c>
      <c r="O17" s="13">
        <f>SUM(OSRRefE20x_10)</f>
        <v>12232.75742769231</v>
      </c>
      <c r="Q17" s="13">
        <f>SUM(OSRRefG20x)</f>
        <v>152492.4333753846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1886.62</v>
      </c>
      <c r="E18" s="1">
        <f>SUM(OSRRefE21_0x_0)</f>
        <v>2387.9942276923098</v>
      </c>
      <c r="F18" s="1">
        <f>SUM(OSRRefE21_0x_1)</f>
        <v>2387.9942276923098</v>
      </c>
      <c r="G18" s="1">
        <f>SUM(OSRRefE21_0x_2)</f>
        <v>2696.3467846153799</v>
      </c>
      <c r="H18" s="1">
        <f>SUM(OSRRefE21_0x_3)</f>
        <v>2192.0774276923098</v>
      </c>
      <c r="I18" s="1">
        <f>SUM(OSRRefE21_0x_4)</f>
        <v>2192.0774276923098</v>
      </c>
      <c r="J18" s="1">
        <f>SUM(OSRRefE21_0x_5)</f>
        <v>2696.3467846153799</v>
      </c>
      <c r="K18" s="1">
        <f>SUM(OSRRefE21_0x_6)</f>
        <v>2192.0774276923098</v>
      </c>
      <c r="L18" s="1">
        <f>SUM(OSRRefE21_0x_7)</f>
        <v>2192.0774276923098</v>
      </c>
      <c r="M18" s="1">
        <f>SUM(OSRRefE21_0x_8)</f>
        <v>2696.3467846153799</v>
      </c>
      <c r="N18" s="1">
        <f>SUM(OSRRefE21_0x_9)</f>
        <v>2192.0774276923098</v>
      </c>
      <c r="O18" s="1">
        <f>SUM(OSRRefE21_0x_10)</f>
        <v>2192.0774276923098</v>
      </c>
      <c r="Q18" s="2">
        <f>SUM(OSRRefD20_0x)+IFERROR(SUM(OSRRefE20_0x),0)</f>
        <v>27904.113375384622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498.51</v>
      </c>
      <c r="E19" s="2">
        <v>574.28111999999999</v>
      </c>
      <c r="F19" s="2">
        <v>574.28111999999999</v>
      </c>
      <c r="G19" s="2">
        <v>472.9554</v>
      </c>
      <c r="H19" s="2">
        <v>378.36432000000002</v>
      </c>
      <c r="I19" s="2">
        <v>378.36432000000002</v>
      </c>
      <c r="J19" s="2">
        <v>472.9554</v>
      </c>
      <c r="K19" s="2">
        <v>378.36432000000002</v>
      </c>
      <c r="L19" s="2">
        <v>378.36432000000002</v>
      </c>
      <c r="M19" s="2">
        <v>472.9554</v>
      </c>
      <c r="N19" s="2">
        <v>378.36432000000002</v>
      </c>
      <c r="O19" s="2">
        <v>378.36432000000002</v>
      </c>
      <c r="P19" s="9"/>
      <c r="Q19" s="2">
        <f>SUM(OSRRefD21_0_0x)+IFERROR(SUM(OSRRefE21_0_0x),0)</f>
        <v>5336.1243599999998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83.68</v>
      </c>
      <c r="E20" s="2">
        <v>23.2624</v>
      </c>
      <c r="F20" s="2">
        <v>23.2624</v>
      </c>
      <c r="G20" s="2">
        <v>29.077999999999999</v>
      </c>
      <c r="H20" s="2">
        <v>23.2624</v>
      </c>
      <c r="I20" s="2">
        <v>23.2624</v>
      </c>
      <c r="J20" s="2">
        <v>29.077999999999999</v>
      </c>
      <c r="K20" s="2">
        <v>23.2624</v>
      </c>
      <c r="L20" s="2">
        <v>23.2624</v>
      </c>
      <c r="M20" s="2">
        <v>29.077999999999999</v>
      </c>
      <c r="N20" s="2">
        <v>23.2624</v>
      </c>
      <c r="O20" s="2">
        <v>23.2624</v>
      </c>
      <c r="P20" s="9"/>
      <c r="Q20" s="2">
        <f>SUM(OSRRefD21_0_1x)+IFERROR(SUM(OSRRefE21_0_1x),0)</f>
        <v>357.01320000000004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700.87</v>
      </c>
      <c r="E21" s="2">
        <v>1275.6923076923099</v>
      </c>
      <c r="F21" s="2">
        <v>1275.6923076923099</v>
      </c>
      <c r="G21" s="2">
        <v>1594.61538461538</v>
      </c>
      <c r="H21" s="2">
        <v>1275.6923076923099</v>
      </c>
      <c r="I21" s="2">
        <v>1275.6923076923099</v>
      </c>
      <c r="J21" s="2">
        <v>1594.61538461538</v>
      </c>
      <c r="K21" s="2">
        <v>1275.6923076923099</v>
      </c>
      <c r="L21" s="2">
        <v>1275.6923076923099</v>
      </c>
      <c r="M21" s="2">
        <v>1594.61538461538</v>
      </c>
      <c r="N21" s="2">
        <v>1275.6923076923099</v>
      </c>
      <c r="O21" s="2">
        <v>1275.6923076923099</v>
      </c>
      <c r="P21" s="9"/>
      <c r="Q21" s="2">
        <f>SUM(OSRRefD21_0_2x)+IFERROR(SUM(OSRRefE21_0_2x),0)</f>
        <v>15690.254615384622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16.87</v>
      </c>
      <c r="E22" s="2">
        <v>15.7584</v>
      </c>
      <c r="F22" s="2">
        <v>15.7584</v>
      </c>
      <c r="G22" s="2">
        <v>19.698</v>
      </c>
      <c r="H22" s="2">
        <v>15.7584</v>
      </c>
      <c r="I22" s="2">
        <v>15.7584</v>
      </c>
      <c r="J22" s="2">
        <v>19.698</v>
      </c>
      <c r="K22" s="2">
        <v>15.7584</v>
      </c>
      <c r="L22" s="2">
        <v>15.7584</v>
      </c>
      <c r="M22" s="2">
        <v>19.698</v>
      </c>
      <c r="N22" s="2">
        <v>15.7584</v>
      </c>
      <c r="O22" s="2">
        <v>15.7584</v>
      </c>
      <c r="P22" s="9"/>
      <c r="Q22" s="2">
        <f>SUM(OSRRefD21_0_3x)+IFERROR(SUM(OSRRefE21_0_3x),0)</f>
        <v>202.03119999999998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9"/>
      <c r="Q23" s="2">
        <f>SUM(OSRRefD21_0_4x)+IFERROR(SUM(OSRRefE21_0_4x),0)</f>
        <v>0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276.60000000000002</v>
      </c>
      <c r="E25" s="2">
        <v>148.32</v>
      </c>
      <c r="F25" s="2">
        <v>148.32</v>
      </c>
      <c r="G25" s="2">
        <v>185.4</v>
      </c>
      <c r="H25" s="2">
        <v>148.32</v>
      </c>
      <c r="I25" s="2">
        <v>148.32</v>
      </c>
      <c r="J25" s="2">
        <v>185.4</v>
      </c>
      <c r="K25" s="2">
        <v>148.32</v>
      </c>
      <c r="L25" s="2">
        <v>148.32</v>
      </c>
      <c r="M25" s="2">
        <v>185.4</v>
      </c>
      <c r="N25" s="2">
        <v>148.32</v>
      </c>
      <c r="O25" s="2">
        <v>148.32</v>
      </c>
      <c r="P25" s="9"/>
      <c r="Q25" s="2">
        <f>SUM(OSRRefD21_0_6x)+IFERROR(SUM(OSRRefE21_0_6x),0)</f>
        <v>2019.3599999999997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221.4</v>
      </c>
      <c r="E26" s="2">
        <v>175.68</v>
      </c>
      <c r="F26" s="2">
        <v>175.68</v>
      </c>
      <c r="G26" s="2">
        <v>219.6</v>
      </c>
      <c r="H26" s="2">
        <v>175.68</v>
      </c>
      <c r="I26" s="2">
        <v>175.68</v>
      </c>
      <c r="J26" s="2">
        <v>219.6</v>
      </c>
      <c r="K26" s="2">
        <v>175.68</v>
      </c>
      <c r="L26" s="2">
        <v>175.68</v>
      </c>
      <c r="M26" s="2">
        <v>219.6</v>
      </c>
      <c r="N26" s="2">
        <v>175.68</v>
      </c>
      <c r="O26" s="2">
        <v>175.68</v>
      </c>
      <c r="P26" s="9"/>
      <c r="Q26" s="2">
        <f>SUM(OSRRefD21_0_7x)+IFERROR(SUM(OSRRefE21_0_7x),0)</f>
        <v>2285.6400000000003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88.69</v>
      </c>
      <c r="E27" s="2">
        <v>175</v>
      </c>
      <c r="F27" s="2">
        <v>175</v>
      </c>
      <c r="G27" s="2">
        <v>175</v>
      </c>
      <c r="H27" s="2">
        <v>175</v>
      </c>
      <c r="I27" s="2">
        <v>175</v>
      </c>
      <c r="J27" s="2">
        <v>175</v>
      </c>
      <c r="K27" s="2">
        <v>175</v>
      </c>
      <c r="L27" s="2">
        <v>175</v>
      </c>
      <c r="M27" s="2">
        <v>175</v>
      </c>
      <c r="N27" s="2">
        <v>175</v>
      </c>
      <c r="O27" s="2">
        <v>175</v>
      </c>
      <c r="P27" s="9"/>
      <c r="Q27" s="2">
        <f>SUM(OSRRefD21_0_8x)+IFERROR(SUM(OSRRefE21_0_8x),0)</f>
        <v>2013.69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8302.8700000000008</v>
      </c>
      <c r="E28" s="1">
        <f>SUM(OSRRefE21_1x_0)</f>
        <v>7355.68</v>
      </c>
      <c r="F28" s="1">
        <f>SUM(OSRRefE21_1x_1)</f>
        <v>7355.68</v>
      </c>
      <c r="G28" s="1">
        <f>SUM(OSRRefE21_1x_2)</f>
        <v>9194.6</v>
      </c>
      <c r="H28" s="1">
        <f>SUM(OSRRefE21_1x_3)</f>
        <v>7355.68</v>
      </c>
      <c r="I28" s="1">
        <f>SUM(OSRRefE21_1x_4)</f>
        <v>7355.68</v>
      </c>
      <c r="J28" s="1">
        <f>SUM(OSRRefE21_1x_5)</f>
        <v>9194.6</v>
      </c>
      <c r="K28" s="1">
        <f>SUM(OSRRefE21_1x_6)</f>
        <v>7355.68</v>
      </c>
      <c r="L28" s="1">
        <f>SUM(OSRRefE21_1x_7)</f>
        <v>7355.68</v>
      </c>
      <c r="M28" s="1">
        <f>SUM(OSRRefE21_1x_8)</f>
        <v>9194.6</v>
      </c>
      <c r="N28" s="1">
        <f>SUM(OSRRefE21_1x_9)</f>
        <v>7355.68</v>
      </c>
      <c r="O28" s="1">
        <f>SUM(OSRRefE21_1x_10)</f>
        <v>7355.68</v>
      </c>
      <c r="Q28" s="2">
        <f>SUM(OSRRefD20_1x)+IFERROR(SUM(OSRRefE20_1x),0)</f>
        <v>94732.109999999986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/>
      <c r="Q29" s="2">
        <f>SUM(OSRRefD21_1_0x)+IFERROR(SUM(OSRRefE21_1_0x),0)</f>
        <v>0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9"/>
      <c r="Q30" s="2">
        <f>SUM(OSRRefD21_1_1x)+IFERROR(SUM(OSRRefE21_1_1x),0)</f>
        <v>0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>
        <v>4874.55</v>
      </c>
      <c r="E32" s="2">
        <v>4795.68</v>
      </c>
      <c r="F32" s="2">
        <v>4795.68</v>
      </c>
      <c r="G32" s="2">
        <v>5994.6</v>
      </c>
      <c r="H32" s="2">
        <v>4795.68</v>
      </c>
      <c r="I32" s="2">
        <v>4795.68</v>
      </c>
      <c r="J32" s="2">
        <v>5994.6</v>
      </c>
      <c r="K32" s="2">
        <v>4795.68</v>
      </c>
      <c r="L32" s="2">
        <v>4795.68</v>
      </c>
      <c r="M32" s="2">
        <v>5994.6</v>
      </c>
      <c r="N32" s="2">
        <v>4795.68</v>
      </c>
      <c r="O32" s="2">
        <v>4795.68</v>
      </c>
      <c r="P32" s="9"/>
      <c r="Q32" s="2">
        <f>SUM(OSRRefD21_1_3x)+IFERROR(SUM(OSRRefE21_1_3x),0)</f>
        <v>61223.79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>
        <v>1657</v>
      </c>
      <c r="E35" s="2">
        <v>2560</v>
      </c>
      <c r="F35" s="2">
        <v>2560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SUM(OSRRefD21_1_6x)+IFERROR(SUM(OSRRefE21_1_6x),0)</f>
        <v>6777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>
        <v>1771.32</v>
      </c>
      <c r="E36" s="2">
        <v>0</v>
      </c>
      <c r="F36" s="2">
        <v>0</v>
      </c>
      <c r="G36" s="2">
        <v>3200</v>
      </c>
      <c r="H36" s="2">
        <v>2560</v>
      </c>
      <c r="I36" s="2">
        <v>2560</v>
      </c>
      <c r="J36" s="2">
        <v>3200</v>
      </c>
      <c r="K36" s="2">
        <v>2560</v>
      </c>
      <c r="L36" s="2">
        <v>2560</v>
      </c>
      <c r="M36" s="2">
        <v>3200</v>
      </c>
      <c r="N36" s="2">
        <v>2560</v>
      </c>
      <c r="O36" s="2">
        <v>2560</v>
      </c>
      <c r="P36" s="9"/>
      <c r="Q36" s="2">
        <f>SUM(OSRRefD21_1_7x)+IFERROR(SUM(OSRRefE21_1_7x),0)</f>
        <v>26731.32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","Advertising/Promo                                 ")</f>
        <v xml:space="preserve">     Advertising/Promo                                 </v>
      </c>
      <c r="C39" s="14"/>
      <c r="D39" s="1">
        <f>SUM(OSRRefD21_2x_0)</f>
        <v>173.21</v>
      </c>
      <c r="E39" s="1">
        <f>SUM(OSRRefE21_2x_0)</f>
        <v>417</v>
      </c>
      <c r="F39" s="1">
        <f>SUM(OSRRefE21_2x_1)</f>
        <v>417</v>
      </c>
      <c r="G39" s="1">
        <f>SUM(OSRRefE21_2x_2)</f>
        <v>417</v>
      </c>
      <c r="H39" s="1">
        <f>SUM(OSRRefE21_2x_3)</f>
        <v>417</v>
      </c>
      <c r="I39" s="1">
        <f>SUM(OSRRefE21_2x_4)</f>
        <v>417</v>
      </c>
      <c r="J39" s="1">
        <f>SUM(OSRRefE21_2x_5)</f>
        <v>417</v>
      </c>
      <c r="K39" s="1">
        <f>SUM(OSRRefE21_2x_6)</f>
        <v>417</v>
      </c>
      <c r="L39" s="1">
        <f>SUM(OSRRefE21_2x_7)</f>
        <v>417</v>
      </c>
      <c r="M39" s="1">
        <f>SUM(OSRRefE21_2x_8)</f>
        <v>417</v>
      </c>
      <c r="N39" s="1">
        <f>SUM(OSRRefE21_2x_9)</f>
        <v>417</v>
      </c>
      <c r="O39" s="1">
        <f>SUM(OSRRefE21_2x_10)</f>
        <v>413</v>
      </c>
      <c r="Q39" s="2">
        <f>SUM(OSRRefD20_2x)+IFERROR(SUM(OSRRefE20_2x),0)</f>
        <v>4756.21</v>
      </c>
    </row>
    <row r="40" spans="1:17" s="34" customFormat="1" hidden="1" outlineLevel="1" x14ac:dyDescent="0.3">
      <c r="A40" s="35"/>
      <c r="B40" s="10" t="str">
        <f>CONCATENATE("          ","6362", " - ","ADVERTISING EXPENSE")</f>
        <v xml:space="preserve">          6362 - ADVERTISING EXPENSE</v>
      </c>
      <c r="C40" s="14"/>
      <c r="D40" s="2">
        <v>173.21</v>
      </c>
      <c r="E40" s="2">
        <v>417</v>
      </c>
      <c r="F40" s="2">
        <v>417</v>
      </c>
      <c r="G40" s="2">
        <v>417</v>
      </c>
      <c r="H40" s="2">
        <v>417</v>
      </c>
      <c r="I40" s="2">
        <v>417</v>
      </c>
      <c r="J40" s="2">
        <v>417</v>
      </c>
      <c r="K40" s="2">
        <v>417</v>
      </c>
      <c r="L40" s="2">
        <v>417</v>
      </c>
      <c r="M40" s="2">
        <v>417</v>
      </c>
      <c r="N40" s="2">
        <v>417</v>
      </c>
      <c r="O40" s="2">
        <v>413</v>
      </c>
      <c r="P40" s="9"/>
      <c r="Q40" s="2">
        <f>SUM(OSRRefD21_2_0x)+IFERROR(SUM(OSRRefE21_2_0x),0)</f>
        <v>4756.21</v>
      </c>
    </row>
    <row r="41" spans="1:17" s="34" customFormat="1" collapsed="1" x14ac:dyDescent="0.3">
      <c r="A41" s="35"/>
      <c r="B41" s="14" t="str">
        <f>CONCATENATE("     ","Repair and Maintenance                            ")</f>
        <v xml:space="preserve">     Repair and Maintenance                            </v>
      </c>
      <c r="C41" s="14"/>
      <c r="D41" s="1">
        <f>SUM(OSRRefD21_3x_0)</f>
        <v>0</v>
      </c>
      <c r="E41" s="1">
        <f>SUM(OSRRefE21_3x_0)</f>
        <v>1600</v>
      </c>
      <c r="F41" s="1">
        <f>SUM(OSRRefE21_3x_1)</f>
        <v>1600</v>
      </c>
      <c r="G41" s="1">
        <f>SUM(OSRRefE21_3x_2)</f>
        <v>1600</v>
      </c>
      <c r="H41" s="1">
        <f>SUM(OSRRefE21_3x_3)</f>
        <v>1600</v>
      </c>
      <c r="I41" s="1">
        <f>SUM(OSRRefE21_3x_4)</f>
        <v>1600</v>
      </c>
      <c r="J41" s="1">
        <f>SUM(OSRRefE21_3x_5)</f>
        <v>1600</v>
      </c>
      <c r="K41" s="1">
        <f>SUM(OSRRefE21_3x_6)</f>
        <v>1600</v>
      </c>
      <c r="L41" s="1">
        <f>SUM(OSRRefE21_3x_7)</f>
        <v>1600</v>
      </c>
      <c r="M41" s="1">
        <f>SUM(OSRRefE21_3x_8)</f>
        <v>1600</v>
      </c>
      <c r="N41" s="1">
        <f>SUM(OSRRefE21_3x_9)</f>
        <v>1600</v>
      </c>
      <c r="O41" s="1">
        <f>SUM(OSRRefE21_3x_10)</f>
        <v>1600</v>
      </c>
      <c r="Q41" s="2">
        <f>SUM(OSRRefD20_3x)+IFERROR(SUM(OSRRefE20_3x),0)</f>
        <v>17600</v>
      </c>
    </row>
    <row r="42" spans="1:17" s="34" customFormat="1" hidden="1" outlineLevel="1" x14ac:dyDescent="0.3">
      <c r="A42" s="35"/>
      <c r="B42" s="10" t="str">
        <f>CONCATENATE("          ","6371", " - ","COMPUTER SOFTWARE MAINTENANCE")</f>
        <v xml:space="preserve">          6371 - COMPUTER SOFTWARE MAINTENANCE</v>
      </c>
      <c r="C42" s="14"/>
      <c r="D42" s="2"/>
      <c r="E42" s="2">
        <v>1600</v>
      </c>
      <c r="F42" s="2">
        <v>1600</v>
      </c>
      <c r="G42" s="2">
        <v>1600</v>
      </c>
      <c r="H42" s="2">
        <v>1600</v>
      </c>
      <c r="I42" s="2">
        <v>1600</v>
      </c>
      <c r="J42" s="2">
        <v>1600</v>
      </c>
      <c r="K42" s="2">
        <v>1600</v>
      </c>
      <c r="L42" s="2">
        <v>1600</v>
      </c>
      <c r="M42" s="2">
        <v>1600</v>
      </c>
      <c r="N42" s="2">
        <v>1600</v>
      </c>
      <c r="O42" s="2">
        <v>1600</v>
      </c>
      <c r="P42" s="9"/>
      <c r="Q42" s="2">
        <f>SUM(OSRRefD21_3_0x)+IFERROR(SUM(OSRRefE21_3_0x),0)</f>
        <v>17600</v>
      </c>
    </row>
    <row r="43" spans="1:17" s="34" customFormat="1" collapsed="1" x14ac:dyDescent="0.3">
      <c r="A43" s="35"/>
      <c r="B43" s="14" t="str">
        <f>CONCATENATE("     ","Supplies                                          ")</f>
        <v xml:space="preserve">     Supplies                                          </v>
      </c>
      <c r="C43" s="14"/>
      <c r="D43" s="1">
        <f>SUM(OSRRefD21_4x_0)</f>
        <v>0</v>
      </c>
      <c r="E43" s="1">
        <f>SUM(OSRRefE21_4x_0)</f>
        <v>600</v>
      </c>
      <c r="F43" s="1">
        <f>SUM(OSRRefE21_4x_1)</f>
        <v>600</v>
      </c>
      <c r="G43" s="1">
        <f>SUM(OSRRefE21_4x_2)</f>
        <v>600</v>
      </c>
      <c r="H43" s="1">
        <f>SUM(OSRRefE21_4x_3)</f>
        <v>600</v>
      </c>
      <c r="I43" s="1">
        <f>SUM(OSRRefE21_4x_4)</f>
        <v>600</v>
      </c>
      <c r="J43" s="1">
        <f>SUM(OSRRefE21_4x_5)</f>
        <v>600</v>
      </c>
      <c r="K43" s="1">
        <f>SUM(OSRRefE21_4x_6)</f>
        <v>600</v>
      </c>
      <c r="L43" s="1">
        <f>SUM(OSRRefE21_4x_7)</f>
        <v>600</v>
      </c>
      <c r="M43" s="1">
        <f>SUM(OSRRefE21_4x_8)</f>
        <v>600</v>
      </c>
      <c r="N43" s="1">
        <f>SUM(OSRRefE21_4x_9)</f>
        <v>600</v>
      </c>
      <c r="O43" s="1">
        <f>SUM(OSRRefE21_4x_10)</f>
        <v>600</v>
      </c>
      <c r="Q43" s="2">
        <f>SUM(OSRRefD20_4x)+IFERROR(SUM(OSRRefE20_4x),0)</f>
        <v>6600</v>
      </c>
    </row>
    <row r="44" spans="1:17" s="34" customFormat="1" hidden="1" outlineLevel="1" x14ac:dyDescent="0.3">
      <c r="A44" s="35"/>
      <c r="B44" s="10" t="str">
        <f>CONCATENATE("          ","6241", " - ","OFFICE EXPENSE")</f>
        <v xml:space="preserve">          6241 - OFFICE EXPENSE</v>
      </c>
      <c r="C44" s="14"/>
      <c r="D44" s="2"/>
      <c r="E44" s="2">
        <v>600</v>
      </c>
      <c r="F44" s="2">
        <v>600</v>
      </c>
      <c r="G44" s="2">
        <v>600</v>
      </c>
      <c r="H44" s="2">
        <v>600</v>
      </c>
      <c r="I44" s="2">
        <v>600</v>
      </c>
      <c r="J44" s="2">
        <v>600</v>
      </c>
      <c r="K44" s="2">
        <v>600</v>
      </c>
      <c r="L44" s="2">
        <v>600</v>
      </c>
      <c r="M44" s="2">
        <v>600</v>
      </c>
      <c r="N44" s="2">
        <v>600</v>
      </c>
      <c r="O44" s="2">
        <v>600</v>
      </c>
      <c r="P44" s="9"/>
      <c r="Q44" s="2">
        <f>SUM(OSRRefD21_4_0x)+IFERROR(SUM(OSRRefE21_4_0x),0)</f>
        <v>6600</v>
      </c>
    </row>
    <row r="45" spans="1:17" s="34" customFormat="1" collapsed="1" x14ac:dyDescent="0.3">
      <c r="A45" s="35"/>
      <c r="B45" s="14" t="str">
        <f>CONCATENATE("     ","Telephone/Data Lines                              ")</f>
        <v xml:space="preserve">     Telephone/Data Lines                              </v>
      </c>
      <c r="C45" s="14"/>
      <c r="D45" s="1">
        <f>SUM(OSRRefD21_5x_0)</f>
        <v>108</v>
      </c>
      <c r="E45" s="1">
        <f>SUM(OSRRefE21_5x_0)</f>
        <v>72</v>
      </c>
      <c r="F45" s="1">
        <f>SUM(OSRRefE21_5x_1)</f>
        <v>72</v>
      </c>
      <c r="G45" s="1">
        <f>SUM(OSRRefE21_5x_2)</f>
        <v>72</v>
      </c>
      <c r="H45" s="1">
        <f>SUM(OSRRefE21_5x_3)</f>
        <v>72</v>
      </c>
      <c r="I45" s="1">
        <f>SUM(OSRRefE21_5x_4)</f>
        <v>72</v>
      </c>
      <c r="J45" s="1">
        <f>SUM(OSRRefE21_5x_5)</f>
        <v>72</v>
      </c>
      <c r="K45" s="1">
        <f>SUM(OSRRefE21_5x_6)</f>
        <v>72</v>
      </c>
      <c r="L45" s="1">
        <f>SUM(OSRRefE21_5x_7)</f>
        <v>72</v>
      </c>
      <c r="M45" s="1">
        <f>SUM(OSRRefE21_5x_8)</f>
        <v>72</v>
      </c>
      <c r="N45" s="1">
        <f>SUM(OSRRefE21_5x_9)</f>
        <v>72</v>
      </c>
      <c r="O45" s="1">
        <f>SUM(OSRRefE21_5x_10)</f>
        <v>72</v>
      </c>
      <c r="Q45" s="2">
        <f>SUM(OSRRefD20_5x)+IFERROR(SUM(OSRRefE20_5x),0)</f>
        <v>900</v>
      </c>
    </row>
    <row r="46" spans="1:17" s="34" customFormat="1" hidden="1" outlineLevel="1" x14ac:dyDescent="0.3">
      <c r="A46" s="35"/>
      <c r="B46" s="10" t="str">
        <f>CONCATENATE("          ","6303", " - ","DATA PHONE LINES")</f>
        <v xml:space="preserve">          6303 - DATA PHONE LINES</v>
      </c>
      <c r="C46" s="14"/>
      <c r="D46" s="2"/>
      <c r="E46" s="2">
        <v>36</v>
      </c>
      <c r="F46" s="2">
        <v>36</v>
      </c>
      <c r="G46" s="2">
        <v>36</v>
      </c>
      <c r="H46" s="2">
        <v>36</v>
      </c>
      <c r="I46" s="2">
        <v>36</v>
      </c>
      <c r="J46" s="2">
        <v>36</v>
      </c>
      <c r="K46" s="2">
        <v>36</v>
      </c>
      <c r="L46" s="2">
        <v>36</v>
      </c>
      <c r="M46" s="2">
        <v>36</v>
      </c>
      <c r="N46" s="2">
        <v>36</v>
      </c>
      <c r="O46" s="2">
        <v>36</v>
      </c>
      <c r="P46" s="9"/>
      <c r="Q46" s="2">
        <f>SUM(OSRRefD21_5_0x)+IFERROR(SUM(OSRRefE21_5_0x),0)</f>
        <v>396</v>
      </c>
    </row>
    <row r="47" spans="1:17" s="34" customFormat="1" hidden="1" outlineLevel="1" x14ac:dyDescent="0.3">
      <c r="A47" s="35"/>
      <c r="B47" s="10" t="str">
        <f>CONCATENATE("          ","6309", " - ","TELEPHONE")</f>
        <v xml:space="preserve">          6309 - TELEPHONE</v>
      </c>
      <c r="C47" s="14"/>
      <c r="D47" s="2">
        <v>108</v>
      </c>
      <c r="E47" s="2">
        <v>36</v>
      </c>
      <c r="F47" s="2">
        <v>36</v>
      </c>
      <c r="G47" s="2">
        <v>36</v>
      </c>
      <c r="H47" s="2">
        <v>36</v>
      </c>
      <c r="I47" s="2">
        <v>36</v>
      </c>
      <c r="J47" s="2">
        <v>36</v>
      </c>
      <c r="K47" s="2">
        <v>36</v>
      </c>
      <c r="L47" s="2">
        <v>36</v>
      </c>
      <c r="M47" s="2">
        <v>36</v>
      </c>
      <c r="N47" s="2">
        <v>36</v>
      </c>
      <c r="O47" s="2">
        <v>36</v>
      </c>
      <c r="P47" s="9"/>
      <c r="Q47" s="2">
        <f>SUM(OSRRefD21_5_1x)+IFERROR(SUM(OSRRefE21_5_1x),0)</f>
        <v>504</v>
      </c>
    </row>
    <row r="48" spans="1:17" s="28" customFormat="1" x14ac:dyDescent="0.3">
      <c r="A48" s="21"/>
      <c r="B48" s="21"/>
      <c r="C48" s="2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</row>
    <row r="49" spans="1:17" s="9" customFormat="1" x14ac:dyDescent="0.3">
      <c r="A49" s="22"/>
      <c r="B49" s="16" t="s">
        <v>293</v>
      </c>
      <c r="C49" s="23"/>
      <c r="D49" s="3">
        <f>0</f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2">
        <f>SUM(OSRRefD23_0x)+IFERROR(SUM(OSRRefE23_0x),0)</f>
        <v>0</v>
      </c>
    </row>
    <row r="50" spans="1:17" x14ac:dyDescent="0.3">
      <c r="A50" s="5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</row>
    <row r="51" spans="1:17" s="15" customFormat="1" x14ac:dyDescent="0.3">
      <c r="A51" s="6"/>
      <c r="B51" s="17" t="s">
        <v>276</v>
      </c>
      <c r="C51" s="17"/>
      <c r="D51" s="8">
        <f t="shared" ref="D51:O51" si="4">IFERROR(+D14-D17+D49, 0)</f>
        <v>-10470.700000000001</v>
      </c>
      <c r="E51" s="8">
        <f t="shared" si="4"/>
        <v>-12432.674227692311</v>
      </c>
      <c r="F51" s="8">
        <f t="shared" si="4"/>
        <v>-12432.674227692311</v>
      </c>
      <c r="G51" s="8">
        <f t="shared" si="4"/>
        <v>-14579.94678461538</v>
      </c>
      <c r="H51" s="8">
        <f t="shared" si="4"/>
        <v>-12236.75742769231</v>
      </c>
      <c r="I51" s="8">
        <f t="shared" si="4"/>
        <v>-12236.75742769231</v>
      </c>
      <c r="J51" s="8">
        <f t="shared" si="4"/>
        <v>-14579.94678461538</v>
      </c>
      <c r="K51" s="8">
        <f t="shared" si="4"/>
        <v>-12236.75742769231</v>
      </c>
      <c r="L51" s="8">
        <f t="shared" si="4"/>
        <v>-12236.75742769231</v>
      </c>
      <c r="M51" s="8">
        <f t="shared" si="4"/>
        <v>-14579.94678461538</v>
      </c>
      <c r="N51" s="8">
        <f t="shared" si="4"/>
        <v>-12236.75742769231</v>
      </c>
      <c r="O51" s="8">
        <f t="shared" si="4"/>
        <v>-12232.75742769231</v>
      </c>
      <c r="Q51" s="8">
        <f>IFERROR(+Q14-Q17+Q49, 0)</f>
        <v>-152492.4333753846</v>
      </c>
    </row>
    <row r="52" spans="1:17" s="6" customFormat="1" x14ac:dyDescent="0.3">
      <c r="B52" s="16"/>
      <c r="C52" s="16"/>
      <c r="D52" s="4">
        <f t="shared" ref="D52:O52" si="5">IFERROR(D51/D10, 0)</f>
        <v>0</v>
      </c>
      <c r="E52" s="4">
        <f t="shared" si="5"/>
        <v>0</v>
      </c>
      <c r="F52" s="4">
        <f t="shared" si="5"/>
        <v>0</v>
      </c>
      <c r="G52" s="4">
        <f t="shared" si="5"/>
        <v>0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18"/>
      <c r="Q52" s="4">
        <f>IFERROR(Q51/Q10, 0)</f>
        <v>0</v>
      </c>
    </row>
    <row r="53" spans="1:17" x14ac:dyDescent="0.3">
      <c r="A53" s="5"/>
      <c r="B53" s="6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</row>
    <row r="54" spans="1:17" s="15" customFormat="1" x14ac:dyDescent="0.3">
      <c r="A54" s="25"/>
      <c r="B54" s="6" t="s">
        <v>125</v>
      </c>
      <c r="C54" s="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2">
        <f>SUM(OSRRefD28_0x)+IFERROR(SUM(OSRRefE28_0x),0)</f>
        <v>0</v>
      </c>
    </row>
    <row r="55" spans="1:17" x14ac:dyDescent="0.3">
      <c r="A55" s="5"/>
      <c r="B55" s="6"/>
      <c r="C55" s="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</row>
    <row r="56" spans="1:17" s="15" customFormat="1" ht="15" thickBot="1" x14ac:dyDescent="0.35">
      <c r="A56" s="6"/>
      <c r="B56" s="17" t="s">
        <v>124</v>
      </c>
      <c r="C56" s="17"/>
      <c r="D56" s="7">
        <f t="shared" ref="D56:O56" si="6">IFERROR(+D51-D54, 0)</f>
        <v>-10470.700000000001</v>
      </c>
      <c r="E56" s="7">
        <f t="shared" si="6"/>
        <v>-12432.674227692311</v>
      </c>
      <c r="F56" s="7">
        <f t="shared" si="6"/>
        <v>-12432.674227692311</v>
      </c>
      <c r="G56" s="7">
        <f t="shared" si="6"/>
        <v>-14579.94678461538</v>
      </c>
      <c r="H56" s="7">
        <f t="shared" si="6"/>
        <v>-12236.75742769231</v>
      </c>
      <c r="I56" s="7">
        <f t="shared" si="6"/>
        <v>-12236.75742769231</v>
      </c>
      <c r="J56" s="7">
        <f t="shared" si="6"/>
        <v>-14579.94678461538</v>
      </c>
      <c r="K56" s="7">
        <f t="shared" si="6"/>
        <v>-12236.75742769231</v>
      </c>
      <c r="L56" s="7">
        <f t="shared" si="6"/>
        <v>-12236.75742769231</v>
      </c>
      <c r="M56" s="7">
        <f t="shared" si="6"/>
        <v>-14579.94678461538</v>
      </c>
      <c r="N56" s="7">
        <f t="shared" si="6"/>
        <v>-12236.75742769231</v>
      </c>
      <c r="O56" s="7">
        <f t="shared" si="6"/>
        <v>-12232.75742769231</v>
      </c>
      <c r="Q56" s="7">
        <f>IFERROR(+Q51-Q54, 0)</f>
        <v>-152492.4333753846</v>
      </c>
    </row>
    <row r="57" spans="1:17" ht="15" thickTop="1" x14ac:dyDescent="0.3">
      <c r="A57" s="5"/>
      <c r="B57" s="5"/>
      <c r="C57" s="5"/>
      <c r="D57" s="4">
        <f t="shared" ref="D57:O57" si="7">IFERROR(D56/D10, 0)</f>
        <v>0</v>
      </c>
      <c r="E57" s="4">
        <f t="shared" si="7"/>
        <v>0</v>
      </c>
      <c r="F57" s="4">
        <f t="shared" si="7"/>
        <v>0</v>
      </c>
      <c r="G57" s="4">
        <f t="shared" si="7"/>
        <v>0</v>
      </c>
      <c r="H57" s="4">
        <f t="shared" si="7"/>
        <v>0</v>
      </c>
      <c r="I57" s="4">
        <f t="shared" si="7"/>
        <v>0</v>
      </c>
      <c r="J57" s="4">
        <f t="shared" si="7"/>
        <v>0</v>
      </c>
      <c r="K57" s="4">
        <f t="shared" si="7"/>
        <v>0</v>
      </c>
      <c r="L57" s="4">
        <f t="shared" si="7"/>
        <v>0</v>
      </c>
      <c r="M57" s="4">
        <f t="shared" si="7"/>
        <v>0</v>
      </c>
      <c r="N57" s="4">
        <f t="shared" si="7"/>
        <v>0</v>
      </c>
      <c r="O57" s="4">
        <f t="shared" si="7"/>
        <v>0</v>
      </c>
      <c r="P57" s="18"/>
      <c r="Q57" s="4">
        <f>IFERROR(Q56/Q10, 0)</f>
        <v>0</v>
      </c>
    </row>
    <row r="58" spans="1:17" x14ac:dyDescent="0.3">
      <c r="A58" s="5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</row>
    <row r="59" spans="1:17" x14ac:dyDescent="0.3">
      <c r="A59" s="5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Q59" s="3"/>
    </row>
    <row r="60" spans="1:17" s="15" customFormat="1" ht="15" thickBot="1" x14ac:dyDescent="0.35">
      <c r="A60" s="6"/>
      <c r="B60" s="17" t="s">
        <v>294</v>
      </c>
      <c r="C60" s="17"/>
      <c r="D60" s="7">
        <f t="shared" ref="D60:O60" si="8">IFERROR(SUM(D56:D59), 0)</f>
        <v>-10470.700000000001</v>
      </c>
      <c r="E60" s="7">
        <f t="shared" si="8"/>
        <v>-12432.674227692311</v>
      </c>
      <c r="F60" s="7">
        <f t="shared" si="8"/>
        <v>-12432.674227692311</v>
      </c>
      <c r="G60" s="7">
        <f t="shared" si="8"/>
        <v>-14579.94678461538</v>
      </c>
      <c r="H60" s="7">
        <f t="shared" si="8"/>
        <v>-12236.75742769231</v>
      </c>
      <c r="I60" s="7">
        <f t="shared" si="8"/>
        <v>-12236.75742769231</v>
      </c>
      <c r="J60" s="7">
        <f t="shared" si="8"/>
        <v>-14579.94678461538</v>
      </c>
      <c r="K60" s="7">
        <f t="shared" si="8"/>
        <v>-12236.75742769231</v>
      </c>
      <c r="L60" s="7">
        <f t="shared" si="8"/>
        <v>-12236.75742769231</v>
      </c>
      <c r="M60" s="7">
        <f t="shared" si="8"/>
        <v>-14579.94678461538</v>
      </c>
      <c r="N60" s="7">
        <f t="shared" si="8"/>
        <v>-12236.75742769231</v>
      </c>
      <c r="O60" s="7">
        <f t="shared" si="8"/>
        <v>-12232.75742769231</v>
      </c>
      <c r="Q60" s="7">
        <f>IFERROR(SUM(Q56:Q59), 0)</f>
        <v>-152492.4333753846</v>
      </c>
    </row>
    <row r="61" spans="1:17" ht="15" thickTop="1" x14ac:dyDescent="0.3">
      <c r="A61" s="5"/>
      <c r="C61" s="5"/>
      <c r="D61" s="4">
        <f t="shared" ref="D61:O61" si="9">IFERROR(D60/D10, 0)</f>
        <v>0</v>
      </c>
      <c r="E61" s="4">
        <f t="shared" si="9"/>
        <v>0</v>
      </c>
      <c r="F61" s="4">
        <f t="shared" si="9"/>
        <v>0</v>
      </c>
      <c r="G61" s="4">
        <f t="shared" si="9"/>
        <v>0</v>
      </c>
      <c r="H61" s="4">
        <f t="shared" si="9"/>
        <v>0</v>
      </c>
      <c r="I61" s="4">
        <f t="shared" si="9"/>
        <v>0</v>
      </c>
      <c r="J61" s="4">
        <f t="shared" si="9"/>
        <v>0</v>
      </c>
      <c r="K61" s="4">
        <f t="shared" si="9"/>
        <v>0</v>
      </c>
      <c r="L61" s="4">
        <f t="shared" si="9"/>
        <v>0</v>
      </c>
      <c r="M61" s="4">
        <f t="shared" si="9"/>
        <v>0</v>
      </c>
      <c r="N61" s="4">
        <f t="shared" si="9"/>
        <v>0</v>
      </c>
      <c r="O61" s="4">
        <f t="shared" si="9"/>
        <v>0</v>
      </c>
      <c r="P61" s="18"/>
      <c r="Q61" s="4">
        <f>IFERROR(Q60/Q10, 0)</f>
        <v>0</v>
      </c>
    </row>
    <row r="62" spans="1:17" x14ac:dyDescent="0.3">
      <c r="A62" s="5"/>
      <c r="B62" s="30">
        <v>44462.678423958336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Q62" s="11"/>
    </row>
    <row r="63" spans="1:17" x14ac:dyDescent="0.3">
      <c r="A63" s="5"/>
      <c r="B63" s="31" t="s">
        <v>54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Q63" s="11"/>
    </row>
    <row r="64" spans="1:17" x14ac:dyDescent="0.3">
      <c r="A64" s="5"/>
      <c r="B64" s="2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Q64" s="11"/>
    </row>
    <row r="65" spans="4:17" x14ac:dyDescent="0.3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Q65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outlinePr summaryBelow="0" summaryRight="0"/>
    <pageSetUpPr fitToPage="1"/>
  </sheetPr>
  <dimension ref="A2:R151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256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220498.22000000003</v>
      </c>
      <c r="E10" s="3">
        <f>SUM(OSRRefE11x_0)</f>
        <v>2741242</v>
      </c>
      <c r="F10" s="3">
        <f>SUM(OSRRefE11x_1)</f>
        <v>818619</v>
      </c>
      <c r="G10" s="3">
        <f>SUM(OSRRefE11x_2)</f>
        <v>382583</v>
      </c>
      <c r="H10" s="3">
        <f>SUM(OSRRefE11x_3)</f>
        <v>266790</v>
      </c>
      <c r="I10" s="3">
        <f>SUM(OSRRefE11x_4)</f>
        <v>414209</v>
      </c>
      <c r="J10" s="3">
        <f>SUM(OSRRefE11x_5)</f>
        <v>1994234</v>
      </c>
      <c r="K10" s="3">
        <f>SUM(OSRRefE11x_6)</f>
        <v>547822</v>
      </c>
      <c r="L10" s="3">
        <f>SUM(OSRRefE11x_7)</f>
        <v>360649</v>
      </c>
      <c r="M10" s="3">
        <f>SUM(OSRRefE11x_8)</f>
        <v>353142</v>
      </c>
      <c r="N10" s="3">
        <f>SUM(OSRRefE11x_9)</f>
        <v>380419</v>
      </c>
      <c r="O10" s="3">
        <f>SUM(OSRRefE11x_10)</f>
        <v>284475</v>
      </c>
      <c r="P10" s="24"/>
      <c r="Q10" s="3">
        <f>SUM(OSRRefG11x)</f>
        <v>8764682.2199999988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--188048.33</f>
        <v>188048.33</v>
      </c>
      <c r="E11" s="2">
        <v>2725728</v>
      </c>
      <c r="F11" s="2">
        <v>779075</v>
      </c>
      <c r="G11" s="2">
        <v>335624</v>
      </c>
      <c r="H11" s="2">
        <v>235605</v>
      </c>
      <c r="I11" s="2">
        <v>391370</v>
      </c>
      <c r="J11" s="2">
        <v>1967158</v>
      </c>
      <c r="K11" s="2">
        <v>494789</v>
      </c>
      <c r="L11" s="2">
        <v>305808</v>
      </c>
      <c r="M11" s="2">
        <v>305749</v>
      </c>
      <c r="N11" s="2">
        <v>346258</v>
      </c>
      <c r="O11" s="2">
        <v>281975</v>
      </c>
      <c r="Q11" s="2">
        <f>SUM(OSRRefD11_0x)+IFERROR(SUM(OSRRefE11_0x),0)</f>
        <v>8357187.3300000001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--39098.54</f>
        <v>39098.54</v>
      </c>
      <c r="E12" s="2">
        <v>15514</v>
      </c>
      <c r="F12" s="2">
        <v>39544</v>
      </c>
      <c r="G12" s="2">
        <v>46959</v>
      </c>
      <c r="H12" s="2">
        <v>31185</v>
      </c>
      <c r="I12" s="2">
        <v>22839</v>
      </c>
      <c r="J12" s="2">
        <v>27076</v>
      </c>
      <c r="K12" s="2">
        <v>53033</v>
      </c>
      <c r="L12" s="2">
        <v>54841</v>
      </c>
      <c r="M12" s="2">
        <v>47393</v>
      </c>
      <c r="N12" s="2">
        <v>34161</v>
      </c>
      <c r="O12" s="2">
        <v>2500</v>
      </c>
      <c r="Q12" s="2">
        <f>SUM(OSRRefD11_1x)+IFERROR(SUM(OSRRefE11_1x),0)</f>
        <v>414143.54</v>
      </c>
    </row>
    <row r="13" spans="1:18" s="9" customFormat="1" hidden="1" outlineLevel="1" x14ac:dyDescent="0.3">
      <c r="A13" s="22"/>
      <c r="B13" s="10" t="str">
        <f>CONCATENATE("          ","4146", " - ","NON-TAXABLE SALES-COIN OP MACH")</f>
        <v xml:space="preserve">          4146 - NON-TAXABLE SALES-COIN OP MACH</v>
      </c>
      <c r="C13" s="23"/>
      <c r="D13" s="2">
        <f>--20.2</f>
        <v>20.2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20.2</v>
      </c>
    </row>
    <row r="14" spans="1:18" s="9" customFormat="1" hidden="1" outlineLevel="1" x14ac:dyDescent="0.3">
      <c r="A14" s="22"/>
      <c r="B14" s="10" t="str">
        <f>CONCATENATE("          ","4200", " - ","TAXABLE RETURNS")</f>
        <v xml:space="preserve">          4200 - TAXABLE RETURNS</v>
      </c>
      <c r="C14" s="23"/>
      <c r="D14" s="2">
        <f>-5566.27</f>
        <v>-5566.27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-5566.27</v>
      </c>
    </row>
    <row r="15" spans="1:18" s="9" customFormat="1" hidden="1" outlineLevel="1" x14ac:dyDescent="0.3">
      <c r="A15" s="22"/>
      <c r="B15" s="10" t="str">
        <f>CONCATENATE("          ","4300", " - ","NON-TAX RETURNS")</f>
        <v xml:space="preserve">          4300 - NON-TAX RETURNS</v>
      </c>
      <c r="C15" s="23"/>
      <c r="D15" s="2">
        <f>-1102.58</f>
        <v>-1102.58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>
        <f>SUM(OSRRefD11_4x)+IFERROR(SUM(OSRRefE11_4x),0)</f>
        <v>-1102.58</v>
      </c>
    </row>
    <row r="16" spans="1:18" x14ac:dyDescent="0.3">
      <c r="A16" s="5"/>
      <c r="B16" s="6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9" customFormat="1" collapsed="1" x14ac:dyDescent="0.3">
      <c r="A17" s="22"/>
      <c r="B17" s="16" t="s">
        <v>218</v>
      </c>
      <c r="C17" s="23"/>
      <c r="D17" s="3">
        <f>SUM(OSRRefD14x_0)</f>
        <v>127421.44</v>
      </c>
      <c r="E17" s="3">
        <f>SUM(OSRRefE14x_0)</f>
        <v>1855423</v>
      </c>
      <c r="F17" s="3">
        <f>SUM(OSRRefE14x_1)</f>
        <v>502177</v>
      </c>
      <c r="G17" s="3">
        <f>SUM(OSRRefE14x_2)</f>
        <v>188725</v>
      </c>
      <c r="H17" s="3">
        <f>SUM(OSRRefE14x_3)</f>
        <v>132404</v>
      </c>
      <c r="I17" s="3">
        <f>SUM(OSRRefE14x_4)</f>
        <v>213058</v>
      </c>
      <c r="J17" s="3">
        <f>SUM(OSRRefE14x_5)</f>
        <v>1312133</v>
      </c>
      <c r="K17" s="3">
        <f>SUM(OSRRefE14x_6)</f>
        <v>298117</v>
      </c>
      <c r="L17" s="3">
        <f>SUM(OSRRefE14x_7)</f>
        <v>158564</v>
      </c>
      <c r="M17" s="3">
        <f>SUM(OSRRefE14x_8)</f>
        <v>156898</v>
      </c>
      <c r="N17" s="3">
        <f>SUM(OSRRefE14x_9)</f>
        <v>178852</v>
      </c>
      <c r="O17" s="3">
        <f>SUM(OSRRefE14x_10)</f>
        <v>150517</v>
      </c>
      <c r="Q17" s="3">
        <f>SUM(OSRRefG14x)</f>
        <v>5274289.4400000004</v>
      </c>
    </row>
    <row r="18" spans="1:17" s="9" customFormat="1" hidden="1" outlineLevel="1" x14ac:dyDescent="0.3">
      <c r="A18" s="22"/>
      <c r="B18" s="10" t="str">
        <f>CONCATENATE("          ","5000", " - ","PURCHASES @ COST")</f>
        <v xml:space="preserve">          5000 - PURCHASES @ COST</v>
      </c>
      <c r="C18" s="23"/>
      <c r="D18" s="2">
        <v>344773.67</v>
      </c>
      <c r="E18" s="2">
        <v>1855423</v>
      </c>
      <c r="F18" s="2">
        <v>502177</v>
      </c>
      <c r="G18" s="2">
        <v>188725</v>
      </c>
      <c r="H18" s="2">
        <v>132404</v>
      </c>
      <c r="I18" s="2">
        <v>213058</v>
      </c>
      <c r="J18" s="2">
        <v>1312133</v>
      </c>
      <c r="K18" s="2">
        <v>298117</v>
      </c>
      <c r="L18" s="2">
        <v>158564</v>
      </c>
      <c r="M18" s="2">
        <v>156898</v>
      </c>
      <c r="N18" s="2">
        <v>178852</v>
      </c>
      <c r="O18" s="2">
        <v>150517</v>
      </c>
      <c r="Q18" s="2">
        <f>SUM(OSRRefD14_0x)+IFERROR(SUM(OSRRefE14_0x),0)</f>
        <v>5491641.6699999999</v>
      </c>
    </row>
    <row r="19" spans="1:17" s="9" customFormat="1" hidden="1" outlineLevel="1" x14ac:dyDescent="0.3">
      <c r="A19" s="22"/>
      <c r="B19" s="10" t="str">
        <f>CONCATENATE("          ","5001", " - ","PURCHASES @ COST-NEW TEXT")</f>
        <v xml:space="preserve">          5001 - PURCHASES @ COST-NEW TEXT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SUM(OSRRefD14_1x)+IFERROR(SUM(OSRRefE14_1x),0)</f>
        <v>0</v>
      </c>
    </row>
    <row r="20" spans="1:17" s="9" customFormat="1" hidden="1" outlineLevel="1" x14ac:dyDescent="0.3">
      <c r="A20" s="22"/>
      <c r="B20" s="10" t="str">
        <f>CONCATENATE("          ","5002", " - ","PURCHASES @ COST-USED TEXT")</f>
        <v xml:space="preserve">          5002 - PURCHASES @ COST-USED TEXT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SUM(OSRRefD14_2x)+IFERROR(SUM(OSRRefE14_2x),0)</f>
        <v>0</v>
      </c>
    </row>
    <row r="21" spans="1:17" s="9" customFormat="1" hidden="1" outlineLevel="1" x14ac:dyDescent="0.3">
      <c r="A21" s="22"/>
      <c r="B21" s="10" t="str">
        <f>CONCATENATE("          ","5004", " - ","PURCHASES @ COST-DIGITAL TEXT")</f>
        <v xml:space="preserve">          5004 - PURCHASES @ COST-DIGITAL TEXT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SUM(OSRRefD14_3x)+IFERROR(SUM(OSRRefE14_3x),0)</f>
        <v>0</v>
      </c>
    </row>
    <row r="22" spans="1:17" s="9" customFormat="1" hidden="1" outlineLevel="1" x14ac:dyDescent="0.3">
      <c r="A22" s="22"/>
      <c r="B22" s="10" t="str">
        <f>CONCATENATE("          ","5040", " - ","PURCHASES @ COST-LOGO CLOTHING")</f>
        <v xml:space="preserve">          5040 - PURCHASES @ COST-LOGO CLOTHING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SUM(OSRRefD14_4x)+IFERROR(SUM(OSRRefE14_4x),0)</f>
        <v>0</v>
      </c>
    </row>
    <row r="23" spans="1:17" s="9" customFormat="1" hidden="1" outlineLevel="1" x14ac:dyDescent="0.3">
      <c r="A23" s="22"/>
      <c r="B23" s="10" t="str">
        <f>CONCATENATE("          ","5041", " - ","PURCHASES @ COST-LOGO GIFTS")</f>
        <v xml:space="preserve">          5041 - PURCHASES @ COST-LOGO GIFTS</v>
      </c>
      <c r="C23" s="23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SUM(OSRRefD14_5x)+IFERROR(SUM(OSRRefE14_5x),0)</f>
        <v>0</v>
      </c>
    </row>
    <row r="24" spans="1:17" s="9" customFormat="1" hidden="1" outlineLevel="1" x14ac:dyDescent="0.3">
      <c r="A24" s="22"/>
      <c r="B24" s="10" t="str">
        <f>CONCATENATE("          ","5042", " - ","PURCHASES @ COST-EVERYDAY GIFT")</f>
        <v xml:space="preserve">          5042 - PURCHASES @ COST-EVERYDAY GIFT</v>
      </c>
      <c r="C24" s="23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SUM(OSRRefD14_6x)+IFERROR(SUM(OSRRefE14_6x),0)</f>
        <v>0</v>
      </c>
    </row>
    <row r="25" spans="1:17" s="9" customFormat="1" hidden="1" outlineLevel="1" x14ac:dyDescent="0.3">
      <c r="A25" s="22"/>
      <c r="B25" s="10" t="str">
        <f>CONCATENATE("          ","5043", " - ","PURCHASES @ COST-CARDS")</f>
        <v xml:space="preserve">          5043 - PURCHASES @ COST-CARDS</v>
      </c>
      <c r="C25" s="23"/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SUM(OSRRefD14_7x)+IFERROR(SUM(OSRRefE14_7x),0)</f>
        <v>0</v>
      </c>
    </row>
    <row r="26" spans="1:17" s="9" customFormat="1" hidden="1" outlineLevel="1" x14ac:dyDescent="0.3">
      <c r="A26" s="22"/>
      <c r="B26" s="10" t="str">
        <f>CONCATENATE("          ","5044", " - ","PURCHASES @ COST-ACCESSORIES")</f>
        <v xml:space="preserve">          5044 - PURCHASES @ COST-ACCESSORIES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SUM(OSRRefD14_8x)+IFERROR(SUM(OSRRefE14_8x),0)</f>
        <v>0</v>
      </c>
    </row>
    <row r="27" spans="1:17" s="9" customFormat="1" hidden="1" outlineLevel="1" x14ac:dyDescent="0.3">
      <c r="A27" s="22"/>
      <c r="B27" s="10" t="str">
        <f>CONCATENATE("          ","5045", " - ","PURCHASES @ COST-SPECIAL ORDER")</f>
        <v xml:space="preserve">          5045 - PURCHASES @ COST-SPECIAL ORDER</v>
      </c>
      <c r="C27" s="23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>
        <f>SUM(OSRRefD14_9x)+IFERROR(SUM(OSRRefE14_9x),0)</f>
        <v>0</v>
      </c>
    </row>
    <row r="28" spans="1:17" s="9" customFormat="1" hidden="1" outlineLevel="1" x14ac:dyDescent="0.3">
      <c r="A28" s="22"/>
      <c r="B28" s="10" t="str">
        <f>CONCATENATE("          ","5200", " - ","PURCHASES OFFSET")</f>
        <v xml:space="preserve">          5200 - PURCHASES OFFSET</v>
      </c>
      <c r="C28" s="23"/>
      <c r="D28" s="2">
        <v>-346348.67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>
        <f>SUM(OSRRefD14_10x)+IFERROR(SUM(OSRRefE14_10x),0)</f>
        <v>-346348.67</v>
      </c>
    </row>
    <row r="29" spans="1:17" s="9" customFormat="1" hidden="1" outlineLevel="1" x14ac:dyDescent="0.3">
      <c r="A29" s="22"/>
      <c r="B29" s="10" t="str">
        <f>CONCATENATE("          ","5300", " - ","COG$ OFFSET")</f>
        <v xml:space="preserve">          5300 - COG$ OFFSET</v>
      </c>
      <c r="C29" s="23"/>
      <c r="D29" s="2">
        <v>125411.41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>
        <f>SUM(OSRRefD14_11x)+IFERROR(SUM(OSRRefE14_11x),0)</f>
        <v>125411.41</v>
      </c>
    </row>
    <row r="30" spans="1:17" s="9" customFormat="1" hidden="1" outlineLevel="1" x14ac:dyDescent="0.3">
      <c r="A30" s="22"/>
      <c r="B30" s="10" t="str">
        <f>CONCATENATE("          ","5500", " - ","FREIGHT-IN")</f>
        <v xml:space="preserve">          5500 - FREIGHT-IN</v>
      </c>
      <c r="C30" s="23"/>
      <c r="D30" s="2">
        <v>3585.03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>
        <f>SUM(OSRRefD14_12x)+IFERROR(SUM(OSRRefE14_12x),0)</f>
        <v>3585.03</v>
      </c>
    </row>
    <row r="31" spans="1:17" s="9" customFormat="1" hidden="1" outlineLevel="1" x14ac:dyDescent="0.3">
      <c r="A31" s="22"/>
      <c r="B31" s="10" t="str">
        <f>CONCATENATE("          ","5501", " - ","FREIGHT-IN-NEW TEXT")</f>
        <v xml:space="preserve">          5501 - FREIGHT-IN-NEW TEXT</v>
      </c>
      <c r="C31" s="23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>
        <f>SUM(OSRRefD14_13x)+IFERROR(SUM(OSRRefE14_13x),0)</f>
        <v>0</v>
      </c>
    </row>
    <row r="32" spans="1:17" s="9" customFormat="1" hidden="1" outlineLevel="1" x14ac:dyDescent="0.3">
      <c r="A32" s="22"/>
      <c r="B32" s="10" t="str">
        <f>CONCATENATE("          ","5502", " - ","FREIGHT-IN-USED TEXT")</f>
        <v xml:space="preserve">          5502 - FREIGHT-IN-USED TEXT</v>
      </c>
      <c r="C32" s="23"/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>
        <f>SUM(OSRRefD14_14x)+IFERROR(SUM(OSRRefE14_14x),0)</f>
        <v>0</v>
      </c>
    </row>
    <row r="33" spans="1:17" s="9" customFormat="1" hidden="1" outlineLevel="1" x14ac:dyDescent="0.3">
      <c r="A33" s="22"/>
      <c r="B33" s="10" t="str">
        <f>CONCATENATE("          ","5518", " - ","FREIGHT-IN-STUDY GUIDES")</f>
        <v xml:space="preserve">          5518 - FREIGHT-IN-STUDY GUIDES</v>
      </c>
      <c r="C33" s="23"/>
      <c r="D33" s="2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>
        <f>SUM(OSRRefD14_15x)+IFERROR(SUM(OSRRefE14_15x),0)</f>
        <v>0</v>
      </c>
    </row>
    <row r="34" spans="1:17" s="9" customFormat="1" hidden="1" outlineLevel="1" x14ac:dyDescent="0.3">
      <c r="A34" s="22"/>
      <c r="B34" s="10" t="str">
        <f>CONCATENATE("          ","5540", " - ","FREIGHT-IN-LOGO CLOTHING")</f>
        <v xml:space="preserve">          5540 - FREIGHT-IN-LOGO CLOTHING</v>
      </c>
      <c r="C34" s="23"/>
      <c r="D34" s="2"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>
        <f>SUM(OSRRefD14_16x)+IFERROR(SUM(OSRRefE14_16x),0)</f>
        <v>0</v>
      </c>
    </row>
    <row r="35" spans="1:17" s="9" customFormat="1" hidden="1" outlineLevel="1" x14ac:dyDescent="0.3">
      <c r="A35" s="22"/>
      <c r="B35" s="10" t="str">
        <f>CONCATENATE("          ","5541", " - ","FREIGHT-IN-LOGO GIFTS")</f>
        <v xml:space="preserve">          5541 - FREIGHT-IN-LOGO GIFTS</v>
      </c>
      <c r="C35" s="23"/>
      <c r="D35" s="2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>
        <f>SUM(OSRRefD14_17x)+IFERROR(SUM(OSRRefE14_17x),0)</f>
        <v>0</v>
      </c>
    </row>
    <row r="36" spans="1:17" s="9" customFormat="1" hidden="1" outlineLevel="1" x14ac:dyDescent="0.3">
      <c r="A36" s="22"/>
      <c r="B36" s="10" t="str">
        <f>CONCATENATE("          ","5542", " - ","FREIGHT-IN-EVERYDAY GIFTS")</f>
        <v xml:space="preserve">          5542 - FREIGHT-IN-EVERYDAY GIFTS</v>
      </c>
      <c r="C36" s="23"/>
      <c r="D36" s="2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>
        <f>SUM(OSRRefD14_18x)+IFERROR(SUM(OSRRefE14_18x),0)</f>
        <v>0</v>
      </c>
    </row>
    <row r="37" spans="1:17" s="9" customFormat="1" hidden="1" outlineLevel="1" x14ac:dyDescent="0.3">
      <c r="A37" s="22"/>
      <c r="B37" s="10" t="str">
        <f>CONCATENATE("          ","5544", " - ","FREIGHT-IN-ACCESSORIES")</f>
        <v xml:space="preserve">          5544 - FREIGHT-IN-ACCESSORIES</v>
      </c>
      <c r="C37" s="23"/>
      <c r="D37" s="2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>
        <f>SUM(OSRRefD14_19x)+IFERROR(SUM(OSRRefE14_19x),0)</f>
        <v>0</v>
      </c>
    </row>
    <row r="38" spans="1:17" s="9" customFormat="1" hidden="1" outlineLevel="1" x14ac:dyDescent="0.3">
      <c r="A38" s="22"/>
      <c r="B38" s="10" t="str">
        <f>CONCATENATE("          ","5545", " - ","FREIGHT-IN-SPECIAL ORDERS")</f>
        <v xml:space="preserve">          5545 - FREIGHT-IN-SPECIAL ORDERS</v>
      </c>
      <c r="C38" s="23"/>
      <c r="D38" s="2"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>
        <f>SUM(OSRRefD14_20x)+IFERROR(SUM(OSRRefE14_20x),0)</f>
        <v>0</v>
      </c>
    </row>
    <row r="39" spans="1:17" x14ac:dyDescent="0.3">
      <c r="A39" s="5"/>
      <c r="B39" s="6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</row>
    <row r="40" spans="1:17" s="15" customFormat="1" x14ac:dyDescent="0.3">
      <c r="A40" s="6"/>
      <c r="B40" s="17" t="s">
        <v>105</v>
      </c>
      <c r="C40" s="17"/>
      <c r="D40" s="8">
        <f t="shared" ref="D40:O40" si="0">IFERROR(+D10-D17, 0)</f>
        <v>93076.780000000028</v>
      </c>
      <c r="E40" s="8">
        <f t="shared" si="0"/>
        <v>885819</v>
      </c>
      <c r="F40" s="8">
        <f t="shared" si="0"/>
        <v>316442</v>
      </c>
      <c r="G40" s="8">
        <f t="shared" si="0"/>
        <v>193858</v>
      </c>
      <c r="H40" s="8">
        <f t="shared" si="0"/>
        <v>134386</v>
      </c>
      <c r="I40" s="8">
        <f t="shared" si="0"/>
        <v>201151</v>
      </c>
      <c r="J40" s="8">
        <f t="shared" si="0"/>
        <v>682101</v>
      </c>
      <c r="K40" s="8">
        <f t="shared" si="0"/>
        <v>249705</v>
      </c>
      <c r="L40" s="8">
        <f t="shared" si="0"/>
        <v>202085</v>
      </c>
      <c r="M40" s="8">
        <f t="shared" si="0"/>
        <v>196244</v>
      </c>
      <c r="N40" s="8">
        <f t="shared" si="0"/>
        <v>201567</v>
      </c>
      <c r="O40" s="8">
        <f t="shared" si="0"/>
        <v>133958</v>
      </c>
      <c r="Q40" s="8">
        <f>IFERROR(+Q10-Q17, 0)</f>
        <v>3490392.7799999984</v>
      </c>
    </row>
    <row r="41" spans="1:17" s="6" customFormat="1" x14ac:dyDescent="0.3">
      <c r="B41" s="16"/>
      <c r="C41" s="16"/>
      <c r="D41" s="4">
        <f t="shared" ref="D41:O41" si="1">IFERROR(D40/D10, 0)</f>
        <v>0.42212032369240904</v>
      </c>
      <c r="E41" s="4">
        <f t="shared" si="1"/>
        <v>0.32314512910571191</v>
      </c>
      <c r="F41" s="4">
        <f t="shared" si="1"/>
        <v>0.38655589474468588</v>
      </c>
      <c r="G41" s="4">
        <f t="shared" si="1"/>
        <v>0.50670834825384292</v>
      </c>
      <c r="H41" s="4">
        <f t="shared" si="1"/>
        <v>0.50371453202893657</v>
      </c>
      <c r="I41" s="4">
        <f t="shared" si="1"/>
        <v>0.4856268212424163</v>
      </c>
      <c r="J41" s="4">
        <f t="shared" si="1"/>
        <v>0.34203659149327509</v>
      </c>
      <c r="K41" s="4">
        <f t="shared" si="1"/>
        <v>0.45581411480371359</v>
      </c>
      <c r="L41" s="4">
        <f t="shared" si="1"/>
        <v>0.5603370590241481</v>
      </c>
      <c r="M41" s="4">
        <f t="shared" si="1"/>
        <v>0.55570846854806277</v>
      </c>
      <c r="N41" s="4">
        <f t="shared" si="1"/>
        <v>0.52985523856589711</v>
      </c>
      <c r="O41" s="4">
        <f t="shared" si="1"/>
        <v>0.47089550927146501</v>
      </c>
      <c r="P41" s="18"/>
      <c r="Q41" s="4">
        <f>IFERROR(Q40/Q10, 0)</f>
        <v>0.3982338084129648</v>
      </c>
    </row>
    <row r="42" spans="1:17" x14ac:dyDescent="0.3">
      <c r="A42" s="5"/>
      <c r="B42" s="6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</row>
    <row r="43" spans="1:17" s="15" customFormat="1" x14ac:dyDescent="0.3">
      <c r="A43" s="6"/>
      <c r="B43" s="16" t="s">
        <v>255</v>
      </c>
      <c r="C43" s="6"/>
      <c r="D43" s="13">
        <f>SUM(OSRRefD20x_0)</f>
        <v>363430.32999999996</v>
      </c>
      <c r="E43" s="13">
        <f>SUM(OSRRefE20x_0)</f>
        <v>352716.01235172059</v>
      </c>
      <c r="F43" s="13">
        <f>SUM(OSRRefE20x_1)</f>
        <v>313459.50846691278</v>
      </c>
      <c r="G43" s="13">
        <f>SUM(OSRRefE20x_2)</f>
        <v>370292.28318075638</v>
      </c>
      <c r="H43" s="13">
        <f>SUM(OSRRefE20x_3)</f>
        <v>287086.99384960509</v>
      </c>
      <c r="I43" s="13">
        <f>SUM(OSRRefE20x_4)</f>
        <v>295455.77469460509</v>
      </c>
      <c r="J43" s="13">
        <f>SUM(OSRRefE20x_5)</f>
        <v>437516.66225425637</v>
      </c>
      <c r="K43" s="13">
        <f>SUM(OSRRefE20x_6)</f>
        <v>322473.10071625508</v>
      </c>
      <c r="L43" s="13">
        <f>SUM(OSRRefE20x_7)</f>
        <v>277280.61917775508</v>
      </c>
      <c r="M43" s="13">
        <f>SUM(OSRRefE20x_8)</f>
        <v>326852.95639075642</v>
      </c>
      <c r="N43" s="13">
        <f>SUM(OSRRefE20x_9)</f>
        <v>284416.80103275506</v>
      </c>
      <c r="O43" s="13">
        <f>SUM(OSRRefE20x_10)</f>
        <v>278741.20626640506</v>
      </c>
      <c r="Q43" s="13">
        <f>SUM(OSRRefG20x)</f>
        <v>3909722.2483817819</v>
      </c>
    </row>
    <row r="44" spans="1:17" s="34" customFormat="1" collapsed="1" x14ac:dyDescent="0.3">
      <c r="A44" s="35"/>
      <c r="B44" s="14" t="str">
        <f>CONCATENATE("     ","*Benefits                                         ")</f>
        <v xml:space="preserve">     *Benefits                                         </v>
      </c>
      <c r="C44" s="14"/>
      <c r="D44" s="1">
        <f>SUM(OSRRefD21_0x_0)</f>
        <v>47426.359999999993</v>
      </c>
      <c r="E44" s="1">
        <f>SUM(OSRRefE21_0x_0)</f>
        <v>51658.255844928281</v>
      </c>
      <c r="F44" s="1">
        <f>SUM(OSRRefE21_0x_1)</f>
        <v>46263.582921659014</v>
      </c>
      <c r="G44" s="1">
        <f>SUM(OSRRefE21_0x_2)</f>
        <v>49885.036826112177</v>
      </c>
      <c r="H44" s="1">
        <f>SUM(OSRRefE21_0x_3)</f>
        <v>42683.104265889786</v>
      </c>
      <c r="I44" s="1">
        <f>SUM(OSRRefE21_0x_4)</f>
        <v>43584.292610889795</v>
      </c>
      <c r="J44" s="1">
        <f>SUM(OSRRefE21_0x_5)</f>
        <v>55451.565374612182</v>
      </c>
      <c r="K44" s="1">
        <f>SUM(OSRRefE21_0x_6)</f>
        <v>43691.786307539791</v>
      </c>
      <c r="L44" s="1">
        <f>SUM(OSRRefE21_0x_7)</f>
        <v>43135.526219039784</v>
      </c>
      <c r="M44" s="1">
        <f>SUM(OSRRefE21_0x_8)</f>
        <v>50484.811711112183</v>
      </c>
      <c r="N44" s="1">
        <f>SUM(OSRRefE21_0x_9)</f>
        <v>43414.506824039781</v>
      </c>
      <c r="O44" s="1">
        <f>SUM(OSRRefE21_0x_10)</f>
        <v>42674.929032689783</v>
      </c>
      <c r="Q44" s="2">
        <f>SUM(OSRRefD20_0x)+IFERROR(SUM(OSRRefE20_0x),0)</f>
        <v>560353.7579385126</v>
      </c>
    </row>
    <row r="45" spans="1:17" s="34" customFormat="1" hidden="1" outlineLevel="1" x14ac:dyDescent="0.3">
      <c r="A45" s="35"/>
      <c r="B45" s="10" t="str">
        <f>CONCATENATE("          ","6111", " - ","F.I.C.A.")</f>
        <v xml:space="preserve">          6111 - F.I.C.A.</v>
      </c>
      <c r="C45" s="14"/>
      <c r="D45" s="2">
        <v>9628.01</v>
      </c>
      <c r="E45" s="2">
        <v>10563.761522787499</v>
      </c>
      <c r="F45" s="2">
        <v>8973.6638629797708</v>
      </c>
      <c r="G45" s="2">
        <v>10817.335675840101</v>
      </c>
      <c r="H45" s="2">
        <v>8658.1542206720806</v>
      </c>
      <c r="I45" s="2">
        <v>8801.5714406720799</v>
      </c>
      <c r="J45" s="2">
        <v>12262.650643840099</v>
      </c>
      <c r="K45" s="2">
        <v>9084.0804050720799</v>
      </c>
      <c r="L45" s="2">
        <v>9003.9075770720792</v>
      </c>
      <c r="M45" s="2">
        <v>11212.2725673401</v>
      </c>
      <c r="N45" s="2">
        <v>9003.9075770720792</v>
      </c>
      <c r="O45" s="2">
        <v>8661.0057284720806</v>
      </c>
      <c r="P45" s="9"/>
      <c r="Q45" s="2">
        <f>SUM(OSRRefD21_0_0x)+IFERROR(SUM(OSRRefE21_0_0x),0)</f>
        <v>116670.32122182005</v>
      </c>
    </row>
    <row r="46" spans="1:17" s="34" customFormat="1" hidden="1" outlineLevel="1" x14ac:dyDescent="0.3">
      <c r="A46" s="35"/>
      <c r="B46" s="10" t="str">
        <f>CONCATENATE("          ","6112", " - ","COMPENSATION INSURANCE")</f>
        <v xml:space="preserve">          6112 - COMPENSATION INSURANCE</v>
      </c>
      <c r="C46" s="14"/>
      <c r="D46" s="2">
        <v>1973.41</v>
      </c>
      <c r="E46" s="2">
        <v>3363.44977548</v>
      </c>
      <c r="F46" s="2">
        <v>2701.3554754800002</v>
      </c>
      <c r="G46" s="2">
        <v>2772.8633443499998</v>
      </c>
      <c r="H46" s="2">
        <v>2215.7361754799999</v>
      </c>
      <c r="I46" s="2">
        <v>2507.3976754800001</v>
      </c>
      <c r="J46" s="2">
        <v>4170.66179835</v>
      </c>
      <c r="K46" s="2">
        <v>2457.75367848</v>
      </c>
      <c r="L46" s="2">
        <v>2302.0521844800001</v>
      </c>
      <c r="M46" s="2">
        <v>2889.8345623499999</v>
      </c>
      <c r="N46" s="2">
        <v>2393.2911244799998</v>
      </c>
      <c r="O46" s="2">
        <v>2263.5606274800002</v>
      </c>
      <c r="P46" s="9"/>
      <c r="Q46" s="2">
        <f>SUM(OSRRefD21_0_1x)+IFERROR(SUM(OSRRefE21_0_1x),0)</f>
        <v>32011.366421889998</v>
      </c>
    </row>
    <row r="47" spans="1:17" s="34" customFormat="1" hidden="1" outlineLevel="1" x14ac:dyDescent="0.3">
      <c r="A47" s="35"/>
      <c r="B47" s="10" t="str">
        <f>CONCATENATE("          ","6113", " - ","GROUP INSURANCE")</f>
        <v xml:space="preserve">          6113 - GROUP INSURANCE</v>
      </c>
      <c r="C47" s="14"/>
      <c r="D47" s="2">
        <v>17896.5</v>
      </c>
      <c r="E47" s="2">
        <v>17692.9230769231</v>
      </c>
      <c r="F47" s="2">
        <v>16704.4230769231</v>
      </c>
      <c r="G47" s="2">
        <v>16784.1538461538</v>
      </c>
      <c r="H47" s="2">
        <v>15715.9230769231</v>
      </c>
      <c r="I47" s="2">
        <v>15715.9230769231</v>
      </c>
      <c r="J47" s="2">
        <v>16784.1538461538</v>
      </c>
      <c r="K47" s="2">
        <v>15715.9230769231</v>
      </c>
      <c r="L47" s="2">
        <v>15715.9230769231</v>
      </c>
      <c r="M47" s="2">
        <v>16784.1538461538</v>
      </c>
      <c r="N47" s="2">
        <v>15715.9230769231</v>
      </c>
      <c r="O47" s="2">
        <v>15715.9230769231</v>
      </c>
      <c r="P47" s="9"/>
      <c r="Q47" s="2">
        <f>SUM(OSRRefD21_0_2x)+IFERROR(SUM(OSRRefE21_0_2x),0)</f>
        <v>196941.84615384619</v>
      </c>
    </row>
    <row r="48" spans="1:17" s="34" customFormat="1" hidden="1" outlineLevel="1" x14ac:dyDescent="0.3">
      <c r="A48" s="35"/>
      <c r="B48" s="10" t="str">
        <f>CONCATENATE("          ","6114", " - ","STATE UNEMPLOYMENT INSURANCE")</f>
        <v xml:space="preserve">          6114 - STATE UNEMPLOYMENT INSURANCE</v>
      </c>
      <c r="C48" s="14"/>
      <c r="D48" s="2">
        <v>357.53</v>
      </c>
      <c r="E48" s="2">
        <v>452.772085160769</v>
      </c>
      <c r="F48" s="2">
        <v>363.64400631461598</v>
      </c>
      <c r="G48" s="2">
        <v>373.27006558557702</v>
      </c>
      <c r="H48" s="2">
        <v>298.27217746846202</v>
      </c>
      <c r="I48" s="2">
        <v>337.53430246846199</v>
      </c>
      <c r="J48" s="2">
        <v>561.43524208557596</v>
      </c>
      <c r="K48" s="2">
        <v>330.85145671846101</v>
      </c>
      <c r="L48" s="2">
        <v>309.89164021846199</v>
      </c>
      <c r="M48" s="2">
        <v>389.01619108557702</v>
      </c>
      <c r="N48" s="2">
        <v>322.17380521846201</v>
      </c>
      <c r="O48" s="2">
        <v>304.71008446846201</v>
      </c>
      <c r="P48" s="9"/>
      <c r="Q48" s="2">
        <f>SUM(OSRRefD21_0_3x)+IFERROR(SUM(OSRRefE21_0_3x),0)</f>
        <v>4401.1010567928861</v>
      </c>
    </row>
    <row r="49" spans="1:17" s="34" customFormat="1" hidden="1" outlineLevel="1" x14ac:dyDescent="0.3">
      <c r="A49" s="35"/>
      <c r="B49" s="10" t="str">
        <f>CONCATENATE("          ","6115", " - ","P.E.R.S.")</f>
        <v xml:space="preserve">          6115 - P.E.R.S.</v>
      </c>
      <c r="C49" s="14"/>
      <c r="D49" s="2">
        <v>6296.23</v>
      </c>
      <c r="E49" s="2">
        <v>4876.5413201076799</v>
      </c>
      <c r="F49" s="2">
        <v>4546.0697816461497</v>
      </c>
      <c r="G49" s="2">
        <v>5269.4978039807702</v>
      </c>
      <c r="H49" s="2">
        <v>4215.5982431846096</v>
      </c>
      <c r="I49" s="2">
        <v>4215.5982431846096</v>
      </c>
      <c r="J49" s="2">
        <v>5269.4978039807702</v>
      </c>
      <c r="K49" s="2">
        <v>4215.5982431846096</v>
      </c>
      <c r="L49" s="2">
        <v>4215.5982431846096</v>
      </c>
      <c r="M49" s="2">
        <v>5269.4978039807702</v>
      </c>
      <c r="N49" s="2">
        <v>4215.5982431846096</v>
      </c>
      <c r="O49" s="2">
        <v>4215.5982431846096</v>
      </c>
      <c r="P49" s="9"/>
      <c r="Q49" s="2">
        <f>SUM(OSRRefD21_0_4x)+IFERROR(SUM(OSRRefE21_0_4x),0)</f>
        <v>56820.923972803794</v>
      </c>
    </row>
    <row r="50" spans="1:17" s="34" customFormat="1" hidden="1" outlineLevel="1" x14ac:dyDescent="0.3">
      <c r="A50" s="35"/>
      <c r="B50" s="10" t="str">
        <f>CONCATENATE("          ","6116", " - ","EDUCATIONAL BENEFITS")</f>
        <v xml:space="preserve">          6116 - EDUCATIONAL BENEFITS</v>
      </c>
      <c r="C50" s="14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9"/>
      <c r="Q50" s="2">
        <f>SUM(OSRRefD21_0_5x)+IFERROR(SUM(OSRRefE21_0_5x),0)</f>
        <v>0</v>
      </c>
    </row>
    <row r="51" spans="1:17" s="34" customFormat="1" hidden="1" outlineLevel="1" x14ac:dyDescent="0.3">
      <c r="A51" s="35"/>
      <c r="B51" s="10" t="str">
        <f>CONCATENATE("          ","6117", " - ","RETIREMENT STAFF HOURLY")</f>
        <v xml:space="preserve">          6117 - RETIREMENT STAFF HOURLY</v>
      </c>
      <c r="C51" s="14"/>
      <c r="D51" s="2">
        <v>552.85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2">
        <f>SUM(OSRRefD21_0_6x)+IFERROR(SUM(OSRRefE21_0_6x),0)</f>
        <v>552.85</v>
      </c>
    </row>
    <row r="52" spans="1:17" s="34" customFormat="1" hidden="1" outlineLevel="1" x14ac:dyDescent="0.3">
      <c r="A52" s="35"/>
      <c r="B52" s="10" t="str">
        <f>CONCATENATE("          ","6118", " - ","VACATION")</f>
        <v xml:space="preserve">          6118 - VACATION</v>
      </c>
      <c r="C52" s="14"/>
      <c r="D52" s="2">
        <v>5400.79</v>
      </c>
      <c r="E52" s="2">
        <v>4561.7222342076902</v>
      </c>
      <c r="F52" s="2">
        <v>4177.4530034384597</v>
      </c>
      <c r="G52" s="2">
        <v>4741.47971583654</v>
      </c>
      <c r="H52" s="2">
        <v>3793.1837726692302</v>
      </c>
      <c r="I52" s="2">
        <v>3793.1837726692302</v>
      </c>
      <c r="J52" s="2">
        <v>4741.47971583654</v>
      </c>
      <c r="K52" s="2">
        <v>3793.1837726692302</v>
      </c>
      <c r="L52" s="2">
        <v>3793.1837726692302</v>
      </c>
      <c r="M52" s="2">
        <v>4741.47971583654</v>
      </c>
      <c r="N52" s="2">
        <v>3793.1837726692302</v>
      </c>
      <c r="O52" s="2">
        <v>3793.1837726692302</v>
      </c>
      <c r="P52" s="9"/>
      <c r="Q52" s="2">
        <f>SUM(OSRRefD21_0_7x)+IFERROR(SUM(OSRRefE21_0_7x),0)</f>
        <v>51123.507021171157</v>
      </c>
    </row>
    <row r="53" spans="1:17" s="34" customFormat="1" hidden="1" outlineLevel="1" x14ac:dyDescent="0.3">
      <c r="A53" s="35"/>
      <c r="B53" s="10" t="str">
        <f>CONCATENATE("          ","6119", " - ","SICK LEAVE")</f>
        <v xml:space="preserve">          6119 - SICK LEAVE</v>
      </c>
      <c r="C53" s="14"/>
      <c r="D53" s="2">
        <v>3886.05</v>
      </c>
      <c r="E53" s="2">
        <v>7697.0858302615397</v>
      </c>
      <c r="F53" s="2">
        <v>6346.97371487692</v>
      </c>
      <c r="G53" s="2">
        <v>6676.4363743653903</v>
      </c>
      <c r="H53" s="2">
        <v>5336.2365994923002</v>
      </c>
      <c r="I53" s="2">
        <v>5938.0840994923101</v>
      </c>
      <c r="J53" s="2">
        <v>9386.6863243653897</v>
      </c>
      <c r="K53" s="2">
        <v>5819.3956744923098</v>
      </c>
      <c r="L53" s="2">
        <v>5519.9697244923</v>
      </c>
      <c r="M53" s="2">
        <v>6923.5570243653901</v>
      </c>
      <c r="N53" s="2">
        <v>5695.4292244922999</v>
      </c>
      <c r="O53" s="2">
        <v>5445.9474994923003</v>
      </c>
      <c r="P53" s="9"/>
      <c r="Q53" s="2">
        <f>SUM(OSRRefD21_0_8x)+IFERROR(SUM(OSRRefE21_0_8x),0)</f>
        <v>74671.852090188462</v>
      </c>
    </row>
    <row r="54" spans="1:17" s="34" customFormat="1" hidden="1" outlineLevel="1" x14ac:dyDescent="0.3">
      <c r="A54" s="35"/>
      <c r="B54" s="10" t="str">
        <f>CONCATENATE("          ","6156", " - ","EMPLOYEE MEALS")</f>
        <v xml:space="preserve">          6156 - EMPLOYEE MEALS</v>
      </c>
      <c r="C54" s="14"/>
      <c r="D54" s="2">
        <v>1434.99</v>
      </c>
      <c r="E54" s="2">
        <v>2450</v>
      </c>
      <c r="F54" s="2">
        <v>2450</v>
      </c>
      <c r="G54" s="2">
        <v>2450</v>
      </c>
      <c r="H54" s="2">
        <v>2450</v>
      </c>
      <c r="I54" s="2">
        <v>2275</v>
      </c>
      <c r="J54" s="2">
        <v>2275</v>
      </c>
      <c r="K54" s="2">
        <v>2275</v>
      </c>
      <c r="L54" s="2">
        <v>2275</v>
      </c>
      <c r="M54" s="2">
        <v>2275</v>
      </c>
      <c r="N54" s="2">
        <v>2275</v>
      </c>
      <c r="O54" s="2">
        <v>2275</v>
      </c>
      <c r="P54" s="9"/>
      <c r="Q54" s="2">
        <f>SUM(OSRRefD21_0_9x)+IFERROR(SUM(OSRRefE21_0_9x),0)</f>
        <v>27159.99</v>
      </c>
    </row>
    <row r="55" spans="1:17" s="34" customFormat="1" collapsed="1" x14ac:dyDescent="0.3">
      <c r="A55" s="35"/>
      <c r="B55" s="14" t="str">
        <f>CONCATENATE("     ","*Payroll                                          ")</f>
        <v xml:space="preserve">     *Payroll                                          </v>
      </c>
      <c r="C55" s="14"/>
      <c r="D55" s="1">
        <f>SUM(OSRRefD21_1x_0)</f>
        <v>166272.59000000003</v>
      </c>
      <c r="E55" s="1">
        <f>SUM(OSRRefE21_1x_0)</f>
        <v>208147.7565067923</v>
      </c>
      <c r="F55" s="1">
        <f>SUM(OSRRefE21_1x_1)</f>
        <v>166000.92554525379</v>
      </c>
      <c r="G55" s="1">
        <f>SUM(OSRRefE21_1x_2)</f>
        <v>169254.24635464422</v>
      </c>
      <c r="H55" s="1">
        <f>SUM(OSRRefE21_1x_3)</f>
        <v>135235.8895837153</v>
      </c>
      <c r="I55" s="1">
        <f>SUM(OSRRefE21_1x_4)</f>
        <v>153978.48208371529</v>
      </c>
      <c r="J55" s="1">
        <f>SUM(OSRRefE21_1x_5)</f>
        <v>259494.0968796442</v>
      </c>
      <c r="K55" s="1">
        <f>SUM(OSRRefE21_1x_6)</f>
        <v>150894.31440871529</v>
      </c>
      <c r="L55" s="1">
        <f>SUM(OSRRefE21_1x_7)</f>
        <v>140798.09295871528</v>
      </c>
      <c r="M55" s="1">
        <f>SUM(OSRRefE21_1x_8)</f>
        <v>176768.1446796442</v>
      </c>
      <c r="N55" s="1">
        <f>SUM(OSRRefE21_1x_9)</f>
        <v>146695.29420871529</v>
      </c>
      <c r="O55" s="1">
        <f>SUM(OSRRefE21_1x_10)</f>
        <v>138220.27723371529</v>
      </c>
      <c r="Q55" s="2">
        <f>SUM(OSRRefD20_1x)+IFERROR(SUM(OSRRefE20_1x),0)</f>
        <v>2011760.1104432701</v>
      </c>
    </row>
    <row r="56" spans="1:17" s="34" customFormat="1" hidden="1" outlineLevel="1" x14ac:dyDescent="0.3">
      <c r="A56" s="35"/>
      <c r="B56" s="10" t="str">
        <f>CONCATENATE("          ","6001", " - ","ADMINISTRATIVE SALARIES")</f>
        <v xml:space="preserve">          6001 - ADMINISTRATIVE SALARIES</v>
      </c>
      <c r="C56" s="14"/>
      <c r="D56" s="2">
        <v>5599.1</v>
      </c>
      <c r="E56" s="2">
        <v>4139.8076923076896</v>
      </c>
      <c r="F56" s="2">
        <v>4139.8076923076896</v>
      </c>
      <c r="G56" s="2">
        <v>5174.7596153846198</v>
      </c>
      <c r="H56" s="2">
        <v>4139.8076923076896</v>
      </c>
      <c r="I56" s="2">
        <v>4139.8076923076896</v>
      </c>
      <c r="J56" s="2">
        <v>5174.7596153846198</v>
      </c>
      <c r="K56" s="2">
        <v>4139.8076923076896</v>
      </c>
      <c r="L56" s="2">
        <v>4139.8076923076896</v>
      </c>
      <c r="M56" s="2">
        <v>5174.7596153846198</v>
      </c>
      <c r="N56" s="2">
        <v>4139.8076923076896</v>
      </c>
      <c r="O56" s="2">
        <v>4139.8076923076896</v>
      </c>
      <c r="P56" s="9"/>
      <c r="Q56" s="2">
        <f>SUM(OSRRefD21_1_0x)+IFERROR(SUM(OSRRefE21_1_0x),0)</f>
        <v>54241.840384615367</v>
      </c>
    </row>
    <row r="57" spans="1:17" s="34" customFormat="1" hidden="1" outlineLevel="1" x14ac:dyDescent="0.3">
      <c r="A57" s="35"/>
      <c r="B57" s="10" t="str">
        <f>CONCATENATE("          ","6002", " - ","STAFF SALARIES")</f>
        <v xml:space="preserve">          6002 - STAFF SALARIES</v>
      </c>
      <c r="C57" s="14"/>
      <c r="D57" s="2">
        <v>68536.740000000005</v>
      </c>
      <c r="E57" s="2">
        <v>46599.981546484603</v>
      </c>
      <c r="F57" s="2">
        <v>43333.693084946099</v>
      </c>
      <c r="G57" s="2">
        <v>50084.255779259598</v>
      </c>
      <c r="H57" s="2">
        <v>40067.404623407601</v>
      </c>
      <c r="I57" s="2">
        <v>40067.404623407601</v>
      </c>
      <c r="J57" s="2">
        <v>50084.255779259598</v>
      </c>
      <c r="K57" s="2">
        <v>40067.404623407601</v>
      </c>
      <c r="L57" s="2">
        <v>40067.404623407601</v>
      </c>
      <c r="M57" s="2">
        <v>50084.255779259598</v>
      </c>
      <c r="N57" s="2">
        <v>40067.404623407601</v>
      </c>
      <c r="O57" s="2">
        <v>40067.404623407601</v>
      </c>
      <c r="P57" s="9"/>
      <c r="Q57" s="2">
        <f>SUM(OSRRefD21_1_1x)+IFERROR(SUM(OSRRefE21_1_1x),0)</f>
        <v>549127.60970965505</v>
      </c>
    </row>
    <row r="58" spans="1:17" s="34" customFormat="1" hidden="1" outlineLevel="1" x14ac:dyDescent="0.3">
      <c r="A58" s="35"/>
      <c r="B58" s="10" t="str">
        <f>CONCATENATE("          ","6003", " - ","STAFF HOURLY-9 MONTH")</f>
        <v xml:space="preserve">          6003 - STAFF HOURLY-9 MONTH</v>
      </c>
      <c r="C58" s="14"/>
      <c r="D58" s="2"/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9"/>
      <c r="Q58" s="2">
        <f>SUM(OSRRefD21_1_2x)+IFERROR(SUM(OSRRefE21_1_2x),0)</f>
        <v>0</v>
      </c>
    </row>
    <row r="59" spans="1:17" s="34" customFormat="1" hidden="1" outlineLevel="1" x14ac:dyDescent="0.3">
      <c r="A59" s="35"/>
      <c r="B59" s="10" t="str">
        <f>CONCATENATE("          ","6004", " - ","STAFF HOURLY")</f>
        <v xml:space="preserve">          6004 - STAFF HOURLY</v>
      </c>
      <c r="C59" s="14"/>
      <c r="D59" s="2">
        <v>18084.38</v>
      </c>
      <c r="E59" s="2">
        <v>33498.414768000002</v>
      </c>
      <c r="F59" s="2">
        <v>33498.414768000002</v>
      </c>
      <c r="G59" s="2">
        <v>41873.018459999999</v>
      </c>
      <c r="H59" s="2">
        <v>33498.414768000002</v>
      </c>
      <c r="I59" s="2">
        <v>35790.514768000001</v>
      </c>
      <c r="J59" s="2">
        <v>45313.941959999996</v>
      </c>
      <c r="K59" s="2">
        <v>36653.093567999997</v>
      </c>
      <c r="L59" s="2">
        <v>36029.393568</v>
      </c>
      <c r="M59" s="2">
        <v>44690.241959999999</v>
      </c>
      <c r="N59" s="2">
        <v>36029.393568</v>
      </c>
      <c r="O59" s="2">
        <v>34643.393568</v>
      </c>
      <c r="P59" s="9"/>
      <c r="Q59" s="2">
        <f>SUM(OSRRefD21_1_3x)+IFERROR(SUM(OSRRefE21_1_3x),0)</f>
        <v>429602.61572399997</v>
      </c>
    </row>
    <row r="60" spans="1:17" s="34" customFormat="1" hidden="1" outlineLevel="1" x14ac:dyDescent="0.3">
      <c r="A60" s="35"/>
      <c r="B60" s="10" t="str">
        <f>CONCATENATE("          ","6005", " - ","TEMPORARY WAGES-HOURLY")</f>
        <v xml:space="preserve">          6005 - TEMPORARY WAGES-HOURLY</v>
      </c>
      <c r="C60" s="14"/>
      <c r="D60" s="2">
        <v>9447.7999999999993</v>
      </c>
      <c r="E60" s="2">
        <v>4181</v>
      </c>
      <c r="F60" s="2">
        <v>3455</v>
      </c>
      <c r="G60" s="2">
        <v>3445</v>
      </c>
      <c r="H60" s="2">
        <v>3080</v>
      </c>
      <c r="I60" s="2">
        <v>4198</v>
      </c>
      <c r="J60" s="2">
        <v>3009.34</v>
      </c>
      <c r="K60" s="2">
        <v>1802</v>
      </c>
      <c r="L60" s="2">
        <v>1802</v>
      </c>
      <c r="M60" s="2">
        <v>2396.66</v>
      </c>
      <c r="N60" s="2">
        <v>2252.5</v>
      </c>
      <c r="O60" s="2">
        <v>2396.66</v>
      </c>
      <c r="P60" s="9"/>
      <c r="Q60" s="2">
        <f>SUM(OSRRefD21_1_4x)+IFERROR(SUM(OSRRefE21_1_4x),0)</f>
        <v>41465.96</v>
      </c>
    </row>
    <row r="61" spans="1:17" s="34" customFormat="1" hidden="1" outlineLevel="1" x14ac:dyDescent="0.3">
      <c r="A61" s="35"/>
      <c r="B61" s="10" t="str">
        <f>CONCATENATE("          ","6006", " - ","TEMPORARY PART TIME")</f>
        <v xml:space="preserve">          6006 - TEMPORARY PART TIME</v>
      </c>
      <c r="C61" s="14"/>
      <c r="D61" s="2">
        <v>2864.4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9"/>
      <c r="Q61" s="2">
        <f>SUM(OSRRefD21_1_5x)+IFERROR(SUM(OSRRefE21_1_5x),0)</f>
        <v>2864.4</v>
      </c>
    </row>
    <row r="62" spans="1:17" s="34" customFormat="1" hidden="1" outlineLevel="1" x14ac:dyDescent="0.3">
      <c r="A62" s="35"/>
      <c r="B62" s="10" t="str">
        <f>CONCATENATE("          ","6007", " - ","STUDENT HOURLY")</f>
        <v xml:space="preserve">          6007 - STUDENT HOURLY</v>
      </c>
      <c r="C62" s="14"/>
      <c r="D62" s="2">
        <v>51955.82</v>
      </c>
      <c r="E62" s="2">
        <v>45942.8675</v>
      </c>
      <c r="F62" s="2">
        <v>28753.599999999999</v>
      </c>
      <c r="G62" s="2">
        <v>35509.4</v>
      </c>
      <c r="H62" s="2">
        <v>28465.200000000001</v>
      </c>
      <c r="I62" s="2">
        <v>27936</v>
      </c>
      <c r="J62" s="2">
        <v>50998.61</v>
      </c>
      <c r="K62" s="2">
        <v>30933.624</v>
      </c>
      <c r="L62" s="2">
        <v>30466.416000000001</v>
      </c>
      <c r="M62" s="2">
        <v>37849.415999999997</v>
      </c>
      <c r="N62" s="2">
        <v>30466.416000000001</v>
      </c>
      <c r="O62" s="2">
        <v>27441.011350000001</v>
      </c>
      <c r="P62" s="9"/>
      <c r="Q62" s="2">
        <f>SUM(OSRRefD21_1_6x)+IFERROR(SUM(OSRRefE21_1_6x),0)</f>
        <v>426718.38085000002</v>
      </c>
    </row>
    <row r="63" spans="1:17" s="34" customFormat="1" hidden="1" outlineLevel="1" x14ac:dyDescent="0.3">
      <c r="A63" s="35"/>
      <c r="B63" s="10" t="str">
        <f>CONCATENATE("          ","6008", " - ","STUDENT HOURLY-FICA EXEMPT")</f>
        <v xml:space="preserve">          6008 - STUDENT HOURLY-FICA EXEMPT</v>
      </c>
      <c r="C63" s="14"/>
      <c r="D63" s="2">
        <v>9784.35</v>
      </c>
      <c r="E63" s="2">
        <v>73785.684999999998</v>
      </c>
      <c r="F63" s="2">
        <v>52820.41</v>
      </c>
      <c r="G63" s="2">
        <v>33167.8125</v>
      </c>
      <c r="H63" s="2">
        <v>25985.0625</v>
      </c>
      <c r="I63" s="2">
        <v>41846.754999999997</v>
      </c>
      <c r="J63" s="2">
        <v>104913.18952499999</v>
      </c>
      <c r="K63" s="2">
        <v>37298.384525000001</v>
      </c>
      <c r="L63" s="2">
        <v>28293.071075</v>
      </c>
      <c r="M63" s="2">
        <v>36572.811325000002</v>
      </c>
      <c r="N63" s="2">
        <v>33739.772324999998</v>
      </c>
      <c r="O63" s="2">
        <v>29532</v>
      </c>
      <c r="P63" s="9"/>
      <c r="Q63" s="2">
        <f>SUM(OSRRefD21_1_7x)+IFERROR(SUM(OSRRefE21_1_7x),0)</f>
        <v>507739.30377500004</v>
      </c>
    </row>
    <row r="64" spans="1:17" s="34" customFormat="1" hidden="1" outlineLevel="1" x14ac:dyDescent="0.3">
      <c r="A64" s="35"/>
      <c r="B64" s="10" t="str">
        <f>CONCATENATE("          ","6009", " - ","TEMPORARY-SEASONAL")</f>
        <v xml:space="preserve">          6009 - TEMPORARY-SEASONAL</v>
      </c>
      <c r="C64" s="14"/>
      <c r="D64" s="2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9"/>
      <c r="Q64" s="2">
        <f>SUM(OSRRefD21_1_8x)+IFERROR(SUM(OSRRefE21_1_8x),0)</f>
        <v>0</v>
      </c>
    </row>
    <row r="65" spans="1:17" s="34" customFormat="1" hidden="1" outlineLevel="1" x14ac:dyDescent="0.3">
      <c r="A65" s="35"/>
      <c r="B65" s="10" t="str">
        <f>CONCATENATE("          ","6010", " - ","GRATUITY")</f>
        <v xml:space="preserve">          6010 - GRATUITY</v>
      </c>
      <c r="C65" s="14"/>
      <c r="D65" s="2"/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9"/>
      <c r="Q65" s="2">
        <f>SUM(OSRRefD21_1_9x)+IFERROR(SUM(OSRRefE21_1_9x),0)</f>
        <v>0</v>
      </c>
    </row>
    <row r="66" spans="1:17" s="34" customFormat="1" collapsed="1" x14ac:dyDescent="0.3">
      <c r="A66" s="35"/>
      <c r="B66" s="14" t="str">
        <f>CONCATENATE("     ","Advertising/Promo                                 ")</f>
        <v xml:space="preserve">     Advertising/Promo                                 </v>
      </c>
      <c r="C66" s="14"/>
      <c r="D66" s="1">
        <f>SUM(OSRRefD21_2x_0)</f>
        <v>493.63</v>
      </c>
      <c r="E66" s="1">
        <f>SUM(OSRRefE21_2x_0)</f>
        <v>600</v>
      </c>
      <c r="F66" s="1">
        <f>SUM(OSRRefE21_2x_1)</f>
        <v>300</v>
      </c>
      <c r="G66" s="1">
        <f>SUM(OSRRefE21_2x_2)</f>
        <v>300</v>
      </c>
      <c r="H66" s="1">
        <f>SUM(OSRRefE21_2x_3)</f>
        <v>300</v>
      </c>
      <c r="I66" s="1">
        <f>SUM(OSRRefE21_2x_4)</f>
        <v>400</v>
      </c>
      <c r="J66" s="1">
        <f>SUM(OSRRefE21_2x_5)</f>
        <v>600</v>
      </c>
      <c r="K66" s="1">
        <f>SUM(OSRRefE21_2x_6)</f>
        <v>300</v>
      </c>
      <c r="L66" s="1">
        <f>SUM(OSRRefE21_2x_7)</f>
        <v>300</v>
      </c>
      <c r="M66" s="1">
        <f>SUM(OSRRefE21_2x_8)</f>
        <v>300</v>
      </c>
      <c r="N66" s="1">
        <f>SUM(OSRRefE21_2x_9)</f>
        <v>400</v>
      </c>
      <c r="O66" s="1">
        <f>SUM(OSRRefE21_2x_10)</f>
        <v>300</v>
      </c>
      <c r="Q66" s="2">
        <f>SUM(OSRRefD20_2x)+IFERROR(SUM(OSRRefE20_2x),0)</f>
        <v>4593.63</v>
      </c>
    </row>
    <row r="67" spans="1:17" s="34" customFormat="1" hidden="1" outlineLevel="1" x14ac:dyDescent="0.3">
      <c r="A67" s="35"/>
      <c r="B67" s="10" t="str">
        <f>CONCATENATE("          ","6362", " - ","ADVERTISING EXPENSE")</f>
        <v xml:space="preserve">          6362 - ADVERTISING EXPENSE</v>
      </c>
      <c r="C67" s="14"/>
      <c r="D67" s="2">
        <v>493.63</v>
      </c>
      <c r="E67" s="2">
        <v>600</v>
      </c>
      <c r="F67" s="2">
        <v>300</v>
      </c>
      <c r="G67" s="2">
        <v>300</v>
      </c>
      <c r="H67" s="2">
        <v>300</v>
      </c>
      <c r="I67" s="2">
        <v>400</v>
      </c>
      <c r="J67" s="2">
        <v>600</v>
      </c>
      <c r="K67" s="2">
        <v>300</v>
      </c>
      <c r="L67" s="2">
        <v>300</v>
      </c>
      <c r="M67" s="2">
        <v>300</v>
      </c>
      <c r="N67" s="2">
        <v>400</v>
      </c>
      <c r="O67" s="2">
        <v>300</v>
      </c>
      <c r="P67" s="9"/>
      <c r="Q67" s="2">
        <f>SUM(OSRRefD21_2_0x)+IFERROR(SUM(OSRRefE21_2_0x),0)</f>
        <v>4593.63</v>
      </c>
    </row>
    <row r="68" spans="1:17" s="34" customFormat="1" collapsed="1" x14ac:dyDescent="0.3">
      <c r="A68" s="35"/>
      <c r="B68" s="14" t="str">
        <f>CONCATENATE("     ","Bad Debts/Over/Short                              ")</f>
        <v xml:space="preserve">     Bad Debts/Over/Short                              </v>
      </c>
      <c r="C68" s="14"/>
      <c r="D68" s="1">
        <f>SUM(OSRRefD21_3x_0)</f>
        <v>1.27</v>
      </c>
      <c r="E68" s="1">
        <f>SUM(OSRRefE21_3x_0)</f>
        <v>235</v>
      </c>
      <c r="F68" s="1">
        <f>SUM(OSRRefE21_3x_1)</f>
        <v>235</v>
      </c>
      <c r="G68" s="1">
        <f>SUM(OSRRefE21_3x_2)</f>
        <v>235</v>
      </c>
      <c r="H68" s="1">
        <f>SUM(OSRRefE21_3x_3)</f>
        <v>235</v>
      </c>
      <c r="I68" s="1">
        <f>SUM(OSRRefE21_3x_4)</f>
        <v>235</v>
      </c>
      <c r="J68" s="1">
        <f>SUM(OSRRefE21_3x_5)</f>
        <v>235</v>
      </c>
      <c r="K68" s="1">
        <f>SUM(OSRRefE21_3x_6)</f>
        <v>235</v>
      </c>
      <c r="L68" s="1">
        <f>SUM(OSRRefE21_3x_7)</f>
        <v>235</v>
      </c>
      <c r="M68" s="1">
        <f>SUM(OSRRefE21_3x_8)</f>
        <v>235</v>
      </c>
      <c r="N68" s="1">
        <f>SUM(OSRRefE21_3x_9)</f>
        <v>235</v>
      </c>
      <c r="O68" s="1">
        <f>SUM(OSRRefE21_3x_10)</f>
        <v>235</v>
      </c>
      <c r="Q68" s="2">
        <f>SUM(OSRRefD20_3x)+IFERROR(SUM(OSRRefE20_3x),0)</f>
        <v>2586.27</v>
      </c>
    </row>
    <row r="69" spans="1:17" s="34" customFormat="1" hidden="1" outlineLevel="1" x14ac:dyDescent="0.3">
      <c r="A69" s="35"/>
      <c r="B69" s="10" t="str">
        <f>CONCATENATE("          ","6272", " - ","CASH (OVER/SHORT)")</f>
        <v xml:space="preserve">          6272 - CASH (OVER/SHORT)</v>
      </c>
      <c r="C69" s="14"/>
      <c r="D69" s="2">
        <v>1.27</v>
      </c>
      <c r="E69" s="2">
        <v>235</v>
      </c>
      <c r="F69" s="2">
        <v>235</v>
      </c>
      <c r="G69" s="2">
        <v>235</v>
      </c>
      <c r="H69" s="2">
        <v>235</v>
      </c>
      <c r="I69" s="2">
        <v>235</v>
      </c>
      <c r="J69" s="2">
        <v>235</v>
      </c>
      <c r="K69" s="2">
        <v>235</v>
      </c>
      <c r="L69" s="2">
        <v>235</v>
      </c>
      <c r="M69" s="2">
        <v>235</v>
      </c>
      <c r="N69" s="2">
        <v>235</v>
      </c>
      <c r="O69" s="2">
        <v>235</v>
      </c>
      <c r="P69" s="9"/>
      <c r="Q69" s="2">
        <f>SUM(OSRRefD21_3_0x)+IFERROR(SUM(OSRRefE21_3_0x),0)</f>
        <v>2586.27</v>
      </c>
    </row>
    <row r="70" spans="1:17" s="34" customFormat="1" collapsed="1" x14ac:dyDescent="0.3">
      <c r="A70" s="35"/>
      <c r="B70" s="14" t="str">
        <f>CONCATENATE("     ","Bank/card Fees                                    ")</f>
        <v xml:space="preserve">     Bank/card Fees                                    </v>
      </c>
      <c r="C70" s="14"/>
      <c r="D70" s="1">
        <f>SUM(OSRRefD21_4x_0)</f>
        <v>3961.88</v>
      </c>
      <c r="E70" s="1">
        <f>SUM(OSRRefE21_4x_0)</f>
        <v>48514</v>
      </c>
      <c r="F70" s="1">
        <f>SUM(OSRRefE21_4x_1)</f>
        <v>16839</v>
      </c>
      <c r="G70" s="1">
        <f>SUM(OSRRefE21_4x_2)</f>
        <v>9036</v>
      </c>
      <c r="H70" s="1">
        <f>SUM(OSRRefE21_4x_3)</f>
        <v>6974</v>
      </c>
      <c r="I70" s="1">
        <f>SUM(OSRRefE21_4x_4)</f>
        <v>7972</v>
      </c>
      <c r="J70" s="1">
        <f>SUM(OSRRefE21_4x_5)</f>
        <v>35405</v>
      </c>
      <c r="K70" s="1">
        <f>SUM(OSRRefE21_4x_6)</f>
        <v>9656</v>
      </c>
      <c r="L70" s="1">
        <f>SUM(OSRRefE21_4x_7)</f>
        <v>8002</v>
      </c>
      <c r="M70" s="1">
        <f>SUM(OSRRefE21_4x_8)</f>
        <v>9877</v>
      </c>
      <c r="N70" s="1">
        <f>SUM(OSRRefE21_4x_9)</f>
        <v>13471</v>
      </c>
      <c r="O70" s="1">
        <f>SUM(OSRRefE21_4x_10)</f>
        <v>7144</v>
      </c>
      <c r="Q70" s="2">
        <f>SUM(OSRRefD20_4x)+IFERROR(SUM(OSRRefE20_4x),0)</f>
        <v>176851.88</v>
      </c>
    </row>
    <row r="71" spans="1:17" s="34" customFormat="1" hidden="1" outlineLevel="1" x14ac:dyDescent="0.3">
      <c r="A71" s="35"/>
      <c r="B71" s="10" t="str">
        <f>CONCATENATE("          ","6381", " - ","BANK/CREDIT CARD FEES")</f>
        <v xml:space="preserve">          6381 - BANK/CREDIT CARD FEES</v>
      </c>
      <c r="C71" s="14"/>
      <c r="D71" s="2">
        <v>3961.88</v>
      </c>
      <c r="E71" s="2">
        <v>48514</v>
      </c>
      <c r="F71" s="2">
        <v>16839</v>
      </c>
      <c r="G71" s="2">
        <v>9036</v>
      </c>
      <c r="H71" s="2">
        <v>6974</v>
      </c>
      <c r="I71" s="2">
        <v>7972</v>
      </c>
      <c r="J71" s="2">
        <v>35405</v>
      </c>
      <c r="K71" s="2">
        <v>9656</v>
      </c>
      <c r="L71" s="2">
        <v>8002</v>
      </c>
      <c r="M71" s="2">
        <v>9877</v>
      </c>
      <c r="N71" s="2">
        <v>13471</v>
      </c>
      <c r="O71" s="2">
        <v>7144</v>
      </c>
      <c r="P71" s="9"/>
      <c r="Q71" s="2">
        <f>SUM(OSRRefD21_4_0x)+IFERROR(SUM(OSRRefE21_4_0x),0)</f>
        <v>176851.88</v>
      </c>
    </row>
    <row r="72" spans="1:17" s="34" customFormat="1" collapsed="1" x14ac:dyDescent="0.3">
      <c r="A72" s="35"/>
      <c r="B72" s="14" t="str">
        <f>CONCATENATE("     ","Depreciation                                      ")</f>
        <v xml:space="preserve">     Depreciation                                      </v>
      </c>
      <c r="C72" s="14"/>
      <c r="D72" s="1">
        <f>SUM(OSRRefD21_5x_0)</f>
        <v>30720.68</v>
      </c>
      <c r="E72" s="1">
        <f>SUM(OSRRefE21_5x_0)</f>
        <v>30600</v>
      </c>
      <c r="F72" s="1">
        <f>SUM(OSRRefE21_5x_1)</f>
        <v>30599</v>
      </c>
      <c r="G72" s="1">
        <f>SUM(OSRRefE21_5x_2)</f>
        <v>30494</v>
      </c>
      <c r="H72" s="1">
        <f>SUM(OSRRefE21_5x_3)</f>
        <v>30494</v>
      </c>
      <c r="I72" s="1">
        <f>SUM(OSRRefE21_5x_4)</f>
        <v>30494</v>
      </c>
      <c r="J72" s="1">
        <f>SUM(OSRRefE21_5x_5)</f>
        <v>28229</v>
      </c>
      <c r="K72" s="1">
        <f>SUM(OSRRefE21_5x_6)</f>
        <v>27419</v>
      </c>
      <c r="L72" s="1">
        <f>SUM(OSRRefE21_5x_7)</f>
        <v>27419</v>
      </c>
      <c r="M72" s="1">
        <f>SUM(OSRRefE21_5x_8)</f>
        <v>16259</v>
      </c>
      <c r="N72" s="1">
        <f>SUM(OSRRefE21_5x_9)</f>
        <v>16259</v>
      </c>
      <c r="O72" s="1">
        <f>SUM(OSRRefE21_5x_10)</f>
        <v>16259</v>
      </c>
      <c r="Q72" s="2">
        <f>SUM(OSRRefD20_5x)+IFERROR(SUM(OSRRefE20_5x),0)</f>
        <v>315245.68</v>
      </c>
    </row>
    <row r="73" spans="1:17" s="34" customFormat="1" hidden="1" outlineLevel="1" x14ac:dyDescent="0.3">
      <c r="A73" s="35"/>
      <c r="B73" s="10" t="str">
        <f>CONCATENATE("          ","6321", " - ","BUILDING DEPRECIATION")</f>
        <v xml:space="preserve">          6321 - BUILDING DEPRECIATION</v>
      </c>
      <c r="C73" s="14"/>
      <c r="D73" s="2">
        <v>16396.52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2">
        <f>SUM(OSRRefD21_5_0x)+IFERROR(SUM(OSRRefE21_5_0x),0)</f>
        <v>16396.52</v>
      </c>
    </row>
    <row r="74" spans="1:17" s="34" customFormat="1" hidden="1" outlineLevel="1" x14ac:dyDescent="0.3">
      <c r="A74" s="35"/>
      <c r="B74" s="10" t="str">
        <f>CONCATENATE("          ","6322", " - ","EQUIPMENT DEPRECIATION EXPENSE")</f>
        <v xml:space="preserve">          6322 - EQUIPMENT DEPRECIATION EXPENSE</v>
      </c>
      <c r="C74" s="14"/>
      <c r="D74" s="2">
        <v>14324.16</v>
      </c>
      <c r="E74" s="2">
        <v>30600</v>
      </c>
      <c r="F74" s="2">
        <v>30599</v>
      </c>
      <c r="G74" s="2">
        <v>30494</v>
      </c>
      <c r="H74" s="2">
        <v>30494</v>
      </c>
      <c r="I74" s="2">
        <v>30494</v>
      </c>
      <c r="J74" s="2">
        <v>28229</v>
      </c>
      <c r="K74" s="2">
        <v>27419</v>
      </c>
      <c r="L74" s="2">
        <v>27419</v>
      </c>
      <c r="M74" s="2">
        <v>16259</v>
      </c>
      <c r="N74" s="2">
        <v>16259</v>
      </c>
      <c r="O74" s="2">
        <v>16259</v>
      </c>
      <c r="P74" s="9"/>
      <c r="Q74" s="2">
        <f>SUM(OSRRefD21_5_1x)+IFERROR(SUM(OSRRefE21_5_1x),0)</f>
        <v>298849.15999999997</v>
      </c>
    </row>
    <row r="75" spans="1:17" s="34" customFormat="1" collapsed="1" x14ac:dyDescent="0.3">
      <c r="A75" s="35"/>
      <c r="B75" s="14" t="str">
        <f>CONCATENATE("     ","Discounts and Markdowns                           ")</f>
        <v xml:space="preserve">     Discounts and Markdowns                           </v>
      </c>
      <c r="C75" s="14"/>
      <c r="D75" s="1">
        <f>SUM(OSRRefD21_6x_0)</f>
        <v>-0.68</v>
      </c>
      <c r="E75" s="1">
        <f>SUM(OSRRefE21_6x_0)</f>
        <v>0</v>
      </c>
      <c r="F75" s="1">
        <f>SUM(OSRRefE21_6x_1)</f>
        <v>0</v>
      </c>
      <c r="G75" s="1">
        <f>SUM(OSRRefE21_6x_2)</f>
        <v>0</v>
      </c>
      <c r="H75" s="1">
        <f>SUM(OSRRefE21_6x_3)</f>
        <v>0</v>
      </c>
      <c r="I75" s="1">
        <f>SUM(OSRRefE21_6x_4)</f>
        <v>0</v>
      </c>
      <c r="J75" s="1">
        <f>SUM(OSRRefE21_6x_5)</f>
        <v>0</v>
      </c>
      <c r="K75" s="1">
        <f>SUM(OSRRefE21_6x_6)</f>
        <v>0</v>
      </c>
      <c r="L75" s="1">
        <f>SUM(OSRRefE21_6x_7)</f>
        <v>0</v>
      </c>
      <c r="M75" s="1">
        <f>SUM(OSRRefE21_6x_8)</f>
        <v>0</v>
      </c>
      <c r="N75" s="1">
        <f>SUM(OSRRefE21_6x_9)</f>
        <v>0</v>
      </c>
      <c r="O75" s="1">
        <f>SUM(OSRRefE21_6x_10)</f>
        <v>0</v>
      </c>
      <c r="Q75" s="2">
        <f>SUM(OSRRefD20_6x)+IFERROR(SUM(OSRRefE20_6x),0)</f>
        <v>-0.68</v>
      </c>
    </row>
    <row r="76" spans="1:17" s="34" customFormat="1" hidden="1" outlineLevel="1" x14ac:dyDescent="0.3">
      <c r="A76" s="35"/>
      <c r="B76" s="10" t="str">
        <f>CONCATENATE("          ","6382", " - ","DISCOUNTS/MARK DOWNS")</f>
        <v xml:space="preserve">          6382 - DISCOUNTS/MARK DOWNS</v>
      </c>
      <c r="C76" s="14"/>
      <c r="D76" s="2"/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2">
        <f>SUM(OSRRefD21_6_0x)+IFERROR(SUM(OSRRefE21_6_0x),0)</f>
        <v>0</v>
      </c>
    </row>
    <row r="77" spans="1:17" s="34" customFormat="1" hidden="1" outlineLevel="1" x14ac:dyDescent="0.3">
      <c r="A77" s="35"/>
      <c r="B77" s="10" t="str">
        <f>CONCATENATE("          ","9175", " - ","EARNED DISCOUNTS")</f>
        <v xml:space="preserve">          9175 - EARNED DISCOUNTS</v>
      </c>
      <c r="C77" s="14"/>
      <c r="D77" s="2">
        <v>-0.68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2">
        <f>SUM(OSRRefD21_6_1x)+IFERROR(SUM(OSRRefE21_6_1x),0)</f>
        <v>-0.68</v>
      </c>
    </row>
    <row r="78" spans="1:17" s="34" customFormat="1" collapsed="1" x14ac:dyDescent="0.3">
      <c r="A78" s="35"/>
      <c r="B78" s="14" t="str">
        <f>CONCATENATE("     ","Donations                                         ")</f>
        <v xml:space="preserve">     Donations                                         </v>
      </c>
      <c r="C78" s="14"/>
      <c r="D78" s="1">
        <f>SUM(OSRRefD21_7x_0)</f>
        <v>0</v>
      </c>
      <c r="E78" s="1">
        <f>SUM(OSRRefE21_7x_0)</f>
        <v>1250</v>
      </c>
      <c r="F78" s="1">
        <f>SUM(OSRRefE21_7x_1)</f>
        <v>1250</v>
      </c>
      <c r="G78" s="1">
        <f>SUM(OSRRefE21_7x_2)</f>
        <v>1250</v>
      </c>
      <c r="H78" s="1">
        <f>SUM(OSRRefE21_7x_3)</f>
        <v>1250</v>
      </c>
      <c r="I78" s="1">
        <f>SUM(OSRRefE21_7x_4)</f>
        <v>1250</v>
      </c>
      <c r="J78" s="1">
        <f>SUM(OSRRefE21_7x_5)</f>
        <v>1250</v>
      </c>
      <c r="K78" s="1">
        <f>SUM(OSRRefE21_7x_6)</f>
        <v>1250</v>
      </c>
      <c r="L78" s="1">
        <f>SUM(OSRRefE21_7x_7)</f>
        <v>1250</v>
      </c>
      <c r="M78" s="1">
        <f>SUM(OSRRefE21_7x_8)</f>
        <v>1250</v>
      </c>
      <c r="N78" s="1">
        <f>SUM(OSRRefE21_7x_9)</f>
        <v>1250</v>
      </c>
      <c r="O78" s="1">
        <f>SUM(OSRRefE21_7x_10)</f>
        <v>1250</v>
      </c>
      <c r="Q78" s="2">
        <f>SUM(OSRRefD20_7x)+IFERROR(SUM(OSRRefE20_7x),0)</f>
        <v>13750</v>
      </c>
    </row>
    <row r="79" spans="1:17" s="34" customFormat="1" hidden="1" outlineLevel="1" x14ac:dyDescent="0.3">
      <c r="A79" s="35"/>
      <c r="B79" s="10" t="str">
        <f>CONCATENATE("          ","6399", " - ","DONATION-ON CAMPUS")</f>
        <v xml:space="preserve">          6399 - DONATION-ON CAMPUS</v>
      </c>
      <c r="C79" s="14"/>
      <c r="D79" s="2"/>
      <c r="E79" s="2">
        <v>1250</v>
      </c>
      <c r="F79" s="2">
        <v>1250</v>
      </c>
      <c r="G79" s="2">
        <v>1250</v>
      </c>
      <c r="H79" s="2">
        <v>1250</v>
      </c>
      <c r="I79" s="2">
        <v>1250</v>
      </c>
      <c r="J79" s="2">
        <v>1250</v>
      </c>
      <c r="K79" s="2">
        <v>1250</v>
      </c>
      <c r="L79" s="2">
        <v>1250</v>
      </c>
      <c r="M79" s="2">
        <v>1250</v>
      </c>
      <c r="N79" s="2">
        <v>1250</v>
      </c>
      <c r="O79" s="2">
        <v>1250</v>
      </c>
      <c r="P79" s="9"/>
      <c r="Q79" s="2">
        <f>SUM(OSRRefD21_7_0x)+IFERROR(SUM(OSRRefE21_7_0x),0)</f>
        <v>13750</v>
      </c>
    </row>
    <row r="80" spans="1:17" s="34" customFormat="1" collapsed="1" x14ac:dyDescent="0.3">
      <c r="A80" s="35"/>
      <c r="B80" s="14" t="str">
        <f>CONCATENATE("     ","Employees' Appreciation                           ")</f>
        <v xml:space="preserve">     Employees' Appreciation                           </v>
      </c>
      <c r="C80" s="14"/>
      <c r="D80" s="1">
        <f>SUM(OSRRefD21_8x_0)</f>
        <v>537.36</v>
      </c>
      <c r="E80" s="1">
        <f>SUM(OSRRefE21_8x_0)</f>
        <v>225</v>
      </c>
      <c r="F80" s="1">
        <f>SUM(OSRRefE21_8x_1)</f>
        <v>225</v>
      </c>
      <c r="G80" s="1">
        <f>SUM(OSRRefE21_8x_2)</f>
        <v>225</v>
      </c>
      <c r="H80" s="1">
        <f>SUM(OSRRefE21_8x_3)</f>
        <v>225</v>
      </c>
      <c r="I80" s="1">
        <f>SUM(OSRRefE21_8x_4)</f>
        <v>225</v>
      </c>
      <c r="J80" s="1">
        <f>SUM(OSRRefE21_8x_5)</f>
        <v>225</v>
      </c>
      <c r="K80" s="1">
        <f>SUM(OSRRefE21_8x_6)</f>
        <v>225</v>
      </c>
      <c r="L80" s="1">
        <f>SUM(OSRRefE21_8x_7)</f>
        <v>225</v>
      </c>
      <c r="M80" s="1">
        <f>SUM(OSRRefE21_8x_8)</f>
        <v>225</v>
      </c>
      <c r="N80" s="1">
        <f>SUM(OSRRefE21_8x_9)</f>
        <v>225</v>
      </c>
      <c r="O80" s="1">
        <f>SUM(OSRRefE21_8x_10)</f>
        <v>225</v>
      </c>
      <c r="Q80" s="2">
        <f>SUM(OSRRefD20_8x)+IFERROR(SUM(OSRRefE20_8x),0)</f>
        <v>3012.36</v>
      </c>
    </row>
    <row r="81" spans="1:17" s="34" customFormat="1" hidden="1" outlineLevel="1" x14ac:dyDescent="0.3">
      <c r="A81" s="35"/>
      <c r="B81" s="10" t="str">
        <f>CONCATENATE("          ","6277", " - ","EMPLOYEE APPRECIATION")</f>
        <v xml:space="preserve">          6277 - EMPLOYEE APPRECIATION</v>
      </c>
      <c r="C81" s="14"/>
      <c r="D81" s="2">
        <v>537.36</v>
      </c>
      <c r="E81" s="2">
        <v>225</v>
      </c>
      <c r="F81" s="2">
        <v>225</v>
      </c>
      <c r="G81" s="2">
        <v>225</v>
      </c>
      <c r="H81" s="2">
        <v>225</v>
      </c>
      <c r="I81" s="2">
        <v>225</v>
      </c>
      <c r="J81" s="2">
        <v>225</v>
      </c>
      <c r="K81" s="2">
        <v>225</v>
      </c>
      <c r="L81" s="2">
        <v>225</v>
      </c>
      <c r="M81" s="2">
        <v>225</v>
      </c>
      <c r="N81" s="2">
        <v>225</v>
      </c>
      <c r="O81" s="2">
        <v>225</v>
      </c>
      <c r="P81" s="9"/>
      <c r="Q81" s="2">
        <f>SUM(OSRRefD21_8_0x)+IFERROR(SUM(OSRRefE21_8_0x),0)</f>
        <v>3012.36</v>
      </c>
    </row>
    <row r="82" spans="1:17" s="34" customFormat="1" collapsed="1" x14ac:dyDescent="0.3">
      <c r="A82" s="35"/>
      <c r="B82" s="14" t="str">
        <f>CONCATENATE("     ","Equipment Rental                                  ")</f>
        <v xml:space="preserve">     Equipment Rental                                  </v>
      </c>
      <c r="C82" s="14"/>
      <c r="D82" s="1">
        <f>SUM(OSRRefD21_9x_0)</f>
        <v>1388.16</v>
      </c>
      <c r="E82" s="1">
        <f>SUM(OSRRefE21_9x_0)</f>
        <v>1600</v>
      </c>
      <c r="F82" s="1">
        <f>SUM(OSRRefE21_9x_1)</f>
        <v>1700</v>
      </c>
      <c r="G82" s="1">
        <f>SUM(OSRRefE21_9x_2)</f>
        <v>1700</v>
      </c>
      <c r="H82" s="1">
        <f>SUM(OSRRefE21_9x_3)</f>
        <v>1700</v>
      </c>
      <c r="I82" s="1">
        <f>SUM(OSRRefE21_9x_4)</f>
        <v>1700</v>
      </c>
      <c r="J82" s="1">
        <f>SUM(OSRRefE21_9x_5)</f>
        <v>1700</v>
      </c>
      <c r="K82" s="1">
        <f>SUM(OSRRefE21_9x_6)</f>
        <v>1700</v>
      </c>
      <c r="L82" s="1">
        <f>SUM(OSRRefE21_9x_7)</f>
        <v>1700</v>
      </c>
      <c r="M82" s="1">
        <f>SUM(OSRRefE21_9x_8)</f>
        <v>1700</v>
      </c>
      <c r="N82" s="1">
        <f>SUM(OSRRefE21_9x_9)</f>
        <v>1700</v>
      </c>
      <c r="O82" s="1">
        <f>SUM(OSRRefE21_9x_10)</f>
        <v>1700</v>
      </c>
      <c r="Q82" s="2">
        <f>SUM(OSRRefD20_9x)+IFERROR(SUM(OSRRefE20_9x),0)</f>
        <v>19988.16</v>
      </c>
    </row>
    <row r="83" spans="1:17" s="34" customFormat="1" hidden="1" outlineLevel="1" x14ac:dyDescent="0.3">
      <c r="A83" s="35"/>
      <c r="B83" s="10" t="str">
        <f>CONCATENATE("          ","6351", " - ","EQUIPMENT RENTAL")</f>
        <v xml:space="preserve">          6351 - EQUIPMENT RENTAL</v>
      </c>
      <c r="C83" s="14"/>
      <c r="D83" s="2">
        <v>1388.16</v>
      </c>
      <c r="E83" s="2">
        <v>1600</v>
      </c>
      <c r="F83" s="2">
        <v>1700</v>
      </c>
      <c r="G83" s="2">
        <v>1700</v>
      </c>
      <c r="H83" s="2">
        <v>1700</v>
      </c>
      <c r="I83" s="2">
        <v>1700</v>
      </c>
      <c r="J83" s="2">
        <v>1700</v>
      </c>
      <c r="K83" s="2">
        <v>1700</v>
      </c>
      <c r="L83" s="2">
        <v>1700</v>
      </c>
      <c r="M83" s="2">
        <v>1700</v>
      </c>
      <c r="N83" s="2">
        <v>1700</v>
      </c>
      <c r="O83" s="2">
        <v>1700</v>
      </c>
      <c r="P83" s="9"/>
      <c r="Q83" s="2">
        <f>SUM(OSRRefD21_9_0x)+IFERROR(SUM(OSRRefE21_9_0x),0)</f>
        <v>19988.16</v>
      </c>
    </row>
    <row r="84" spans="1:17" s="34" customFormat="1" collapsed="1" x14ac:dyDescent="0.3">
      <c r="A84" s="35"/>
      <c r="B84" s="14" t="str">
        <f>CONCATENATE("     ","Freight out/Postage                               ")</f>
        <v xml:space="preserve">     Freight out/Postage                               </v>
      </c>
      <c r="C84" s="14"/>
      <c r="D84" s="1">
        <f>SUM(OSRRefD21_10x_0)</f>
        <v>3589.6099999999997</v>
      </c>
      <c r="E84" s="1">
        <f>SUM(OSRRefE21_10x_0)</f>
        <v>-42550</v>
      </c>
      <c r="F84" s="1">
        <f>SUM(OSRRefE21_10x_1)</f>
        <v>-10150</v>
      </c>
      <c r="G84" s="1">
        <f>SUM(OSRRefE21_10x_2)</f>
        <v>45250</v>
      </c>
      <c r="H84" s="1">
        <f>SUM(OSRRefE21_10x_3)</f>
        <v>10650</v>
      </c>
      <c r="I84" s="1">
        <f>SUM(OSRRefE21_10x_4)</f>
        <v>-50</v>
      </c>
      <c r="J84" s="1">
        <f>SUM(OSRRefE21_10x_5)</f>
        <v>-25550</v>
      </c>
      <c r="K84" s="1">
        <f>SUM(OSRRefE21_10x_6)</f>
        <v>1950</v>
      </c>
      <c r="L84" s="1">
        <f>SUM(OSRRefE21_10x_7)</f>
        <v>3350</v>
      </c>
      <c r="M84" s="1">
        <f>SUM(OSRRefE21_10x_8)</f>
        <v>-550</v>
      </c>
      <c r="N84" s="1">
        <f>SUM(OSRRefE21_10x_9)</f>
        <v>-1850</v>
      </c>
      <c r="O84" s="1">
        <f>SUM(OSRRefE21_10x_10)</f>
        <v>-2350</v>
      </c>
      <c r="Q84" s="2">
        <f>SUM(OSRRefD20_10x)+IFERROR(SUM(OSRRefE20_10x),0)</f>
        <v>-18260.39</v>
      </c>
    </row>
    <row r="85" spans="1:17" s="34" customFormat="1" hidden="1" outlineLevel="1" x14ac:dyDescent="0.3">
      <c r="A85" s="35"/>
      <c r="B85" s="10" t="str">
        <f>CONCATENATE("          ","6305", " - ","FREIGHT OUT")</f>
        <v xml:space="preserve">          6305 - FREIGHT OUT</v>
      </c>
      <c r="C85" s="14"/>
      <c r="D85" s="2">
        <v>10889.5</v>
      </c>
      <c r="E85" s="2">
        <v>7350</v>
      </c>
      <c r="F85" s="2">
        <v>1350</v>
      </c>
      <c r="G85" s="2">
        <v>56850</v>
      </c>
      <c r="H85" s="2">
        <v>15050</v>
      </c>
      <c r="I85" s="2">
        <v>9550</v>
      </c>
      <c r="J85" s="2">
        <v>15850</v>
      </c>
      <c r="K85" s="2">
        <v>23850</v>
      </c>
      <c r="L85" s="2">
        <v>9250</v>
      </c>
      <c r="M85" s="2">
        <v>3850</v>
      </c>
      <c r="N85" s="2">
        <v>2550</v>
      </c>
      <c r="O85" s="2">
        <v>2050</v>
      </c>
      <c r="P85" s="9"/>
      <c r="Q85" s="2">
        <f>SUM(OSRRefD21_10_0x)+IFERROR(SUM(OSRRefE21_10_0x),0)</f>
        <v>158439.5</v>
      </c>
    </row>
    <row r="86" spans="1:17" s="34" customFormat="1" hidden="1" outlineLevel="1" x14ac:dyDescent="0.3">
      <c r="A86" s="35"/>
      <c r="B86" s="10" t="str">
        <f>CONCATENATE("          ","6307", " - ","POSTAGE")</f>
        <v xml:space="preserve">          6307 - POSTAGE</v>
      </c>
      <c r="C86" s="14"/>
      <c r="D86" s="2">
        <v>-7299.89</v>
      </c>
      <c r="E86" s="2">
        <v>-49900</v>
      </c>
      <c r="F86" s="2">
        <v>-11500</v>
      </c>
      <c r="G86" s="2">
        <v>-11600</v>
      </c>
      <c r="H86" s="2">
        <v>-4400</v>
      </c>
      <c r="I86" s="2">
        <v>-9600</v>
      </c>
      <c r="J86" s="2">
        <v>-41400</v>
      </c>
      <c r="K86" s="2">
        <v>-21900</v>
      </c>
      <c r="L86" s="2">
        <v>-5900</v>
      </c>
      <c r="M86" s="2">
        <v>-4400</v>
      </c>
      <c r="N86" s="2">
        <v>-4400</v>
      </c>
      <c r="O86" s="2">
        <v>-4400</v>
      </c>
      <c r="P86" s="9"/>
      <c r="Q86" s="2">
        <f>SUM(OSRRefD21_10_1x)+IFERROR(SUM(OSRRefE21_10_1x),0)</f>
        <v>-176699.89</v>
      </c>
    </row>
    <row r="87" spans="1:17" s="34" customFormat="1" collapsed="1" x14ac:dyDescent="0.3">
      <c r="A87" s="35"/>
      <c r="B87" s="14" t="str">
        <f>CONCATENATE("     ","General                                           ")</f>
        <v xml:space="preserve">     General                                           </v>
      </c>
      <c r="C87" s="14"/>
      <c r="D87" s="1">
        <f>SUM(OSRRefD21_11x_0)</f>
        <v>778</v>
      </c>
      <c r="E87" s="1">
        <f>SUM(OSRRefE21_11x_0)</f>
        <v>325</v>
      </c>
      <c r="F87" s="1">
        <f>SUM(OSRRefE21_11x_1)</f>
        <v>200</v>
      </c>
      <c r="G87" s="1">
        <f>SUM(OSRRefE21_11x_2)</f>
        <v>200</v>
      </c>
      <c r="H87" s="1">
        <f>SUM(OSRRefE21_11x_3)</f>
        <v>700</v>
      </c>
      <c r="I87" s="1">
        <f>SUM(OSRRefE21_11x_4)</f>
        <v>2075</v>
      </c>
      <c r="J87" s="1">
        <f>SUM(OSRRefE21_11x_5)</f>
        <v>200</v>
      </c>
      <c r="K87" s="1">
        <f>SUM(OSRRefE21_11x_6)</f>
        <v>325</v>
      </c>
      <c r="L87" s="1">
        <f>SUM(OSRRefE21_11x_7)</f>
        <v>200</v>
      </c>
      <c r="M87" s="1">
        <f>SUM(OSRRefE21_11x_8)</f>
        <v>700</v>
      </c>
      <c r="N87" s="1">
        <f>SUM(OSRRefE21_11x_9)</f>
        <v>950</v>
      </c>
      <c r="O87" s="1">
        <f>SUM(OSRRefE21_11x_10)</f>
        <v>1200</v>
      </c>
      <c r="Q87" s="2">
        <f>SUM(OSRRefD20_11x)+IFERROR(SUM(OSRRefE20_11x),0)</f>
        <v>7853</v>
      </c>
    </row>
    <row r="88" spans="1:17" s="34" customFormat="1" hidden="1" outlineLevel="1" x14ac:dyDescent="0.3">
      <c r="A88" s="35"/>
      <c r="B88" s="10" t="str">
        <f>CONCATENATE("          ","6276", " - ","PROPERTY TAX")</f>
        <v xml:space="preserve">          6276 - PROPERTY TAX</v>
      </c>
      <c r="C88" s="14"/>
      <c r="D88" s="2"/>
      <c r="E88" s="2"/>
      <c r="F88" s="2"/>
      <c r="G88" s="2"/>
      <c r="H88" s="2"/>
      <c r="I88" s="2">
        <v>1125</v>
      </c>
      <c r="J88" s="2"/>
      <c r="K88" s="2"/>
      <c r="L88" s="2"/>
      <c r="M88" s="2"/>
      <c r="N88" s="2"/>
      <c r="O88" s="2"/>
      <c r="P88" s="9"/>
      <c r="Q88" s="2">
        <f>SUM(OSRRefD21_11_0x)+IFERROR(SUM(OSRRefE21_11_0x),0)</f>
        <v>1125</v>
      </c>
    </row>
    <row r="89" spans="1:17" s="34" customFormat="1" hidden="1" outlineLevel="1" x14ac:dyDescent="0.3">
      <c r="A89" s="35"/>
      <c r="B89" s="10" t="str">
        <f>CONCATENATE("          ","6279", " - ","GENERAL EXPENSE")</f>
        <v xml:space="preserve">          6279 - GENERAL EXPENSE</v>
      </c>
      <c r="C89" s="14"/>
      <c r="D89" s="2">
        <v>778</v>
      </c>
      <c r="E89" s="2">
        <v>325</v>
      </c>
      <c r="F89" s="2">
        <v>200</v>
      </c>
      <c r="G89" s="2">
        <v>200</v>
      </c>
      <c r="H89" s="2">
        <v>700</v>
      </c>
      <c r="I89" s="2">
        <v>950</v>
      </c>
      <c r="J89" s="2">
        <v>200</v>
      </c>
      <c r="K89" s="2">
        <v>325</v>
      </c>
      <c r="L89" s="2">
        <v>200</v>
      </c>
      <c r="M89" s="2">
        <v>700</v>
      </c>
      <c r="N89" s="2">
        <v>950</v>
      </c>
      <c r="O89" s="2">
        <v>1200</v>
      </c>
      <c r="P89" s="9"/>
      <c r="Q89" s="2">
        <f>SUM(OSRRefD21_11_1x)+IFERROR(SUM(OSRRefE21_11_1x),0)</f>
        <v>6728</v>
      </c>
    </row>
    <row r="90" spans="1:17" s="34" customFormat="1" collapsed="1" x14ac:dyDescent="0.3">
      <c r="A90" s="35"/>
      <c r="B90" s="14" t="str">
        <f>CONCATENATE("     ","Insurance                                         ")</f>
        <v xml:space="preserve">     Insurance                                         </v>
      </c>
      <c r="C90" s="14"/>
      <c r="D90" s="1">
        <f>SUM(OSRRefD21_12x_0)</f>
        <v>5494.57</v>
      </c>
      <c r="E90" s="1">
        <f>SUM(OSRRefE21_12x_0)</f>
        <v>5375</v>
      </c>
      <c r="F90" s="1">
        <f>SUM(OSRRefE21_12x_1)</f>
        <v>5375</v>
      </c>
      <c r="G90" s="1">
        <f>SUM(OSRRefE21_12x_2)</f>
        <v>5375</v>
      </c>
      <c r="H90" s="1">
        <f>SUM(OSRRefE21_12x_3)</f>
        <v>5375</v>
      </c>
      <c r="I90" s="1">
        <f>SUM(OSRRefE21_12x_4)</f>
        <v>5375</v>
      </c>
      <c r="J90" s="1">
        <f>SUM(OSRRefE21_12x_5)</f>
        <v>5375</v>
      </c>
      <c r="K90" s="1">
        <f>SUM(OSRRefE21_12x_6)</f>
        <v>5375</v>
      </c>
      <c r="L90" s="1">
        <f>SUM(OSRRefE21_12x_7)</f>
        <v>5375</v>
      </c>
      <c r="M90" s="1">
        <f>SUM(OSRRefE21_12x_8)</f>
        <v>5375</v>
      </c>
      <c r="N90" s="1">
        <f>SUM(OSRRefE21_12x_9)</f>
        <v>5375</v>
      </c>
      <c r="O90" s="1">
        <f>SUM(OSRRefE21_12x_10)</f>
        <v>5375</v>
      </c>
      <c r="Q90" s="2">
        <f>SUM(OSRRefD20_12x)+IFERROR(SUM(OSRRefE20_12x),0)</f>
        <v>64619.57</v>
      </c>
    </row>
    <row r="91" spans="1:17" s="34" customFormat="1" hidden="1" outlineLevel="1" x14ac:dyDescent="0.3">
      <c r="A91" s="35"/>
      <c r="B91" s="10" t="str">
        <f>CONCATENATE("          ","6314", " - ","LIABILITY INSURANCE")</f>
        <v xml:space="preserve">          6314 - LIABILITY INSURANCE</v>
      </c>
      <c r="C91" s="14"/>
      <c r="D91" s="2">
        <v>5494.57</v>
      </c>
      <c r="E91" s="2">
        <v>5375</v>
      </c>
      <c r="F91" s="2">
        <v>5375</v>
      </c>
      <c r="G91" s="2">
        <v>5375</v>
      </c>
      <c r="H91" s="2">
        <v>5375</v>
      </c>
      <c r="I91" s="2">
        <v>5375</v>
      </c>
      <c r="J91" s="2">
        <v>5375</v>
      </c>
      <c r="K91" s="2">
        <v>5375</v>
      </c>
      <c r="L91" s="2">
        <v>5375</v>
      </c>
      <c r="M91" s="2">
        <v>5375</v>
      </c>
      <c r="N91" s="2">
        <v>5375</v>
      </c>
      <c r="O91" s="2">
        <v>5375</v>
      </c>
      <c r="P91" s="9"/>
      <c r="Q91" s="2">
        <f>SUM(OSRRefD21_12_0x)+IFERROR(SUM(OSRRefE21_12_0x),0)</f>
        <v>64619.57</v>
      </c>
    </row>
    <row r="92" spans="1:17" s="34" customFormat="1" collapsed="1" x14ac:dyDescent="0.3">
      <c r="A92" s="35"/>
      <c r="B92" s="14" t="str">
        <f>CONCATENATE("     ","Inventory Adjustment                              ")</f>
        <v xml:space="preserve">     Inventory Adjustment                              </v>
      </c>
      <c r="C92" s="14"/>
      <c r="D92" s="1">
        <f>SUM(OSRRefD21_13x_0)</f>
        <v>5100</v>
      </c>
      <c r="E92" s="1">
        <f>SUM(OSRRefE21_13x_0)</f>
        <v>5100</v>
      </c>
      <c r="F92" s="1">
        <f>SUM(OSRRefE21_13x_1)</f>
        <v>5100</v>
      </c>
      <c r="G92" s="1">
        <f>SUM(OSRRefE21_13x_2)</f>
        <v>5100</v>
      </c>
      <c r="H92" s="1">
        <f>SUM(OSRRefE21_13x_3)</f>
        <v>5100</v>
      </c>
      <c r="I92" s="1">
        <f>SUM(OSRRefE21_13x_4)</f>
        <v>9100</v>
      </c>
      <c r="J92" s="1">
        <f>SUM(OSRRefE21_13x_5)</f>
        <v>5100</v>
      </c>
      <c r="K92" s="1">
        <f>SUM(OSRRefE21_13x_6)</f>
        <v>5100</v>
      </c>
      <c r="L92" s="1">
        <f>SUM(OSRRefE21_13x_7)</f>
        <v>5100</v>
      </c>
      <c r="M92" s="1">
        <f>SUM(OSRRefE21_13x_8)</f>
        <v>5100</v>
      </c>
      <c r="N92" s="1">
        <f>SUM(OSRRefE21_13x_9)</f>
        <v>5100</v>
      </c>
      <c r="O92" s="1">
        <f>SUM(OSRRefE21_13x_10)</f>
        <v>19100</v>
      </c>
      <c r="Q92" s="2">
        <f>SUM(OSRRefD20_13x)+IFERROR(SUM(OSRRefE20_13x),0)</f>
        <v>79200</v>
      </c>
    </row>
    <row r="93" spans="1:17" s="34" customFormat="1" hidden="1" outlineLevel="1" x14ac:dyDescent="0.3">
      <c r="A93" s="35"/>
      <c r="B93" s="10" t="str">
        <f>CONCATENATE("          ","6408", " - ","INVENTORY ADJUSTMENT")</f>
        <v xml:space="preserve">          6408 - INVENTORY ADJUSTMENT</v>
      </c>
      <c r="C93" s="14"/>
      <c r="D93" s="2">
        <v>5100</v>
      </c>
      <c r="E93" s="2">
        <v>5100</v>
      </c>
      <c r="F93" s="2">
        <v>5100</v>
      </c>
      <c r="G93" s="2">
        <v>5100</v>
      </c>
      <c r="H93" s="2">
        <v>5100</v>
      </c>
      <c r="I93" s="2">
        <v>9100</v>
      </c>
      <c r="J93" s="2">
        <v>5100</v>
      </c>
      <c r="K93" s="2">
        <v>5100</v>
      </c>
      <c r="L93" s="2">
        <v>5100</v>
      </c>
      <c r="M93" s="2">
        <v>5100</v>
      </c>
      <c r="N93" s="2">
        <v>5100</v>
      </c>
      <c r="O93" s="2">
        <v>19100</v>
      </c>
      <c r="P93" s="9"/>
      <c r="Q93" s="2">
        <f>SUM(OSRRefD21_13_0x)+IFERROR(SUM(OSRRefE21_13_0x),0)</f>
        <v>79200</v>
      </c>
    </row>
    <row r="94" spans="1:17" s="34" customFormat="1" collapsed="1" x14ac:dyDescent="0.3">
      <c r="A94" s="35"/>
      <c r="B94" s="14" t="str">
        <f>CONCATENATE("     ","Professional Services                             ")</f>
        <v xml:space="preserve">     Professional Services                             </v>
      </c>
      <c r="C94" s="14"/>
      <c r="D94" s="1">
        <f>SUM(OSRRefD21_14x_0)</f>
        <v>0</v>
      </c>
      <c r="E94" s="1">
        <f>SUM(OSRRefE21_14x_0)</f>
        <v>0</v>
      </c>
      <c r="F94" s="1">
        <f>SUM(OSRRefE21_14x_1)</f>
        <v>0</v>
      </c>
      <c r="G94" s="1">
        <f>SUM(OSRRefE21_14x_2)</f>
        <v>250</v>
      </c>
      <c r="H94" s="1">
        <f>SUM(OSRRefE21_14x_3)</f>
        <v>0</v>
      </c>
      <c r="I94" s="1">
        <f>SUM(OSRRefE21_14x_4)</f>
        <v>0</v>
      </c>
      <c r="J94" s="1">
        <f>SUM(OSRRefE21_14x_5)</f>
        <v>250</v>
      </c>
      <c r="K94" s="1">
        <f>SUM(OSRRefE21_14x_6)</f>
        <v>0</v>
      </c>
      <c r="L94" s="1">
        <f>SUM(OSRRefE21_14x_7)</f>
        <v>0</v>
      </c>
      <c r="M94" s="1">
        <f>SUM(OSRRefE21_14x_8)</f>
        <v>250</v>
      </c>
      <c r="N94" s="1">
        <f>SUM(OSRRefE21_14x_9)</f>
        <v>0</v>
      </c>
      <c r="O94" s="1">
        <f>SUM(OSRRefE21_14x_10)</f>
        <v>0</v>
      </c>
      <c r="Q94" s="2">
        <f>SUM(OSRRefD20_14x)+IFERROR(SUM(OSRRefE20_14x),0)</f>
        <v>750</v>
      </c>
    </row>
    <row r="95" spans="1:17" s="34" customFormat="1" hidden="1" outlineLevel="1" x14ac:dyDescent="0.3">
      <c r="A95" s="35"/>
      <c r="B95" s="10" t="str">
        <f>CONCATENATE("          ","6336", " - ","PROFESSIONAL SERVICES")</f>
        <v xml:space="preserve">          6336 - PROFESSIONAL SERVICES</v>
      </c>
      <c r="C95" s="14"/>
      <c r="D95" s="2"/>
      <c r="E95" s="2">
        <v>0</v>
      </c>
      <c r="F95" s="2">
        <v>0</v>
      </c>
      <c r="G95" s="2">
        <v>250</v>
      </c>
      <c r="H95" s="2">
        <v>0</v>
      </c>
      <c r="I95" s="2">
        <v>0</v>
      </c>
      <c r="J95" s="2">
        <v>250</v>
      </c>
      <c r="K95" s="2">
        <v>0</v>
      </c>
      <c r="L95" s="2">
        <v>0</v>
      </c>
      <c r="M95" s="2">
        <v>250</v>
      </c>
      <c r="N95" s="2">
        <v>0</v>
      </c>
      <c r="O95" s="2">
        <v>0</v>
      </c>
      <c r="P95" s="9"/>
      <c r="Q95" s="2">
        <f>SUM(OSRRefD21_14_0x)+IFERROR(SUM(OSRRefE21_14_0x),0)</f>
        <v>750</v>
      </c>
    </row>
    <row r="96" spans="1:17" s="34" customFormat="1" collapsed="1" x14ac:dyDescent="0.3">
      <c r="A96" s="35"/>
      <c r="B96" s="14" t="str">
        <f>CONCATENATE("     ","Rent                                              ")</f>
        <v xml:space="preserve">     Rent                                              </v>
      </c>
      <c r="C96" s="14"/>
      <c r="D96" s="1">
        <f>SUM(OSRRefD21_15x_0)</f>
        <v>6100</v>
      </c>
      <c r="E96" s="1">
        <f>SUM(OSRRefE21_15x_0)</f>
        <v>6100</v>
      </c>
      <c r="F96" s="1">
        <f>SUM(OSRRefE21_15x_1)</f>
        <v>6100</v>
      </c>
      <c r="G96" s="1">
        <f>SUM(OSRRefE21_15x_2)</f>
        <v>6100</v>
      </c>
      <c r="H96" s="1">
        <f>SUM(OSRRefE21_15x_3)</f>
        <v>6100</v>
      </c>
      <c r="I96" s="1">
        <f>SUM(OSRRefE21_15x_4)</f>
        <v>6100</v>
      </c>
      <c r="J96" s="1">
        <f>SUM(OSRRefE21_15x_5)</f>
        <v>6100</v>
      </c>
      <c r="K96" s="1">
        <f>SUM(OSRRefE21_15x_6)</f>
        <v>6100</v>
      </c>
      <c r="L96" s="1">
        <f>SUM(OSRRefE21_15x_7)</f>
        <v>6100</v>
      </c>
      <c r="M96" s="1">
        <f>SUM(OSRRefE21_15x_8)</f>
        <v>6100</v>
      </c>
      <c r="N96" s="1">
        <f>SUM(OSRRefE21_15x_9)</f>
        <v>6100</v>
      </c>
      <c r="O96" s="1">
        <f>SUM(OSRRefE21_15x_10)</f>
        <v>6100</v>
      </c>
      <c r="Q96" s="2">
        <f>SUM(OSRRefD20_15x)+IFERROR(SUM(OSRRefE20_15x),0)</f>
        <v>73200</v>
      </c>
    </row>
    <row r="97" spans="1:17" s="34" customFormat="1" hidden="1" outlineLevel="1" x14ac:dyDescent="0.3">
      <c r="A97" s="35"/>
      <c r="B97" s="10" t="str">
        <f>CONCATENATE("          ","6273", " - ","RENT")</f>
        <v xml:space="preserve">          6273 - RENT</v>
      </c>
      <c r="C97" s="14"/>
      <c r="D97" s="2">
        <v>6100</v>
      </c>
      <c r="E97" s="2">
        <v>6100</v>
      </c>
      <c r="F97" s="2">
        <v>6100</v>
      </c>
      <c r="G97" s="2">
        <v>6100</v>
      </c>
      <c r="H97" s="2">
        <v>6100</v>
      </c>
      <c r="I97" s="2">
        <v>6100</v>
      </c>
      <c r="J97" s="2">
        <v>6100</v>
      </c>
      <c r="K97" s="2">
        <v>6100</v>
      </c>
      <c r="L97" s="2">
        <v>6100</v>
      </c>
      <c r="M97" s="2">
        <v>6100</v>
      </c>
      <c r="N97" s="2">
        <v>6100</v>
      </c>
      <c r="O97" s="2">
        <v>6100</v>
      </c>
      <c r="P97" s="9"/>
      <c r="Q97" s="2">
        <f>SUM(OSRRefD21_15_0x)+IFERROR(SUM(OSRRefE21_15_0x),0)</f>
        <v>73200</v>
      </c>
    </row>
    <row r="98" spans="1:17" s="34" customFormat="1" collapsed="1" x14ac:dyDescent="0.3">
      <c r="A98" s="35"/>
      <c r="B98" s="14" t="str">
        <f>CONCATENATE("     ","Repair and Maintenance                            ")</f>
        <v xml:space="preserve">     Repair and Maintenance                            </v>
      </c>
      <c r="C98" s="14"/>
      <c r="D98" s="1">
        <f>SUM(OSRRefD21_16x_0)</f>
        <v>64762.729999999996</v>
      </c>
      <c r="E98" s="1">
        <f>SUM(OSRRefE21_16x_0)</f>
        <v>9145</v>
      </c>
      <c r="F98" s="1">
        <f>SUM(OSRRefE21_16x_1)</f>
        <v>13145</v>
      </c>
      <c r="G98" s="1">
        <f>SUM(OSRRefE21_16x_2)</f>
        <v>9745</v>
      </c>
      <c r="H98" s="1">
        <f>SUM(OSRRefE21_16x_3)</f>
        <v>10145</v>
      </c>
      <c r="I98" s="1">
        <f>SUM(OSRRefE21_16x_4)</f>
        <v>5645</v>
      </c>
      <c r="J98" s="1">
        <f>SUM(OSRRefE21_16x_5)</f>
        <v>11245</v>
      </c>
      <c r="K98" s="1">
        <f>SUM(OSRRefE21_16x_6)</f>
        <v>30945</v>
      </c>
      <c r="L98" s="1">
        <f>SUM(OSRRefE21_16x_7)</f>
        <v>10745</v>
      </c>
      <c r="M98" s="1">
        <f>SUM(OSRRefE21_16x_8)</f>
        <v>10745</v>
      </c>
      <c r="N98" s="1">
        <f>SUM(OSRRefE21_16x_9)</f>
        <v>10645</v>
      </c>
      <c r="O98" s="1">
        <f>SUM(OSRRefE21_16x_10)</f>
        <v>10745</v>
      </c>
      <c r="Q98" s="2">
        <f>SUM(OSRRefD20_16x)+IFERROR(SUM(OSRRefE20_16x),0)</f>
        <v>197657.72999999998</v>
      </c>
    </row>
    <row r="99" spans="1:17" s="34" customFormat="1" hidden="1" outlineLevel="1" x14ac:dyDescent="0.3">
      <c r="A99" s="35"/>
      <c r="B99" s="10" t="str">
        <f>CONCATENATE("          ","6371", " - ","COMPUTER SOFTWARE MAINTENANCE")</f>
        <v xml:space="preserve">          6371 - COMPUTER SOFTWARE MAINTENANCE</v>
      </c>
      <c r="C99" s="14"/>
      <c r="D99" s="2">
        <v>59623.5</v>
      </c>
      <c r="E99" s="2">
        <v>1000</v>
      </c>
      <c r="F99" s="2">
        <v>1000</v>
      </c>
      <c r="G99" s="2">
        <v>1100</v>
      </c>
      <c r="H99" s="2">
        <v>1000</v>
      </c>
      <c r="I99" s="2">
        <v>1000</v>
      </c>
      <c r="J99" s="2">
        <v>1000</v>
      </c>
      <c r="K99" s="2">
        <v>1000</v>
      </c>
      <c r="L99" s="2">
        <v>1000</v>
      </c>
      <c r="M99" s="2">
        <v>1000</v>
      </c>
      <c r="N99" s="2">
        <v>1000</v>
      </c>
      <c r="O99" s="2">
        <v>1000</v>
      </c>
      <c r="P99" s="9"/>
      <c r="Q99" s="2">
        <f>SUM(OSRRefD21_16_0x)+IFERROR(SUM(OSRRefE21_16_0x),0)</f>
        <v>70723.5</v>
      </c>
    </row>
    <row r="100" spans="1:17" s="34" customFormat="1" hidden="1" outlineLevel="1" x14ac:dyDescent="0.3">
      <c r="A100" s="35"/>
      <c r="B100" s="10" t="str">
        <f>CONCATENATE("          ","6372", " - ","COMPUTER HARDWARE MAINTENANCE")</f>
        <v xml:space="preserve">          6372 - COMPUTER HARDWARE MAINTENANCE</v>
      </c>
      <c r="C100" s="14"/>
      <c r="D100" s="2"/>
      <c r="E100" s="2">
        <v>3750</v>
      </c>
      <c r="F100" s="2">
        <v>3750</v>
      </c>
      <c r="G100" s="2">
        <v>3750</v>
      </c>
      <c r="H100" s="2">
        <v>3750</v>
      </c>
      <c r="I100" s="2">
        <v>3750</v>
      </c>
      <c r="J100" s="2">
        <v>3750</v>
      </c>
      <c r="K100" s="2">
        <v>3750</v>
      </c>
      <c r="L100" s="2">
        <v>3750</v>
      </c>
      <c r="M100" s="2">
        <v>3750</v>
      </c>
      <c r="N100" s="2">
        <v>3750</v>
      </c>
      <c r="O100" s="2">
        <v>3750</v>
      </c>
      <c r="P100" s="9"/>
      <c r="Q100" s="2">
        <f>SUM(OSRRefD21_16_1x)+IFERROR(SUM(OSRRefE21_16_1x),0)</f>
        <v>41250</v>
      </c>
    </row>
    <row r="101" spans="1:17" s="34" customFormat="1" hidden="1" outlineLevel="1" x14ac:dyDescent="0.3">
      <c r="A101" s="35"/>
      <c r="B101" s="10" t="str">
        <f>CONCATENATE("          ","6373", " - ","MAINTENANCE CONTRACTS")</f>
        <v xml:space="preserve">          6373 - MAINTENANCE CONTRACTS</v>
      </c>
      <c r="C101" s="14"/>
      <c r="D101" s="2">
        <v>654.63</v>
      </c>
      <c r="E101" s="2">
        <v>4355</v>
      </c>
      <c r="F101" s="2">
        <v>8355</v>
      </c>
      <c r="G101" s="2">
        <v>4855</v>
      </c>
      <c r="H101" s="2">
        <v>5355</v>
      </c>
      <c r="I101" s="2">
        <v>855</v>
      </c>
      <c r="J101" s="2">
        <v>5955</v>
      </c>
      <c r="K101" s="2">
        <v>26155</v>
      </c>
      <c r="L101" s="2">
        <v>5955</v>
      </c>
      <c r="M101" s="2">
        <v>5955</v>
      </c>
      <c r="N101" s="2">
        <v>5855</v>
      </c>
      <c r="O101" s="2">
        <v>5955</v>
      </c>
      <c r="P101" s="9"/>
      <c r="Q101" s="2">
        <f>SUM(OSRRefD21_16_2x)+IFERROR(SUM(OSRRefE21_16_2x),0)</f>
        <v>80259.63</v>
      </c>
    </row>
    <row r="102" spans="1:17" s="34" customFormat="1" hidden="1" outlineLevel="1" x14ac:dyDescent="0.3">
      <c r="A102" s="35"/>
      <c r="B102" s="10" t="str">
        <f>CONCATENATE("          ","6375", " - ","OUTSIDE REPAIRS &amp; MAINTENANCE")</f>
        <v xml:space="preserve">          6375 - OUTSIDE REPAIRS &amp; MAINTENANCE</v>
      </c>
      <c r="C102" s="14"/>
      <c r="D102" s="2">
        <v>4484.6000000000004</v>
      </c>
      <c r="E102" s="2">
        <v>40</v>
      </c>
      <c r="F102" s="2">
        <v>40</v>
      </c>
      <c r="G102" s="2">
        <v>40</v>
      </c>
      <c r="H102" s="2">
        <v>40</v>
      </c>
      <c r="I102" s="2">
        <v>40</v>
      </c>
      <c r="J102" s="2">
        <v>540</v>
      </c>
      <c r="K102" s="2">
        <v>40</v>
      </c>
      <c r="L102" s="2">
        <v>40</v>
      </c>
      <c r="M102" s="2">
        <v>40</v>
      </c>
      <c r="N102" s="2">
        <v>40</v>
      </c>
      <c r="O102" s="2">
        <v>40</v>
      </c>
      <c r="P102" s="9"/>
      <c r="Q102" s="2">
        <f>SUM(OSRRefD21_16_3x)+IFERROR(SUM(OSRRefE21_16_3x),0)</f>
        <v>5424.6</v>
      </c>
    </row>
    <row r="103" spans="1:17" s="34" customFormat="1" collapsed="1" x14ac:dyDescent="0.3">
      <c r="A103" s="35"/>
      <c r="B103" s="14" t="str">
        <f>CONCATENATE("     ","Royalty &amp; Commissions                             ")</f>
        <v xml:space="preserve">     Royalty &amp; Commissions                             </v>
      </c>
      <c r="C103" s="14"/>
      <c r="D103" s="1">
        <f>SUM(OSRRefD21_17x_0)</f>
        <v>7355.1000000000013</v>
      </c>
      <c r="E103" s="1">
        <f>SUM(OSRRefE21_17x_0)</f>
        <v>5080</v>
      </c>
      <c r="F103" s="1">
        <f>SUM(OSRRefE21_17x_1)</f>
        <v>1766</v>
      </c>
      <c r="G103" s="1">
        <f>SUM(OSRRefE21_17x_2)</f>
        <v>11812</v>
      </c>
      <c r="H103" s="1">
        <f>SUM(OSRRefE21_17x_3)</f>
        <v>9014</v>
      </c>
      <c r="I103" s="1">
        <f>SUM(OSRRefE21_17x_4)</f>
        <v>4906</v>
      </c>
      <c r="J103" s="1">
        <f>SUM(OSRRefE21_17x_5)</f>
        <v>19106</v>
      </c>
      <c r="K103" s="1">
        <f>SUM(OSRRefE21_17x_6)</f>
        <v>5446</v>
      </c>
      <c r="L103" s="1">
        <f>SUM(OSRRefE21_17x_7)</f>
        <v>2685</v>
      </c>
      <c r="M103" s="1">
        <f>SUM(OSRRefE21_17x_8)</f>
        <v>17203</v>
      </c>
      <c r="N103" s="1">
        <f>SUM(OSRRefE21_17x_9)</f>
        <v>9656</v>
      </c>
      <c r="O103" s="1">
        <f>SUM(OSRRefE21_17x_10)</f>
        <v>9822</v>
      </c>
      <c r="Q103" s="2">
        <f>SUM(OSRRefD20_17x)+IFERROR(SUM(OSRRefE20_17x),0)</f>
        <v>103851.1</v>
      </c>
    </row>
    <row r="104" spans="1:17" s="34" customFormat="1" hidden="1" outlineLevel="1" x14ac:dyDescent="0.3">
      <c r="A104" s="35"/>
      <c r="B104" s="10" t="str">
        <f>CONCATENATE("          ","6252", " - ","ROYALTY DUE CSTV")</f>
        <v xml:space="preserve">          6252 - ROYALTY DUE CSTV</v>
      </c>
      <c r="C104" s="14"/>
      <c r="D104" s="2"/>
      <c r="E104" s="2">
        <v>2080</v>
      </c>
      <c r="F104" s="2">
        <v>1266</v>
      </c>
      <c r="G104" s="2">
        <v>1122</v>
      </c>
      <c r="H104" s="2">
        <v>3014</v>
      </c>
      <c r="I104" s="2">
        <v>1906</v>
      </c>
      <c r="J104" s="2">
        <v>821</v>
      </c>
      <c r="K104" s="2">
        <v>446</v>
      </c>
      <c r="L104" s="2">
        <v>1085</v>
      </c>
      <c r="M104" s="2">
        <v>948</v>
      </c>
      <c r="N104" s="2">
        <v>2156</v>
      </c>
      <c r="O104" s="2">
        <v>3322</v>
      </c>
      <c r="P104" s="9"/>
      <c r="Q104" s="2">
        <f>SUM(OSRRefD21_17_0x)+IFERROR(SUM(OSRRefE21_17_0x),0)</f>
        <v>18166</v>
      </c>
    </row>
    <row r="105" spans="1:17" s="34" customFormat="1" hidden="1" outlineLevel="1" x14ac:dyDescent="0.3">
      <c r="A105" s="35"/>
      <c r="B105" s="10" t="str">
        <f>CONCATENATE("          ","6253", " - ","ROYALTY DUE ATHLETICS-LRG")</f>
        <v xml:space="preserve">          6253 - ROYALTY DUE ATHLETICS-LRG</v>
      </c>
      <c r="C105" s="14"/>
      <c r="D105" s="2">
        <v>14376.54</v>
      </c>
      <c r="E105" s="2">
        <v>0</v>
      </c>
      <c r="F105" s="2">
        <v>0</v>
      </c>
      <c r="G105" s="2">
        <v>10490</v>
      </c>
      <c r="H105" s="2">
        <v>0</v>
      </c>
      <c r="I105" s="2">
        <v>0</v>
      </c>
      <c r="J105" s="2">
        <v>7785</v>
      </c>
      <c r="K105" s="2">
        <v>0</v>
      </c>
      <c r="L105" s="2">
        <v>0</v>
      </c>
      <c r="M105" s="2">
        <v>14555</v>
      </c>
      <c r="N105" s="2">
        <v>0</v>
      </c>
      <c r="O105" s="2">
        <v>0</v>
      </c>
      <c r="P105" s="9"/>
      <c r="Q105" s="2">
        <f>SUM(OSRRefD21_17_1x)+IFERROR(SUM(OSRRefE21_17_1x),0)</f>
        <v>47206.54</v>
      </c>
    </row>
    <row r="106" spans="1:17" s="34" customFormat="1" hidden="1" outlineLevel="1" x14ac:dyDescent="0.3">
      <c r="A106" s="35"/>
      <c r="B106" s="10" t="str">
        <f>CONCATENATE("          ","6254", " - ","ROYALTY &amp; COMMISSIONS")</f>
        <v xml:space="preserve">          6254 - ROYALTY &amp; COMMISSIONS</v>
      </c>
      <c r="C106" s="14"/>
      <c r="D106" s="2">
        <v>-7027.5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500</v>
      </c>
      <c r="K106" s="2">
        <v>1000</v>
      </c>
      <c r="L106" s="2">
        <v>1000</v>
      </c>
      <c r="M106" s="2">
        <v>1000</v>
      </c>
      <c r="N106" s="2">
        <v>1000</v>
      </c>
      <c r="O106" s="2">
        <v>0</v>
      </c>
      <c r="P106" s="9"/>
      <c r="Q106" s="2">
        <f>SUM(OSRRefD21_17_2x)+IFERROR(SUM(OSRRefE21_17_2x),0)</f>
        <v>-2527.5</v>
      </c>
    </row>
    <row r="107" spans="1:17" s="34" customFormat="1" hidden="1" outlineLevel="1" x14ac:dyDescent="0.3">
      <c r="A107" s="35"/>
      <c r="B107" s="10" t="str">
        <f>CONCATENATE("          ","6259", " - ","ROYALTY &amp; COMMISSIONS")</f>
        <v xml:space="preserve">          6259 - ROYALTY &amp; COMMISSIONS</v>
      </c>
      <c r="C107" s="14"/>
      <c r="D107" s="2">
        <v>6.06</v>
      </c>
      <c r="E107" s="2">
        <v>3000</v>
      </c>
      <c r="F107" s="2">
        <v>500</v>
      </c>
      <c r="G107" s="2">
        <v>200</v>
      </c>
      <c r="H107" s="2">
        <v>6000</v>
      </c>
      <c r="I107" s="2">
        <v>3000</v>
      </c>
      <c r="J107" s="2">
        <v>10000</v>
      </c>
      <c r="K107" s="2">
        <v>4000</v>
      </c>
      <c r="L107" s="2">
        <v>600</v>
      </c>
      <c r="M107" s="2">
        <v>700</v>
      </c>
      <c r="N107" s="2">
        <v>6500</v>
      </c>
      <c r="O107" s="2">
        <v>6500</v>
      </c>
      <c r="P107" s="9"/>
      <c r="Q107" s="2">
        <f>SUM(OSRRefD21_17_3x)+IFERROR(SUM(OSRRefE21_17_3x),0)</f>
        <v>41006.06</v>
      </c>
    </row>
    <row r="108" spans="1:17" s="34" customFormat="1" collapsed="1" x14ac:dyDescent="0.3">
      <c r="A108" s="35"/>
      <c r="B108" s="14" t="str">
        <f>CONCATENATE("     ","Services                                          ")</f>
        <v xml:space="preserve">     Services                                          </v>
      </c>
      <c r="C108" s="14"/>
      <c r="D108" s="1">
        <f>SUM(OSRRefD21_18x_0)</f>
        <v>4006.32</v>
      </c>
      <c r="E108" s="1">
        <f>SUM(OSRRefE21_18x_0)</f>
        <v>4360</v>
      </c>
      <c r="F108" s="1">
        <f>SUM(OSRRefE21_18x_1)</f>
        <v>4420</v>
      </c>
      <c r="G108" s="1">
        <f>SUM(OSRRefE21_18x_2)</f>
        <v>4360</v>
      </c>
      <c r="H108" s="1">
        <f>SUM(OSRRefE21_18x_3)</f>
        <v>4360</v>
      </c>
      <c r="I108" s="1">
        <f>SUM(OSRRefE21_18x_4)</f>
        <v>4420</v>
      </c>
      <c r="J108" s="1">
        <f>SUM(OSRRefE21_18x_5)</f>
        <v>4360</v>
      </c>
      <c r="K108" s="1">
        <f>SUM(OSRRefE21_18x_6)</f>
        <v>4360</v>
      </c>
      <c r="L108" s="1">
        <f>SUM(OSRRefE21_18x_7)</f>
        <v>4420</v>
      </c>
      <c r="M108" s="1">
        <f>SUM(OSRRefE21_18x_8)</f>
        <v>4360</v>
      </c>
      <c r="N108" s="1">
        <f>SUM(OSRRefE21_18x_9)</f>
        <v>4360</v>
      </c>
      <c r="O108" s="1">
        <f>SUM(OSRRefE21_18x_10)</f>
        <v>4420</v>
      </c>
      <c r="Q108" s="2">
        <f>SUM(OSRRefD20_18x)+IFERROR(SUM(OSRRefE20_18x),0)</f>
        <v>52206.32</v>
      </c>
    </row>
    <row r="109" spans="1:17" s="34" customFormat="1" hidden="1" outlineLevel="1" x14ac:dyDescent="0.3">
      <c r="A109" s="35"/>
      <c r="B109" s="10" t="str">
        <f>CONCATENATE("          ","6282", " - ","JANITORIAL/EXTERMINATOR EXPENS")</f>
        <v xml:space="preserve">          6282 - JANITORIAL/EXTERMINATOR EXPENS</v>
      </c>
      <c r="C109" s="14"/>
      <c r="D109" s="2"/>
      <c r="E109" s="2">
        <v>4300</v>
      </c>
      <c r="F109" s="2">
        <v>4300</v>
      </c>
      <c r="G109" s="2">
        <v>4300</v>
      </c>
      <c r="H109" s="2">
        <v>4300</v>
      </c>
      <c r="I109" s="2">
        <v>4300</v>
      </c>
      <c r="J109" s="2">
        <v>4300</v>
      </c>
      <c r="K109" s="2">
        <v>4300</v>
      </c>
      <c r="L109" s="2">
        <v>4300</v>
      </c>
      <c r="M109" s="2">
        <v>4300</v>
      </c>
      <c r="N109" s="2">
        <v>4300</v>
      </c>
      <c r="O109" s="2">
        <v>4300</v>
      </c>
      <c r="P109" s="9"/>
      <c r="Q109" s="2">
        <f>SUM(OSRRefD21_18_0x)+IFERROR(SUM(OSRRefE21_18_0x),0)</f>
        <v>47300</v>
      </c>
    </row>
    <row r="110" spans="1:17" s="34" customFormat="1" hidden="1" outlineLevel="1" x14ac:dyDescent="0.3">
      <c r="A110" s="35"/>
      <c r="B110" s="10" t="str">
        <f>CONCATENATE("          ","6284", " - ","TRASH REMOVAL EXPENSE")</f>
        <v xml:space="preserve">          6284 - TRASH REMOVAL EXPENSE</v>
      </c>
      <c r="C110" s="14"/>
      <c r="D110" s="2">
        <v>142.57</v>
      </c>
      <c r="E110" s="2">
        <v>60</v>
      </c>
      <c r="F110" s="2">
        <v>120</v>
      </c>
      <c r="G110" s="2">
        <v>60</v>
      </c>
      <c r="H110" s="2">
        <v>60</v>
      </c>
      <c r="I110" s="2">
        <v>120</v>
      </c>
      <c r="J110" s="2">
        <v>60</v>
      </c>
      <c r="K110" s="2">
        <v>60</v>
      </c>
      <c r="L110" s="2">
        <v>120</v>
      </c>
      <c r="M110" s="2">
        <v>60</v>
      </c>
      <c r="N110" s="2">
        <v>60</v>
      </c>
      <c r="O110" s="2">
        <v>120</v>
      </c>
      <c r="P110" s="9"/>
      <c r="Q110" s="2">
        <f>SUM(OSRRefD21_18_1x)+IFERROR(SUM(OSRRefE21_18_1x),0)</f>
        <v>1042.57</v>
      </c>
    </row>
    <row r="111" spans="1:17" s="34" customFormat="1" hidden="1" outlineLevel="1" x14ac:dyDescent="0.3">
      <c r="A111" s="35"/>
      <c r="B111" s="10" t="str">
        <f>CONCATENATE("          ","6285", " - ","JANITORIAL SERVICES")</f>
        <v xml:space="preserve">          6285 - JANITORIAL SERVICES</v>
      </c>
      <c r="C111" s="14"/>
      <c r="D111" s="2">
        <v>3863.75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2">
        <f>SUM(OSRRefD21_18_2x)+IFERROR(SUM(OSRRefE21_18_2x),0)</f>
        <v>3863.75</v>
      </c>
    </row>
    <row r="112" spans="1:17" s="34" customFormat="1" collapsed="1" x14ac:dyDescent="0.3">
      <c r="A112" s="35"/>
      <c r="B112" s="14" t="str">
        <f>CONCATENATE("     ","Subscriptions &amp; Dues                              ")</f>
        <v xml:space="preserve">     Subscriptions &amp; Dues                              </v>
      </c>
      <c r="C112" s="14"/>
      <c r="D112" s="1">
        <f>SUM(OSRRefD21_19x_0)</f>
        <v>68.319999999999993</v>
      </c>
      <c r="E112" s="1">
        <f>SUM(OSRRefE21_19x_0)</f>
        <v>1361</v>
      </c>
      <c r="F112" s="1">
        <f>SUM(OSRRefE21_19x_1)</f>
        <v>381</v>
      </c>
      <c r="G112" s="1">
        <f>SUM(OSRRefE21_19x_2)</f>
        <v>1361</v>
      </c>
      <c r="H112" s="1">
        <f>SUM(OSRRefE21_19x_3)</f>
        <v>381</v>
      </c>
      <c r="I112" s="1">
        <f>SUM(OSRRefE21_19x_4)</f>
        <v>1361</v>
      </c>
      <c r="J112" s="1">
        <f>SUM(OSRRefE21_19x_5)</f>
        <v>2381</v>
      </c>
      <c r="K112" s="1">
        <f>SUM(OSRRefE21_19x_6)</f>
        <v>1461</v>
      </c>
      <c r="L112" s="1">
        <f>SUM(OSRRefE21_19x_7)</f>
        <v>481</v>
      </c>
      <c r="M112" s="1">
        <f>SUM(OSRRefE21_19x_8)</f>
        <v>1461</v>
      </c>
      <c r="N112" s="1">
        <f>SUM(OSRRefE21_19x_9)</f>
        <v>481</v>
      </c>
      <c r="O112" s="1">
        <f>SUM(OSRRefE21_19x_10)</f>
        <v>661</v>
      </c>
      <c r="Q112" s="2">
        <f>SUM(OSRRefD20_19x)+IFERROR(SUM(OSRRefE20_19x),0)</f>
        <v>11839.32</v>
      </c>
    </row>
    <row r="113" spans="1:17" s="34" customFormat="1" hidden="1" outlineLevel="1" x14ac:dyDescent="0.3">
      <c r="A113" s="35"/>
      <c r="B113" s="10" t="str">
        <f>CONCATENATE("          ","6258", " - ","MEMBERSHIP DUES")</f>
        <v xml:space="preserve">          6258 - MEMBERSHIP DUES</v>
      </c>
      <c r="C113" s="14"/>
      <c r="D113" s="2">
        <v>68.319999999999993</v>
      </c>
      <c r="E113" s="2">
        <v>1300</v>
      </c>
      <c r="F113" s="2">
        <v>300</v>
      </c>
      <c r="G113" s="2">
        <v>1300</v>
      </c>
      <c r="H113" s="2">
        <v>300</v>
      </c>
      <c r="I113" s="2">
        <v>1300</v>
      </c>
      <c r="J113" s="2">
        <v>300</v>
      </c>
      <c r="K113" s="2">
        <v>1300</v>
      </c>
      <c r="L113" s="2">
        <v>300</v>
      </c>
      <c r="M113" s="2">
        <v>1300</v>
      </c>
      <c r="N113" s="2">
        <v>300</v>
      </c>
      <c r="O113" s="2">
        <v>500</v>
      </c>
      <c r="P113" s="9"/>
      <c r="Q113" s="2">
        <f>SUM(OSRRefD21_19_0x)+IFERROR(SUM(OSRRefE21_19_0x),0)</f>
        <v>8568.32</v>
      </c>
    </row>
    <row r="114" spans="1:17" s="34" customFormat="1" hidden="1" outlineLevel="1" x14ac:dyDescent="0.3">
      <c r="A114" s="35"/>
      <c r="B114" s="10" t="str">
        <f>CONCATENATE("          ","6275", " - ","SUBSCRIPTIONS")</f>
        <v xml:space="preserve">          6275 - SUBSCRIPTIONS</v>
      </c>
      <c r="C114" s="14"/>
      <c r="D114" s="2"/>
      <c r="E114" s="2">
        <v>61</v>
      </c>
      <c r="F114" s="2">
        <v>81</v>
      </c>
      <c r="G114" s="2">
        <v>61</v>
      </c>
      <c r="H114" s="2">
        <v>81</v>
      </c>
      <c r="I114" s="2">
        <v>61</v>
      </c>
      <c r="J114" s="2">
        <v>2081</v>
      </c>
      <c r="K114" s="2">
        <v>161</v>
      </c>
      <c r="L114" s="2">
        <v>181</v>
      </c>
      <c r="M114" s="2">
        <v>161</v>
      </c>
      <c r="N114" s="2">
        <v>181</v>
      </c>
      <c r="O114" s="2">
        <v>161</v>
      </c>
      <c r="P114" s="9"/>
      <c r="Q114" s="2">
        <f>SUM(OSRRefD21_19_1x)+IFERROR(SUM(OSRRefE21_19_1x),0)</f>
        <v>3271</v>
      </c>
    </row>
    <row r="115" spans="1:17" s="34" customFormat="1" collapsed="1" x14ac:dyDescent="0.3">
      <c r="A115" s="35"/>
      <c r="B115" s="14" t="str">
        <f>CONCATENATE("     ","Supplies                                          ")</f>
        <v xml:space="preserve">     Supplies                                          </v>
      </c>
      <c r="C115" s="14"/>
      <c r="D115" s="1">
        <f>SUM(OSRRefD21_20x_0)</f>
        <v>7086.3600000000006</v>
      </c>
      <c r="E115" s="1">
        <f>SUM(OSRRefE21_20x_0)</f>
        <v>7310</v>
      </c>
      <c r="F115" s="1">
        <f>SUM(OSRRefE21_20x_1)</f>
        <v>15580</v>
      </c>
      <c r="G115" s="1">
        <f>SUM(OSRRefE21_20x_2)</f>
        <v>10330</v>
      </c>
      <c r="H115" s="1">
        <f>SUM(OSRRefE21_20x_3)</f>
        <v>8060</v>
      </c>
      <c r="I115" s="1">
        <f>SUM(OSRRefE21_20x_4)</f>
        <v>8330</v>
      </c>
      <c r="J115" s="1">
        <f>SUM(OSRRefE21_20x_5)</f>
        <v>18230</v>
      </c>
      <c r="K115" s="1">
        <f>SUM(OSRRefE21_20x_6)</f>
        <v>13330</v>
      </c>
      <c r="L115" s="1">
        <f>SUM(OSRRefE21_20x_7)</f>
        <v>7730</v>
      </c>
      <c r="M115" s="1">
        <f>SUM(OSRRefE21_20x_8)</f>
        <v>10980</v>
      </c>
      <c r="N115" s="1">
        <f>SUM(OSRRefE21_20x_9)</f>
        <v>11920</v>
      </c>
      <c r="O115" s="1">
        <f>SUM(OSRRefE21_20x_10)</f>
        <v>7630</v>
      </c>
      <c r="Q115" s="2">
        <f>SUM(OSRRefD20_20x)+IFERROR(SUM(OSRRefE20_20x),0)</f>
        <v>126516.36</v>
      </c>
    </row>
    <row r="116" spans="1:17" s="34" customFormat="1" hidden="1" outlineLevel="1" x14ac:dyDescent="0.3">
      <c r="A116" s="35"/>
      <c r="B116" s="10" t="str">
        <f>CONCATENATE("          ","6234", " - ","EXPENDABLE SUPPLIES &amp; EQUIPMEN")</f>
        <v xml:space="preserve">          6234 - EXPENDABLE SUPPLIES &amp; EQUIPMEN</v>
      </c>
      <c r="C116" s="14"/>
      <c r="D116" s="2"/>
      <c r="E116" s="2"/>
      <c r="F116" s="2">
        <v>300</v>
      </c>
      <c r="G116" s="2">
        <v>300</v>
      </c>
      <c r="H116" s="2">
        <v>300</v>
      </c>
      <c r="I116" s="2">
        <v>300</v>
      </c>
      <c r="J116" s="2">
        <v>300</v>
      </c>
      <c r="K116" s="2">
        <v>300</v>
      </c>
      <c r="L116" s="2">
        <v>300</v>
      </c>
      <c r="M116" s="2">
        <v>300</v>
      </c>
      <c r="N116" s="2">
        <v>300</v>
      </c>
      <c r="O116" s="2">
        <v>300</v>
      </c>
      <c r="P116" s="9"/>
      <c r="Q116" s="2">
        <f>SUM(OSRRefD21_20_0x)+IFERROR(SUM(OSRRefE21_20_0x),0)</f>
        <v>3000</v>
      </c>
    </row>
    <row r="117" spans="1:17" s="34" customFormat="1" hidden="1" outlineLevel="1" x14ac:dyDescent="0.3">
      <c r="A117" s="35"/>
      <c r="B117" s="10" t="str">
        <f>CONCATENATE("          ","6235", " - ","COVID-19 EXPENSES")</f>
        <v xml:space="preserve">          6235 - COVID-19 EXPENSES</v>
      </c>
      <c r="C117" s="14"/>
      <c r="D117" s="2">
        <v>272.22000000000003</v>
      </c>
      <c r="E117" s="2">
        <v>125</v>
      </c>
      <c r="F117" s="2">
        <v>125</v>
      </c>
      <c r="G117" s="2">
        <v>125</v>
      </c>
      <c r="H117" s="2">
        <v>125</v>
      </c>
      <c r="I117" s="2">
        <v>125</v>
      </c>
      <c r="J117" s="2">
        <v>125</v>
      </c>
      <c r="K117" s="2">
        <v>125</v>
      </c>
      <c r="L117" s="2">
        <v>125</v>
      </c>
      <c r="M117" s="2">
        <v>125</v>
      </c>
      <c r="N117" s="2">
        <v>125</v>
      </c>
      <c r="O117" s="2">
        <v>125</v>
      </c>
      <c r="P117" s="9"/>
      <c r="Q117" s="2">
        <f>SUM(OSRRefD21_20_1x)+IFERROR(SUM(OSRRefE21_20_1x),0)</f>
        <v>1647.22</v>
      </c>
    </row>
    <row r="118" spans="1:17" s="34" customFormat="1" hidden="1" outlineLevel="1" x14ac:dyDescent="0.3">
      <c r="A118" s="35"/>
      <c r="B118" s="10" t="str">
        <f>CONCATENATE("          ","6237", " - ","JANITORIAL SUPPLIES")</f>
        <v xml:space="preserve">          6237 - JANITORIAL SUPPLIES</v>
      </c>
      <c r="C118" s="14"/>
      <c r="D118" s="2">
        <v>655.97</v>
      </c>
      <c r="E118" s="2">
        <v>10</v>
      </c>
      <c r="F118" s="2">
        <v>10</v>
      </c>
      <c r="G118" s="2">
        <v>10</v>
      </c>
      <c r="H118" s="2">
        <v>10</v>
      </c>
      <c r="I118" s="2">
        <v>50</v>
      </c>
      <c r="J118" s="2">
        <v>10</v>
      </c>
      <c r="K118" s="2">
        <v>10</v>
      </c>
      <c r="L118" s="2">
        <v>10</v>
      </c>
      <c r="M118" s="2">
        <v>10</v>
      </c>
      <c r="N118" s="2">
        <v>50</v>
      </c>
      <c r="O118" s="2">
        <v>10</v>
      </c>
      <c r="P118" s="9"/>
      <c r="Q118" s="2">
        <f>SUM(OSRRefD21_20_2x)+IFERROR(SUM(OSRRefE21_20_2x),0)</f>
        <v>845.97</v>
      </c>
    </row>
    <row r="119" spans="1:17" s="34" customFormat="1" hidden="1" outlineLevel="1" x14ac:dyDescent="0.3">
      <c r="A119" s="35"/>
      <c r="B119" s="10" t="str">
        <f>CONCATENATE("          ","6241", " - ","OFFICE EXPENSE")</f>
        <v xml:space="preserve">          6241 - OFFICE EXPENSE</v>
      </c>
      <c r="C119" s="14"/>
      <c r="D119" s="2">
        <v>406.41</v>
      </c>
      <c r="E119" s="2">
        <v>770</v>
      </c>
      <c r="F119" s="2">
        <v>470</v>
      </c>
      <c r="G119" s="2">
        <v>470</v>
      </c>
      <c r="H119" s="2">
        <v>470</v>
      </c>
      <c r="I119" s="2">
        <v>970</v>
      </c>
      <c r="J119" s="2">
        <v>670</v>
      </c>
      <c r="K119" s="2">
        <v>720</v>
      </c>
      <c r="L119" s="2">
        <v>470</v>
      </c>
      <c r="M119" s="2">
        <v>470</v>
      </c>
      <c r="N119" s="2">
        <v>470</v>
      </c>
      <c r="O119" s="2">
        <v>420</v>
      </c>
      <c r="P119" s="9"/>
      <c r="Q119" s="2">
        <f>SUM(OSRRefD21_20_3x)+IFERROR(SUM(OSRRefE21_20_3x),0)</f>
        <v>6776.41</v>
      </c>
    </row>
    <row r="120" spans="1:17" s="34" customFormat="1" hidden="1" outlineLevel="1" x14ac:dyDescent="0.3">
      <c r="A120" s="35"/>
      <c r="B120" s="10" t="str">
        <f>CONCATENATE("          ","6243", " - ","PAPER SUPPLIES")</f>
        <v xml:space="preserve">          6243 - PAPER SUPPLIES</v>
      </c>
      <c r="C120" s="14"/>
      <c r="D120" s="2">
        <v>1649.24</v>
      </c>
      <c r="E120" s="2">
        <v>900</v>
      </c>
      <c r="F120" s="2">
        <v>7500</v>
      </c>
      <c r="G120" s="2">
        <v>3500</v>
      </c>
      <c r="H120" s="2">
        <v>1600</v>
      </c>
      <c r="I120" s="2">
        <v>1200</v>
      </c>
      <c r="J120" s="2">
        <v>7500</v>
      </c>
      <c r="K120" s="2">
        <v>3800</v>
      </c>
      <c r="L120" s="2">
        <v>150</v>
      </c>
      <c r="M120" s="2">
        <v>4200</v>
      </c>
      <c r="N120" s="2">
        <v>2800</v>
      </c>
      <c r="O120" s="2">
        <v>1250</v>
      </c>
      <c r="P120" s="9"/>
      <c r="Q120" s="2">
        <f>SUM(OSRRefD21_20_4x)+IFERROR(SUM(OSRRefE21_20_4x),0)</f>
        <v>36049.24</v>
      </c>
    </row>
    <row r="121" spans="1:17" s="34" customFormat="1" hidden="1" outlineLevel="1" x14ac:dyDescent="0.3">
      <c r="A121" s="35"/>
      <c r="B121" s="10" t="str">
        <f>CONCATENATE("          ","6245", " - ","PRINTING")</f>
        <v xml:space="preserve">          6245 - PRINTING</v>
      </c>
      <c r="C121" s="14"/>
      <c r="D121" s="2">
        <v>251.64</v>
      </c>
      <c r="E121" s="2">
        <v>30</v>
      </c>
      <c r="F121" s="2">
        <v>1600</v>
      </c>
      <c r="G121" s="2">
        <v>250</v>
      </c>
      <c r="H121" s="2">
        <v>80</v>
      </c>
      <c r="I121" s="2">
        <v>160</v>
      </c>
      <c r="J121" s="2">
        <v>3750</v>
      </c>
      <c r="K121" s="2">
        <v>1600</v>
      </c>
      <c r="L121" s="2">
        <v>500</v>
      </c>
      <c r="M121" s="2">
        <v>50</v>
      </c>
      <c r="N121" s="2">
        <v>2300</v>
      </c>
      <c r="O121" s="2">
        <v>50</v>
      </c>
      <c r="P121" s="9"/>
      <c r="Q121" s="2">
        <f>SUM(OSRRefD21_20_5x)+IFERROR(SUM(OSRRefE21_20_5x),0)</f>
        <v>10621.64</v>
      </c>
    </row>
    <row r="122" spans="1:17" s="34" customFormat="1" hidden="1" outlineLevel="1" x14ac:dyDescent="0.3">
      <c r="A122" s="35"/>
      <c r="B122" s="10" t="str">
        <f>CONCATENATE("          ","6247", " - ","STORE SUPPLIES")</f>
        <v xml:space="preserve">          6247 - STORE SUPPLIES</v>
      </c>
      <c r="C122" s="14"/>
      <c r="D122" s="2">
        <v>3850.88</v>
      </c>
      <c r="E122" s="2">
        <v>5475</v>
      </c>
      <c r="F122" s="2">
        <v>5575</v>
      </c>
      <c r="G122" s="2">
        <v>5675</v>
      </c>
      <c r="H122" s="2">
        <v>5475</v>
      </c>
      <c r="I122" s="2">
        <v>5525</v>
      </c>
      <c r="J122" s="2">
        <v>5875</v>
      </c>
      <c r="K122" s="2">
        <v>6775</v>
      </c>
      <c r="L122" s="2">
        <v>6175</v>
      </c>
      <c r="M122" s="2">
        <v>5825</v>
      </c>
      <c r="N122" s="2">
        <v>5875</v>
      </c>
      <c r="O122" s="2">
        <v>5475</v>
      </c>
      <c r="P122" s="9"/>
      <c r="Q122" s="2">
        <f>SUM(OSRRefD21_20_6x)+IFERROR(SUM(OSRRefE21_20_6x),0)</f>
        <v>67575.88</v>
      </c>
    </row>
    <row r="123" spans="1:17" s="34" customFormat="1" collapsed="1" x14ac:dyDescent="0.3">
      <c r="A123" s="35"/>
      <c r="B123" s="14" t="str">
        <f>CONCATENATE("     ","Telephone/Data Lines                              ")</f>
        <v xml:space="preserve">     Telephone/Data Lines                              </v>
      </c>
      <c r="C123" s="14"/>
      <c r="D123" s="1">
        <f>SUM(OSRRefD21_21x_0)</f>
        <v>1568.44</v>
      </c>
      <c r="E123" s="1">
        <f>SUM(OSRRefE21_21x_0)</f>
        <v>1985</v>
      </c>
      <c r="F123" s="1">
        <f>SUM(OSRRefE21_21x_1)</f>
        <v>1835</v>
      </c>
      <c r="G123" s="1">
        <f>SUM(OSRRefE21_21x_2)</f>
        <v>1735</v>
      </c>
      <c r="H123" s="1">
        <f>SUM(OSRRefE21_21x_3)</f>
        <v>1735</v>
      </c>
      <c r="I123" s="1">
        <f>SUM(OSRRefE21_21x_4)</f>
        <v>1885</v>
      </c>
      <c r="J123" s="1">
        <f>SUM(OSRRefE21_21x_5)</f>
        <v>1835</v>
      </c>
      <c r="K123" s="1">
        <f>SUM(OSRRefE21_21x_6)</f>
        <v>1735</v>
      </c>
      <c r="L123" s="1">
        <f>SUM(OSRRefE21_21x_7)</f>
        <v>1735</v>
      </c>
      <c r="M123" s="1">
        <f>SUM(OSRRefE21_21x_8)</f>
        <v>1735</v>
      </c>
      <c r="N123" s="1">
        <f>SUM(OSRRefE21_21x_9)</f>
        <v>1735</v>
      </c>
      <c r="O123" s="1">
        <f>SUM(OSRRefE21_21x_10)</f>
        <v>1735</v>
      </c>
      <c r="Q123" s="2">
        <f>SUM(OSRRefD20_21x)+IFERROR(SUM(OSRRefE20_21x),0)</f>
        <v>21253.439999999999</v>
      </c>
    </row>
    <row r="124" spans="1:17" s="34" customFormat="1" hidden="1" outlineLevel="1" x14ac:dyDescent="0.3">
      <c r="A124" s="35"/>
      <c r="B124" s="10" t="str">
        <f>CONCATENATE("          ","6303", " - ","DATA PHONE LINES")</f>
        <v xml:space="preserve">          6303 - DATA PHONE LINES</v>
      </c>
      <c r="C124" s="14"/>
      <c r="D124" s="2">
        <v>295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9"/>
      <c r="Q124" s="2">
        <f>SUM(OSRRefD21_21_0x)+IFERROR(SUM(OSRRefE21_21_0x),0)</f>
        <v>295</v>
      </c>
    </row>
    <row r="125" spans="1:17" s="34" customFormat="1" hidden="1" outlineLevel="1" x14ac:dyDescent="0.3">
      <c r="A125" s="35"/>
      <c r="B125" s="10" t="str">
        <f>CONCATENATE("          ","6309", " - ","TELEPHONE")</f>
        <v xml:space="preserve">          6309 - TELEPHONE</v>
      </c>
      <c r="C125" s="14"/>
      <c r="D125" s="2">
        <v>1273.44</v>
      </c>
      <c r="E125" s="2">
        <v>1985</v>
      </c>
      <c r="F125" s="2">
        <v>1835</v>
      </c>
      <c r="G125" s="2">
        <v>1735</v>
      </c>
      <c r="H125" s="2">
        <v>1735</v>
      </c>
      <c r="I125" s="2">
        <v>1885</v>
      </c>
      <c r="J125" s="2">
        <v>1835</v>
      </c>
      <c r="K125" s="2">
        <v>1735</v>
      </c>
      <c r="L125" s="2">
        <v>1735</v>
      </c>
      <c r="M125" s="2">
        <v>1735</v>
      </c>
      <c r="N125" s="2">
        <v>1735</v>
      </c>
      <c r="O125" s="2">
        <v>1735</v>
      </c>
      <c r="P125" s="9"/>
      <c r="Q125" s="2">
        <f>SUM(OSRRefD21_21_1x)+IFERROR(SUM(OSRRefE21_21_1x),0)</f>
        <v>20958.439999999999</v>
      </c>
    </row>
    <row r="126" spans="1:17" s="34" customFormat="1" collapsed="1" x14ac:dyDescent="0.3">
      <c r="A126" s="35"/>
      <c r="B126" s="14" t="str">
        <f>CONCATENATE("     ","Training                                          ")</f>
        <v xml:space="preserve">     Training                                          </v>
      </c>
      <c r="C126" s="14"/>
      <c r="D126" s="1">
        <f>SUM(OSRRefD21_22x_0)</f>
        <v>0</v>
      </c>
      <c r="E126" s="1">
        <f>SUM(OSRRefE21_22x_0)</f>
        <v>0</v>
      </c>
      <c r="F126" s="1">
        <f>SUM(OSRRefE21_22x_1)</f>
        <v>0</v>
      </c>
      <c r="G126" s="1">
        <f>SUM(OSRRefE21_22x_2)</f>
        <v>0</v>
      </c>
      <c r="H126" s="1">
        <f>SUM(OSRRefE21_22x_3)</f>
        <v>0</v>
      </c>
      <c r="I126" s="1">
        <f>SUM(OSRRefE21_22x_4)</f>
        <v>0</v>
      </c>
      <c r="J126" s="1">
        <f>SUM(OSRRefE21_22x_5)</f>
        <v>0</v>
      </c>
      <c r="K126" s="1">
        <f>SUM(OSRRefE21_22x_6)</f>
        <v>2000</v>
      </c>
      <c r="L126" s="1">
        <f>SUM(OSRRefE21_22x_7)</f>
        <v>0</v>
      </c>
      <c r="M126" s="1">
        <f>SUM(OSRRefE21_22x_8)</f>
        <v>0</v>
      </c>
      <c r="N126" s="1">
        <f>SUM(OSRRefE21_22x_9)</f>
        <v>0</v>
      </c>
      <c r="O126" s="1">
        <f>SUM(OSRRefE21_22x_10)</f>
        <v>0</v>
      </c>
      <c r="Q126" s="2">
        <f>SUM(OSRRefD20_22x)+IFERROR(SUM(OSRRefE20_22x),0)</f>
        <v>2000</v>
      </c>
    </row>
    <row r="127" spans="1:17" s="34" customFormat="1" hidden="1" outlineLevel="1" x14ac:dyDescent="0.3">
      <c r="A127" s="35"/>
      <c r="B127" s="10" t="str">
        <f>CONCATENATE("          ","6376", " - ","TRAINING")</f>
        <v xml:space="preserve">          6376 - TRAINING</v>
      </c>
      <c r="C127" s="14"/>
      <c r="D127" s="2"/>
      <c r="E127" s="2"/>
      <c r="F127" s="2"/>
      <c r="G127" s="2"/>
      <c r="H127" s="2">
        <v>0</v>
      </c>
      <c r="I127" s="2">
        <v>0</v>
      </c>
      <c r="J127" s="2">
        <v>0</v>
      </c>
      <c r="K127" s="2">
        <v>2000</v>
      </c>
      <c r="L127" s="2">
        <v>0</v>
      </c>
      <c r="M127" s="2">
        <v>0</v>
      </c>
      <c r="N127" s="2">
        <v>0</v>
      </c>
      <c r="O127" s="2"/>
      <c r="P127" s="9"/>
      <c r="Q127" s="2">
        <f>SUM(OSRRefD21_22_0x)+IFERROR(SUM(OSRRefE21_22_0x),0)</f>
        <v>2000</v>
      </c>
    </row>
    <row r="128" spans="1:17" s="34" customFormat="1" collapsed="1" x14ac:dyDescent="0.3">
      <c r="A128" s="35"/>
      <c r="B128" s="14" t="str">
        <f>CONCATENATE("     ","Travel                                            ")</f>
        <v xml:space="preserve">     Travel                                            </v>
      </c>
      <c r="C128" s="14"/>
      <c r="D128" s="1">
        <f>SUM(OSRRefD21_23x_0)</f>
        <v>683.14</v>
      </c>
      <c r="E128" s="1">
        <f>SUM(OSRRefE21_23x_0)</f>
        <v>175</v>
      </c>
      <c r="F128" s="1">
        <f>SUM(OSRRefE21_23x_1)</f>
        <v>175</v>
      </c>
      <c r="G128" s="1">
        <f>SUM(OSRRefE21_23x_2)</f>
        <v>175</v>
      </c>
      <c r="H128" s="1">
        <f>SUM(OSRRefE21_23x_3)</f>
        <v>250</v>
      </c>
      <c r="I128" s="1">
        <f>SUM(OSRRefE21_23x_4)</f>
        <v>350</v>
      </c>
      <c r="J128" s="1">
        <f>SUM(OSRRefE21_23x_5)</f>
        <v>175</v>
      </c>
      <c r="K128" s="1">
        <f>SUM(OSRRefE21_23x_6)</f>
        <v>175</v>
      </c>
      <c r="L128" s="1">
        <f>SUM(OSRRefE21_23x_7)</f>
        <v>175</v>
      </c>
      <c r="M128" s="1">
        <f>SUM(OSRRefE21_23x_8)</f>
        <v>175</v>
      </c>
      <c r="N128" s="1">
        <f>SUM(OSRRefE21_23x_9)</f>
        <v>175</v>
      </c>
      <c r="O128" s="1">
        <f>SUM(OSRRefE21_23x_10)</f>
        <v>175</v>
      </c>
      <c r="Q128" s="2">
        <f>SUM(OSRRefD20_23x)+IFERROR(SUM(OSRRefE20_23x),0)</f>
        <v>2858.14</v>
      </c>
    </row>
    <row r="129" spans="1:17" s="34" customFormat="1" hidden="1" outlineLevel="1" x14ac:dyDescent="0.3">
      <c r="A129" s="35"/>
      <c r="B129" s="10" t="str">
        <f>CONCATENATE("          ","6292", " - ","TRAVEL/CONFERENCE")</f>
        <v xml:space="preserve">          6292 - TRAVEL/CONFERENCE</v>
      </c>
      <c r="C129" s="14"/>
      <c r="D129" s="2">
        <v>495</v>
      </c>
      <c r="E129" s="2">
        <v>125</v>
      </c>
      <c r="F129" s="2">
        <v>125</v>
      </c>
      <c r="G129" s="2">
        <v>125</v>
      </c>
      <c r="H129" s="2">
        <v>125</v>
      </c>
      <c r="I129" s="2">
        <v>125</v>
      </c>
      <c r="J129" s="2">
        <v>125</v>
      </c>
      <c r="K129" s="2">
        <v>125</v>
      </c>
      <c r="L129" s="2">
        <v>125</v>
      </c>
      <c r="M129" s="2">
        <v>125</v>
      </c>
      <c r="N129" s="2">
        <v>125</v>
      </c>
      <c r="O129" s="2">
        <v>125</v>
      </c>
      <c r="P129" s="9"/>
      <c r="Q129" s="2">
        <f>SUM(OSRRefD21_23_0x)+IFERROR(SUM(OSRRefE21_23_0x),0)</f>
        <v>1870</v>
      </c>
    </row>
    <row r="130" spans="1:17" s="34" customFormat="1" hidden="1" outlineLevel="1" x14ac:dyDescent="0.3">
      <c r="A130" s="35"/>
      <c r="B130" s="10" t="str">
        <f>CONCATENATE("          ","6294", " - ","TRAVEL OPERATIONAL")</f>
        <v xml:space="preserve">          6294 - TRAVEL OPERATIONAL</v>
      </c>
      <c r="C130" s="14"/>
      <c r="D130" s="2">
        <v>188.14</v>
      </c>
      <c r="E130" s="2">
        <v>25</v>
      </c>
      <c r="F130" s="2">
        <v>25</v>
      </c>
      <c r="G130" s="2">
        <v>25</v>
      </c>
      <c r="H130" s="2">
        <v>25</v>
      </c>
      <c r="I130" s="2">
        <v>25</v>
      </c>
      <c r="J130" s="2">
        <v>25</v>
      </c>
      <c r="K130" s="2">
        <v>25</v>
      </c>
      <c r="L130" s="2">
        <v>25</v>
      </c>
      <c r="M130" s="2">
        <v>25</v>
      </c>
      <c r="N130" s="2">
        <v>25</v>
      </c>
      <c r="O130" s="2">
        <v>25</v>
      </c>
      <c r="P130" s="9"/>
      <c r="Q130" s="2">
        <f>SUM(OSRRefD21_23_1x)+IFERROR(SUM(OSRRefE21_23_1x),0)</f>
        <v>463.14</v>
      </c>
    </row>
    <row r="131" spans="1:17" s="34" customFormat="1" hidden="1" outlineLevel="1" x14ac:dyDescent="0.3">
      <c r="A131" s="35"/>
      <c r="B131" s="10" t="str">
        <f>CONCATENATE("          ","6298", " - ","VEHICLE MILEAGE")</f>
        <v xml:space="preserve">          6298 - VEHICLE MILEAGE</v>
      </c>
      <c r="C131" s="14"/>
      <c r="D131" s="2"/>
      <c r="E131" s="2">
        <v>25</v>
      </c>
      <c r="F131" s="2">
        <v>25</v>
      </c>
      <c r="G131" s="2">
        <v>25</v>
      </c>
      <c r="H131" s="2">
        <v>100</v>
      </c>
      <c r="I131" s="2">
        <v>200</v>
      </c>
      <c r="J131" s="2">
        <v>25</v>
      </c>
      <c r="K131" s="2">
        <v>25</v>
      </c>
      <c r="L131" s="2">
        <v>25</v>
      </c>
      <c r="M131" s="2">
        <v>25</v>
      </c>
      <c r="N131" s="2">
        <v>25</v>
      </c>
      <c r="O131" s="2">
        <v>25</v>
      </c>
      <c r="P131" s="9"/>
      <c r="Q131" s="2">
        <f>SUM(OSRRefD21_23_2x)+IFERROR(SUM(OSRRefE21_23_2x),0)</f>
        <v>525</v>
      </c>
    </row>
    <row r="132" spans="1:17" s="34" customFormat="1" collapsed="1" x14ac:dyDescent="0.3">
      <c r="A132" s="35"/>
      <c r="B132" s="14" t="str">
        <f>CONCATENATE("     ","Utilities                                         ")</f>
        <v xml:space="preserve">     Utilities                                         </v>
      </c>
      <c r="C132" s="14"/>
      <c r="D132" s="1">
        <f>SUM(OSRRefD21_24x_0)</f>
        <v>6036.49</v>
      </c>
      <c r="E132" s="1">
        <f>SUM(OSRRefE21_24x_0)</f>
        <v>6120</v>
      </c>
      <c r="F132" s="1">
        <f>SUM(OSRRefE21_24x_1)</f>
        <v>6120</v>
      </c>
      <c r="G132" s="1">
        <f>SUM(OSRRefE21_24x_2)</f>
        <v>6120</v>
      </c>
      <c r="H132" s="1">
        <f>SUM(OSRRefE21_24x_3)</f>
        <v>6120</v>
      </c>
      <c r="I132" s="1">
        <f>SUM(OSRRefE21_24x_4)</f>
        <v>6120</v>
      </c>
      <c r="J132" s="1">
        <f>SUM(OSRRefE21_24x_5)</f>
        <v>6120</v>
      </c>
      <c r="K132" s="1">
        <f>SUM(OSRRefE21_24x_6)</f>
        <v>8800</v>
      </c>
      <c r="L132" s="1">
        <f>SUM(OSRRefE21_24x_7)</f>
        <v>6120</v>
      </c>
      <c r="M132" s="1">
        <f>SUM(OSRRefE21_24x_8)</f>
        <v>6120</v>
      </c>
      <c r="N132" s="1">
        <f>SUM(OSRRefE21_24x_9)</f>
        <v>6120</v>
      </c>
      <c r="O132" s="1">
        <f>SUM(OSRRefE21_24x_10)</f>
        <v>6120</v>
      </c>
      <c r="Q132" s="2">
        <f>SUM(OSRRefD20_24x)+IFERROR(SUM(OSRRefE20_24x),0)</f>
        <v>76036.490000000005</v>
      </c>
    </row>
    <row r="133" spans="1:17" s="34" customFormat="1" hidden="1" outlineLevel="1" x14ac:dyDescent="0.3">
      <c r="A133" s="35"/>
      <c r="B133" s="10" t="str">
        <f>CONCATENATE("          ","6274", " - ","UTILITIES")</f>
        <v xml:space="preserve">          6274 - UTILITIES</v>
      </c>
      <c r="C133" s="14"/>
      <c r="D133" s="2">
        <v>6036.49</v>
      </c>
      <c r="E133" s="2">
        <v>6120</v>
      </c>
      <c r="F133" s="2">
        <v>6120</v>
      </c>
      <c r="G133" s="2">
        <v>6120</v>
      </c>
      <c r="H133" s="2">
        <v>6120</v>
      </c>
      <c r="I133" s="2">
        <v>6120</v>
      </c>
      <c r="J133" s="2">
        <v>6120</v>
      </c>
      <c r="K133" s="2">
        <v>8800</v>
      </c>
      <c r="L133" s="2">
        <v>6120</v>
      </c>
      <c r="M133" s="2">
        <v>6120</v>
      </c>
      <c r="N133" s="2">
        <v>6120</v>
      </c>
      <c r="O133" s="2">
        <v>6120</v>
      </c>
      <c r="P133" s="9"/>
      <c r="Q133" s="2">
        <f>SUM(OSRRefD21_24_0x)+IFERROR(SUM(OSRRefE21_24_0x),0)</f>
        <v>76036.490000000005</v>
      </c>
    </row>
    <row r="134" spans="1:17" s="28" customFormat="1" x14ac:dyDescent="0.3">
      <c r="A134" s="21"/>
      <c r="B134" s="21"/>
      <c r="C134" s="2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Q134" s="1"/>
    </row>
    <row r="135" spans="1:17" s="9" customFormat="1" x14ac:dyDescent="0.3">
      <c r="A135" s="22"/>
      <c r="B135" s="16" t="s">
        <v>293</v>
      </c>
      <c r="C135" s="23"/>
      <c r="D135" s="3">
        <f>--39640.85</f>
        <v>39640.85</v>
      </c>
      <c r="E135" s="3">
        <v>53166</v>
      </c>
      <c r="F135" s="3">
        <v>181128.5</v>
      </c>
      <c r="G135" s="3">
        <v>29265</v>
      </c>
      <c r="H135" s="3">
        <v>51277</v>
      </c>
      <c r="I135" s="3">
        <v>65715</v>
      </c>
      <c r="J135" s="3">
        <v>27724.33</v>
      </c>
      <c r="K135" s="3">
        <v>212602.4</v>
      </c>
      <c r="L135" s="3">
        <v>62092</v>
      </c>
      <c r="M135" s="3">
        <v>32626</v>
      </c>
      <c r="N135" s="3">
        <v>302754</v>
      </c>
      <c r="O135" s="3">
        <v>219676</v>
      </c>
      <c r="Q135" s="2">
        <f>SUM(OSRRefD23_0x)+IFERROR(SUM(OSRRefE23_0x),0)</f>
        <v>1277667.08</v>
      </c>
    </row>
    <row r="136" spans="1:17" x14ac:dyDescent="0.3">
      <c r="A136" s="5"/>
      <c r="B136" s="6"/>
      <c r="C136" s="6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Q136" s="3"/>
    </row>
    <row r="137" spans="1:17" s="15" customFormat="1" x14ac:dyDescent="0.3">
      <c r="A137" s="6"/>
      <c r="B137" s="17" t="s">
        <v>276</v>
      </c>
      <c r="C137" s="17"/>
      <c r="D137" s="8">
        <f t="shared" ref="D137:O137" si="2">IFERROR(+D40-D43+D135, 0)</f>
        <v>-230712.69999999992</v>
      </c>
      <c r="E137" s="8">
        <f t="shared" si="2"/>
        <v>586268.98764827941</v>
      </c>
      <c r="F137" s="8">
        <f t="shared" si="2"/>
        <v>184110.99153308722</v>
      </c>
      <c r="G137" s="8">
        <f t="shared" si="2"/>
        <v>-147169.28318075638</v>
      </c>
      <c r="H137" s="8">
        <f t="shared" si="2"/>
        <v>-101423.99384960509</v>
      </c>
      <c r="I137" s="8">
        <f t="shared" si="2"/>
        <v>-28589.77469460509</v>
      </c>
      <c r="J137" s="8">
        <f t="shared" si="2"/>
        <v>272308.66774574365</v>
      </c>
      <c r="K137" s="8">
        <f t="shared" si="2"/>
        <v>139834.29928374491</v>
      </c>
      <c r="L137" s="8">
        <f t="shared" si="2"/>
        <v>-13103.619177755085</v>
      </c>
      <c r="M137" s="8">
        <f t="shared" si="2"/>
        <v>-97982.956390756415</v>
      </c>
      <c r="N137" s="8">
        <f t="shared" si="2"/>
        <v>219904.19896724494</v>
      </c>
      <c r="O137" s="8">
        <f t="shared" si="2"/>
        <v>74892.793733594939</v>
      </c>
      <c r="Q137" s="8">
        <f>IFERROR(+Q40-Q43+Q135, 0)</f>
        <v>858337.61161821662</v>
      </c>
    </row>
    <row r="138" spans="1:17" s="6" customFormat="1" x14ac:dyDescent="0.3">
      <c r="B138" s="16"/>
      <c r="C138" s="16"/>
      <c r="D138" s="4">
        <f t="shared" ref="D138:O138" si="3">IFERROR(D137/D10, 0)</f>
        <v>-1.046324546293389</v>
      </c>
      <c r="E138" s="4">
        <f t="shared" si="3"/>
        <v>0.21386983989311392</v>
      </c>
      <c r="F138" s="4">
        <f t="shared" si="3"/>
        <v>0.22490437130470611</v>
      </c>
      <c r="G138" s="4">
        <f t="shared" si="3"/>
        <v>-0.38467282440870709</v>
      </c>
      <c r="H138" s="4">
        <f t="shared" si="3"/>
        <v>-0.38016415101617412</v>
      </c>
      <c r="I138" s="4">
        <f t="shared" si="3"/>
        <v>-6.9022582065105031E-2</v>
      </c>
      <c r="J138" s="4">
        <f t="shared" si="3"/>
        <v>0.13654800176195153</v>
      </c>
      <c r="K138" s="4">
        <f t="shared" si="3"/>
        <v>0.25525499027739834</v>
      </c>
      <c r="L138" s="4">
        <f t="shared" si="3"/>
        <v>-3.6333441040333078E-2</v>
      </c>
      <c r="M138" s="4">
        <f t="shared" si="3"/>
        <v>-0.27746050141517126</v>
      </c>
      <c r="N138" s="4">
        <f t="shared" si="3"/>
        <v>0.57805787557205335</v>
      </c>
      <c r="O138" s="4">
        <f t="shared" si="3"/>
        <v>0.26326669736741343</v>
      </c>
      <c r="P138" s="18"/>
      <c r="Q138" s="4">
        <f>IFERROR(Q137/Q10, 0)</f>
        <v>9.7931401284531316E-2</v>
      </c>
    </row>
    <row r="139" spans="1:17" x14ac:dyDescent="0.3">
      <c r="A139" s="5"/>
      <c r="B139" s="6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Q139" s="3"/>
    </row>
    <row r="140" spans="1:17" s="15" customFormat="1" x14ac:dyDescent="0.3">
      <c r="A140" s="25"/>
      <c r="B140" s="6" t="s">
        <v>125</v>
      </c>
      <c r="C140" s="6"/>
      <c r="D140" s="3">
        <v>101869.27</v>
      </c>
      <c r="E140" s="3">
        <v>224393</v>
      </c>
      <c r="F140" s="3">
        <v>78418</v>
      </c>
      <c r="G140" s="3">
        <v>68914</v>
      </c>
      <c r="H140" s="3">
        <v>76172</v>
      </c>
      <c r="I140" s="3">
        <v>73868</v>
      </c>
      <c r="J140" s="3">
        <v>229190</v>
      </c>
      <c r="K140" s="3">
        <v>45787</v>
      </c>
      <c r="L140" s="3">
        <v>40427</v>
      </c>
      <c r="M140" s="3">
        <v>53128</v>
      </c>
      <c r="N140" s="3">
        <v>54939</v>
      </c>
      <c r="O140" s="3">
        <v>-58524</v>
      </c>
      <c r="Q140" s="2">
        <f>SUM(OSRRefD28_0x)+IFERROR(SUM(OSRRefE28_0x),0)</f>
        <v>988581.27</v>
      </c>
    </row>
    <row r="141" spans="1:17" x14ac:dyDescent="0.3">
      <c r="A141" s="5"/>
      <c r="B141" s="6"/>
      <c r="C141" s="6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Q141" s="3"/>
    </row>
    <row r="142" spans="1:17" s="15" customFormat="1" ht="15" thickBot="1" x14ac:dyDescent="0.35">
      <c r="A142" s="6"/>
      <c r="B142" s="17" t="s">
        <v>124</v>
      </c>
      <c r="C142" s="17"/>
      <c r="D142" s="7">
        <f t="shared" ref="D142:O142" si="4">IFERROR(+D137-D140, 0)</f>
        <v>-332581.96999999991</v>
      </c>
      <c r="E142" s="7">
        <f t="shared" si="4"/>
        <v>361875.98764827941</v>
      </c>
      <c r="F142" s="7">
        <f t="shared" si="4"/>
        <v>105692.99153308722</v>
      </c>
      <c r="G142" s="7">
        <f t="shared" si="4"/>
        <v>-216083.28318075638</v>
      </c>
      <c r="H142" s="7">
        <f t="shared" si="4"/>
        <v>-177595.99384960509</v>
      </c>
      <c r="I142" s="7">
        <f t="shared" si="4"/>
        <v>-102457.77469460509</v>
      </c>
      <c r="J142" s="7">
        <f t="shared" si="4"/>
        <v>43118.667745743645</v>
      </c>
      <c r="K142" s="7">
        <f t="shared" si="4"/>
        <v>94047.299283744913</v>
      </c>
      <c r="L142" s="7">
        <f t="shared" si="4"/>
        <v>-53530.619177755085</v>
      </c>
      <c r="M142" s="7">
        <f t="shared" si="4"/>
        <v>-151110.95639075642</v>
      </c>
      <c r="N142" s="7">
        <f t="shared" si="4"/>
        <v>164965.19896724494</v>
      </c>
      <c r="O142" s="7">
        <f t="shared" si="4"/>
        <v>133416.79373359494</v>
      </c>
      <c r="Q142" s="7">
        <f>IFERROR(+Q137-Q140, 0)</f>
        <v>-130243.6583817834</v>
      </c>
    </row>
    <row r="143" spans="1:17" ht="15" thickTop="1" x14ac:dyDescent="0.3">
      <c r="A143" s="5"/>
      <c r="B143" s="5"/>
      <c r="C143" s="5"/>
      <c r="D143" s="4">
        <f t="shared" ref="D143:O143" si="5">IFERROR(D142/D10, 0)</f>
        <v>-1.5083204299789807</v>
      </c>
      <c r="E143" s="4">
        <f t="shared" si="5"/>
        <v>0.13201168946349115</v>
      </c>
      <c r="F143" s="4">
        <f t="shared" si="5"/>
        <v>0.12911133449515247</v>
      </c>
      <c r="G143" s="4">
        <f t="shared" si="5"/>
        <v>-0.56480105802075986</v>
      </c>
      <c r="H143" s="4">
        <f t="shared" si="5"/>
        <v>-0.66567710127667867</v>
      </c>
      <c r="I143" s="4">
        <f t="shared" si="5"/>
        <v>-0.2473576737700173</v>
      </c>
      <c r="J143" s="4">
        <f t="shared" si="5"/>
        <v>2.1621669145016908E-2</v>
      </c>
      <c r="K143" s="4">
        <f t="shared" si="5"/>
        <v>0.17167492229911341</v>
      </c>
      <c r="L143" s="4">
        <f t="shared" si="5"/>
        <v>-0.14842858063589554</v>
      </c>
      <c r="M143" s="4">
        <f t="shared" si="5"/>
        <v>-0.42790423226565066</v>
      </c>
      <c r="N143" s="4">
        <f t="shared" si="5"/>
        <v>0.43364079861217486</v>
      </c>
      <c r="O143" s="4">
        <f t="shared" si="5"/>
        <v>0.46899303535844955</v>
      </c>
      <c r="P143" s="18"/>
      <c r="Q143" s="4">
        <f>IFERROR(Q142/Q10, 0)</f>
        <v>-1.4860054832858894E-2</v>
      </c>
    </row>
    <row r="144" spans="1:17" x14ac:dyDescent="0.3">
      <c r="A144" s="5"/>
      <c r="B144" s="5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Q144" s="3"/>
    </row>
    <row r="145" spans="1:17" x14ac:dyDescent="0.3">
      <c r="A145" s="5"/>
      <c r="B145" s="5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3"/>
    </row>
    <row r="146" spans="1:17" s="15" customFormat="1" ht="15" thickBot="1" x14ac:dyDescent="0.35">
      <c r="A146" s="6"/>
      <c r="B146" s="17" t="s">
        <v>294</v>
      </c>
      <c r="C146" s="17"/>
      <c r="D146" s="7">
        <f t="shared" ref="D146:O146" si="6">IFERROR(SUM(D142:D145), 0)</f>
        <v>-332583.47832042992</v>
      </c>
      <c r="E146" s="7">
        <f t="shared" si="6"/>
        <v>361876.11965996888</v>
      </c>
      <c r="F146" s="7">
        <f t="shared" si="6"/>
        <v>105693.12064442171</v>
      </c>
      <c r="G146" s="7">
        <f t="shared" si="6"/>
        <v>-216083.84798181441</v>
      </c>
      <c r="H146" s="7">
        <f t="shared" si="6"/>
        <v>-177596.65952670635</v>
      </c>
      <c r="I146" s="7">
        <f t="shared" si="6"/>
        <v>-102458.02205227886</v>
      </c>
      <c r="J146" s="7">
        <f t="shared" si="6"/>
        <v>43118.689367412793</v>
      </c>
      <c r="K146" s="7">
        <f t="shared" si="6"/>
        <v>94047.470958667211</v>
      </c>
      <c r="L146" s="7">
        <f t="shared" si="6"/>
        <v>-53530.767606335721</v>
      </c>
      <c r="M146" s="7">
        <f t="shared" si="6"/>
        <v>-151111.38429498867</v>
      </c>
      <c r="N146" s="7">
        <f t="shared" si="6"/>
        <v>164965.63260804355</v>
      </c>
      <c r="O146" s="7">
        <f t="shared" si="6"/>
        <v>133417.26272663029</v>
      </c>
      <c r="Q146" s="7">
        <f>IFERROR(SUM(Q142:Q145), 0)</f>
        <v>-130243.67324183823</v>
      </c>
    </row>
    <row r="147" spans="1:17" ht="15" thickTop="1" x14ac:dyDescent="0.3">
      <c r="A147" s="5"/>
      <c r="C147" s="5"/>
      <c r="D147" s="4">
        <f t="shared" ref="D147:O147" si="7">IFERROR(D146/D10, 0)</f>
        <v>-1.508327270489666</v>
      </c>
      <c r="E147" s="4">
        <f t="shared" si="7"/>
        <v>0.13201173762111076</v>
      </c>
      <c r="F147" s="4">
        <f t="shared" si="7"/>
        <v>0.12911149221362039</v>
      </c>
      <c r="G147" s="4">
        <f t="shared" si="7"/>
        <v>-0.56480253430448923</v>
      </c>
      <c r="H147" s="4">
        <f t="shared" si="7"/>
        <v>-0.66567959641180841</v>
      </c>
      <c r="I147" s="4">
        <f t="shared" si="7"/>
        <v>-0.24735827095084573</v>
      </c>
      <c r="J147" s="4">
        <f t="shared" si="7"/>
        <v>2.1621679987109232E-2</v>
      </c>
      <c r="K147" s="4">
        <f t="shared" si="7"/>
        <v>0.17167523567630949</v>
      </c>
      <c r="L147" s="4">
        <f t="shared" si="7"/>
        <v>-0.1484289921955578</v>
      </c>
      <c r="M147" s="4">
        <f t="shared" si="7"/>
        <v>-0.42790544397151481</v>
      </c>
      <c r="N147" s="4">
        <f t="shared" si="7"/>
        <v>0.43364193851527805</v>
      </c>
      <c r="O147" s="4">
        <f t="shared" si="7"/>
        <v>0.46899468398499089</v>
      </c>
      <c r="P147" s="18"/>
      <c r="Q147" s="4">
        <f>IFERROR(Q146/Q10, 0)</f>
        <v>-1.4860056528305968E-2</v>
      </c>
    </row>
    <row r="148" spans="1:17" x14ac:dyDescent="0.3">
      <c r="A148" s="5"/>
      <c r="B148" s="30">
        <v>44462.678381678241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Q148" s="11"/>
    </row>
    <row r="149" spans="1:17" x14ac:dyDescent="0.3">
      <c r="A149" s="5"/>
      <c r="B149" s="31" t="s">
        <v>54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Q149" s="11"/>
    </row>
    <row r="150" spans="1:17" x14ac:dyDescent="0.3">
      <c r="A150" s="5"/>
      <c r="B150" s="2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Q150" s="11"/>
    </row>
    <row r="151" spans="1:17" x14ac:dyDescent="0.3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Q15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136</v>
      </c>
    </row>
    <row r="4" spans="1:8" x14ac:dyDescent="0.3">
      <c r="B4" s="33" t="s">
        <v>200</v>
      </c>
    </row>
    <row r="5" spans="1:8" ht="15" customHeight="1" x14ac:dyDescent="0.3">
      <c r="A5" s="15"/>
      <c r="B5" s="15" t="s">
        <v>312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F12" s="24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0" t="e">
        <f ca="1">_xll.OneStop.ReportPlayer.OSRFunctions.OSRGet("GL_F_Trans","Value1")</f>
        <v>#NAME?</v>
      </c>
      <c r="E21" s="20" t="e">
        <f ca="1">_xll.OneStop.ReportPlayer.OSRFunctions.OSRGet("GL_F_Trans","Value1")</f>
        <v>#NAME?</v>
      </c>
      <c r="F21" s="36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F23" s="24"/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F28" s="24"/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s="6" customFormat="1" ht="15" thickTop="1" x14ac:dyDescent="0.3">
      <c r="B31" s="16"/>
      <c r="C31" s="16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F33" s="24"/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F34" s="24"/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  <outlinePr summaryBelow="0" summaryRight="0"/>
    <pageSetUpPr fitToPage="1"/>
  </sheetPr>
  <dimension ref="A2:R157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313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315804.52</v>
      </c>
      <c r="E10" s="3">
        <f>SUM(OSRRefE11x_0)</f>
        <v>3117379</v>
      </c>
      <c r="F10" s="3">
        <f>SUM(OSRRefE11x_1)</f>
        <v>1058864</v>
      </c>
      <c r="G10" s="3">
        <f>SUM(OSRRefE11x_2)</f>
        <v>492253</v>
      </c>
      <c r="H10" s="3">
        <f>SUM(OSRRefE11x_3)</f>
        <v>387150</v>
      </c>
      <c r="I10" s="3">
        <f>SUM(OSRRefE11x_4)</f>
        <v>477582</v>
      </c>
      <c r="J10" s="3">
        <f>SUM(OSRRefE11x_5)</f>
        <v>2177091</v>
      </c>
      <c r="K10" s="3">
        <f>SUM(OSRRefE11x_6)</f>
        <v>654520</v>
      </c>
      <c r="L10" s="3">
        <f>SUM(OSRRefE11x_7)</f>
        <v>469219</v>
      </c>
      <c r="M10" s="3">
        <f>SUM(OSRRefE11x_8)</f>
        <v>559372</v>
      </c>
      <c r="N10" s="3">
        <f>SUM(OSRRefE11x_9)</f>
        <v>768349</v>
      </c>
      <c r="O10" s="3">
        <f>SUM(OSRRefE11x_10)</f>
        <v>390811</v>
      </c>
      <c r="P10" s="24"/>
      <c r="Q10" s="3">
        <f>SUM(OSRRefG11x)</f>
        <v>10868394.519999998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--270004.59</f>
        <v>270004.59000000003</v>
      </c>
      <c r="E11" s="2">
        <v>3082022</v>
      </c>
      <c r="F11" s="2">
        <v>1005788</v>
      </c>
      <c r="G11" s="2">
        <v>434852</v>
      </c>
      <c r="H11" s="2">
        <v>350152</v>
      </c>
      <c r="I11" s="2">
        <v>447812</v>
      </c>
      <c r="J11" s="2">
        <v>2133438</v>
      </c>
      <c r="K11" s="2">
        <v>589408</v>
      </c>
      <c r="L11" s="2">
        <v>400504</v>
      </c>
      <c r="M11" s="2">
        <v>494286</v>
      </c>
      <c r="N11" s="2">
        <v>718236</v>
      </c>
      <c r="O11" s="2">
        <v>385106</v>
      </c>
      <c r="Q11" s="2">
        <f>SUM(OSRRefD11_0x)+IFERROR(SUM(OSRRefE11_0x),0)</f>
        <v>10311608.59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--80066.52</f>
        <v>80066.52</v>
      </c>
      <c r="E12" s="2">
        <v>35357</v>
      </c>
      <c r="F12" s="2">
        <v>53076</v>
      </c>
      <c r="G12" s="2">
        <v>57401</v>
      </c>
      <c r="H12" s="2">
        <v>36998</v>
      </c>
      <c r="I12" s="2">
        <v>29770</v>
      </c>
      <c r="J12" s="2">
        <v>43653</v>
      </c>
      <c r="K12" s="2">
        <v>65112</v>
      </c>
      <c r="L12" s="2">
        <v>68715</v>
      </c>
      <c r="M12" s="2">
        <v>65086</v>
      </c>
      <c r="N12" s="2">
        <v>50113</v>
      </c>
      <c r="O12" s="2">
        <v>5705</v>
      </c>
      <c r="Q12" s="2">
        <f>SUM(OSRRefD11_1x)+IFERROR(SUM(OSRRefE11_1x),0)</f>
        <v>591052.52</v>
      </c>
    </row>
    <row r="13" spans="1:18" s="9" customFormat="1" hidden="1" outlineLevel="1" x14ac:dyDescent="0.3">
      <c r="A13" s="22"/>
      <c r="B13" s="10" t="str">
        <f>CONCATENATE("          ","4146", " - ","NON-TAXABLE SALES-COIN OP MACH")</f>
        <v xml:space="preserve">          4146 - NON-TAXABLE SALES-COIN OP MACH</v>
      </c>
      <c r="C13" s="23"/>
      <c r="D13" s="2">
        <f>--20.2</f>
        <v>20.2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20.2</v>
      </c>
    </row>
    <row r="14" spans="1:18" s="9" customFormat="1" hidden="1" outlineLevel="1" x14ac:dyDescent="0.3">
      <c r="A14" s="22"/>
      <c r="B14" s="10" t="str">
        <f>CONCATENATE("          ","4200", " - ","TAXABLE RETURNS")</f>
        <v xml:space="preserve">          4200 - TAXABLE RETURNS</v>
      </c>
      <c r="C14" s="23"/>
      <c r="D14" s="2">
        <f>-32785.21</f>
        <v>-32785.21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-32785.21</v>
      </c>
    </row>
    <row r="15" spans="1:18" s="9" customFormat="1" hidden="1" outlineLevel="1" x14ac:dyDescent="0.3">
      <c r="A15" s="22"/>
      <c r="B15" s="10" t="str">
        <f>CONCATENATE("          ","4300", " - ","NON-TAX RETURNS")</f>
        <v xml:space="preserve">          4300 - NON-TAX RETURNS</v>
      </c>
      <c r="C15" s="23"/>
      <c r="D15" s="2">
        <f>-1501.58</f>
        <v>-1501.58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>
        <f>SUM(OSRRefD11_4x)+IFERROR(SUM(OSRRefE11_4x),0)</f>
        <v>-1501.58</v>
      </c>
    </row>
    <row r="16" spans="1:18" x14ac:dyDescent="0.3">
      <c r="A16" s="5"/>
      <c r="B16" s="6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9" customFormat="1" collapsed="1" x14ac:dyDescent="0.3">
      <c r="A17" s="22"/>
      <c r="B17" s="16" t="s">
        <v>218</v>
      </c>
      <c r="C17" s="23"/>
      <c r="D17" s="3">
        <f>SUM(OSRRefD14x_0)</f>
        <v>209792.91000000003</v>
      </c>
      <c r="E17" s="3">
        <f>SUM(OSRRefE14x_0)</f>
        <v>2192065</v>
      </c>
      <c r="F17" s="3">
        <f>SUM(OSRRefE14x_1)</f>
        <v>717196</v>
      </c>
      <c r="G17" s="3">
        <f>SUM(OSRRefE14x_2)</f>
        <v>286879</v>
      </c>
      <c r="H17" s="3">
        <f>SUM(OSRRefE14x_3)</f>
        <v>240126</v>
      </c>
      <c r="I17" s="3">
        <f>SUM(OSRRefE14x_4)</f>
        <v>269777</v>
      </c>
      <c r="J17" s="3">
        <f>SUM(OSRRefE14x_5)</f>
        <v>1475789</v>
      </c>
      <c r="K17" s="3">
        <f>SUM(OSRRefE14x_6)</f>
        <v>393612</v>
      </c>
      <c r="L17" s="3">
        <f>SUM(OSRRefE14x_7)</f>
        <v>255734</v>
      </c>
      <c r="M17" s="3">
        <f>SUM(OSRRefE14x_8)</f>
        <v>341473</v>
      </c>
      <c r="N17" s="3">
        <f>SUM(OSRRefE14x_9)</f>
        <v>526049</v>
      </c>
      <c r="O17" s="3">
        <f>SUM(OSRRefE14x_10)</f>
        <v>245688</v>
      </c>
      <c r="Q17" s="3">
        <f>SUM(OSRRefG14x)</f>
        <v>7154180.9099999992</v>
      </c>
    </row>
    <row r="18" spans="1:17" s="9" customFormat="1" hidden="1" outlineLevel="1" x14ac:dyDescent="0.3">
      <c r="A18" s="22"/>
      <c r="B18" s="10" t="str">
        <f>CONCATENATE("          ","5000", " - ","PURCHASES @ COST")</f>
        <v xml:space="preserve">          5000 - PURCHASES @ COST</v>
      </c>
      <c r="C18" s="23"/>
      <c r="D18" s="2">
        <v>442136.21</v>
      </c>
      <c r="E18" s="2">
        <v>2192065</v>
      </c>
      <c r="F18" s="2">
        <v>717196</v>
      </c>
      <c r="G18" s="2">
        <v>286879</v>
      </c>
      <c r="H18" s="2">
        <v>240126</v>
      </c>
      <c r="I18" s="2">
        <v>269777</v>
      </c>
      <c r="J18" s="2">
        <v>1475789</v>
      </c>
      <c r="K18" s="2">
        <v>393612</v>
      </c>
      <c r="L18" s="2">
        <v>255734</v>
      </c>
      <c r="M18" s="2">
        <v>341473</v>
      </c>
      <c r="N18" s="2">
        <v>526049</v>
      </c>
      <c r="O18" s="2">
        <v>245688</v>
      </c>
      <c r="Q18" s="2">
        <f>SUM(OSRRefD14_0x)+IFERROR(SUM(OSRRefE14_0x),0)</f>
        <v>7386524.21</v>
      </c>
    </row>
    <row r="19" spans="1:17" s="9" customFormat="1" hidden="1" outlineLevel="1" x14ac:dyDescent="0.3">
      <c r="A19" s="22"/>
      <c r="B19" s="10" t="str">
        <f>CONCATENATE("          ","5001", " - ","PURCHASES @ COST-NEW TEXT")</f>
        <v xml:space="preserve">          5001 - PURCHASES @ COST-NEW TEXT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SUM(OSRRefD14_1x)+IFERROR(SUM(OSRRefE14_1x),0)</f>
        <v>0</v>
      </c>
    </row>
    <row r="20" spans="1:17" s="9" customFormat="1" hidden="1" outlineLevel="1" x14ac:dyDescent="0.3">
      <c r="A20" s="22"/>
      <c r="B20" s="10" t="str">
        <f>CONCATENATE("          ","5002", " - ","PURCHASES @ COST-USED TEXT")</f>
        <v xml:space="preserve">          5002 - PURCHASES @ COST-USED TEXT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SUM(OSRRefD14_2x)+IFERROR(SUM(OSRRefE14_2x),0)</f>
        <v>0</v>
      </c>
    </row>
    <row r="21" spans="1:17" s="9" customFormat="1" hidden="1" outlineLevel="1" x14ac:dyDescent="0.3">
      <c r="A21" s="22"/>
      <c r="B21" s="10" t="str">
        <f>CONCATENATE("          ","5004", " - ","PURCHASES @ COST-DIGITAL TEXT")</f>
        <v xml:space="preserve">          5004 - PURCHASES @ COST-DIGITAL TEXT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SUM(OSRRefD14_3x)+IFERROR(SUM(OSRRefE14_3x),0)</f>
        <v>0</v>
      </c>
    </row>
    <row r="22" spans="1:17" s="9" customFormat="1" hidden="1" outlineLevel="1" x14ac:dyDescent="0.3">
      <c r="A22" s="22"/>
      <c r="B22" s="10" t="str">
        <f>CONCATENATE("          ","5040", " - ","PURCHASES @ COST-LOGO CLOTHING")</f>
        <v xml:space="preserve">          5040 - PURCHASES @ COST-LOGO CLOTHING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SUM(OSRRefD14_4x)+IFERROR(SUM(OSRRefE14_4x),0)</f>
        <v>0</v>
      </c>
    </row>
    <row r="23" spans="1:17" s="9" customFormat="1" hidden="1" outlineLevel="1" x14ac:dyDescent="0.3">
      <c r="A23" s="22"/>
      <c r="B23" s="10" t="str">
        <f>CONCATENATE("          ","5041", " - ","PURCHASES @ COST-LOGO GIFTS")</f>
        <v xml:space="preserve">          5041 - PURCHASES @ COST-LOGO GIFTS</v>
      </c>
      <c r="C23" s="23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SUM(OSRRefD14_5x)+IFERROR(SUM(OSRRefE14_5x),0)</f>
        <v>0</v>
      </c>
    </row>
    <row r="24" spans="1:17" s="9" customFormat="1" hidden="1" outlineLevel="1" x14ac:dyDescent="0.3">
      <c r="A24" s="22"/>
      <c r="B24" s="10" t="str">
        <f>CONCATENATE("          ","5042", " - ","PURCHASES @ COST-EVERYDAY GIFT")</f>
        <v xml:space="preserve">          5042 - PURCHASES @ COST-EVERYDAY GIFT</v>
      </c>
      <c r="C24" s="23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SUM(OSRRefD14_6x)+IFERROR(SUM(OSRRefE14_6x),0)</f>
        <v>0</v>
      </c>
    </row>
    <row r="25" spans="1:17" s="9" customFormat="1" hidden="1" outlineLevel="1" x14ac:dyDescent="0.3">
      <c r="A25" s="22"/>
      <c r="B25" s="10" t="str">
        <f>CONCATENATE("          ","5043", " - ","PURCHASES @ COST-CARDS")</f>
        <v xml:space="preserve">          5043 - PURCHASES @ COST-CARDS</v>
      </c>
      <c r="C25" s="23"/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SUM(OSRRefD14_7x)+IFERROR(SUM(OSRRefE14_7x),0)</f>
        <v>0</v>
      </c>
    </row>
    <row r="26" spans="1:17" s="9" customFormat="1" hidden="1" outlineLevel="1" x14ac:dyDescent="0.3">
      <c r="A26" s="22"/>
      <c r="B26" s="10" t="str">
        <f>CONCATENATE("          ","5044", " - ","PURCHASES @ COST-ACCESSORIES")</f>
        <v xml:space="preserve">          5044 - PURCHASES @ COST-ACCESSORIES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SUM(OSRRefD14_8x)+IFERROR(SUM(OSRRefE14_8x),0)</f>
        <v>0</v>
      </c>
    </row>
    <row r="27" spans="1:17" s="9" customFormat="1" hidden="1" outlineLevel="1" x14ac:dyDescent="0.3">
      <c r="A27" s="22"/>
      <c r="B27" s="10" t="str">
        <f>CONCATENATE("          ","5045", " - ","PURCHASES @ COST-SPECIAL ORDER")</f>
        <v xml:space="preserve">          5045 - PURCHASES @ COST-SPECIAL ORDER</v>
      </c>
      <c r="C27" s="23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>
        <f>SUM(OSRRefD14_9x)+IFERROR(SUM(OSRRefE14_9x),0)</f>
        <v>0</v>
      </c>
    </row>
    <row r="28" spans="1:17" s="9" customFormat="1" hidden="1" outlineLevel="1" x14ac:dyDescent="0.3">
      <c r="A28" s="22"/>
      <c r="B28" s="10" t="str">
        <f>CONCATENATE("          ","5081", " - ","PURCHASES @ COST-ELECTRONICS")</f>
        <v xml:space="preserve">          5081 - PURCHASES @ COST-ELECTRONICS</v>
      </c>
      <c r="C28" s="23"/>
      <c r="D28" s="2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>
        <f>SUM(OSRRefD14_10x)+IFERROR(SUM(OSRRefE14_10x),0)</f>
        <v>0</v>
      </c>
    </row>
    <row r="29" spans="1:17" s="9" customFormat="1" hidden="1" outlineLevel="1" x14ac:dyDescent="0.3">
      <c r="A29" s="22"/>
      <c r="B29" s="10" t="str">
        <f>CONCATENATE("          ","5082", " - ","PURCHASES @ COST-COMPUTER HARD")</f>
        <v xml:space="preserve">          5082 - PURCHASES @ COST-COMPUTER HARD</v>
      </c>
      <c r="C29" s="23"/>
      <c r="D29" s="2">
        <v>-10902.62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>
        <f>SUM(OSRRefD14_11x)+IFERROR(SUM(OSRRefE14_11x),0)</f>
        <v>-10902.62</v>
      </c>
    </row>
    <row r="30" spans="1:17" s="9" customFormat="1" hidden="1" outlineLevel="1" x14ac:dyDescent="0.3">
      <c r="A30" s="22"/>
      <c r="B30" s="10" t="str">
        <f>CONCATENATE("          ","5083", " - ","PURCHASES @ COST-COMPUTER EQUI")</f>
        <v xml:space="preserve">          5083 - PURCHASES @ COST-COMPUTER EQUI</v>
      </c>
      <c r="C30" s="23"/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>
        <f>SUM(OSRRefD14_12x)+IFERROR(SUM(OSRRefE14_12x),0)</f>
        <v>0</v>
      </c>
    </row>
    <row r="31" spans="1:17" s="9" customFormat="1" hidden="1" outlineLevel="1" x14ac:dyDescent="0.3">
      <c r="A31" s="22"/>
      <c r="B31" s="10" t="str">
        <f>CONCATENATE("          ","5085", " - ","PURCHASES @ COST-SOFTWARE")</f>
        <v xml:space="preserve">          5085 - PURCHASES @ COST-SOFTWARE</v>
      </c>
      <c r="C31" s="23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>
        <f>SUM(OSRRefD14_13x)+IFERROR(SUM(OSRRefE14_13x),0)</f>
        <v>0</v>
      </c>
    </row>
    <row r="32" spans="1:17" s="9" customFormat="1" hidden="1" outlineLevel="1" x14ac:dyDescent="0.3">
      <c r="A32" s="22"/>
      <c r="B32" s="10" t="str">
        <f>CONCATENATE("          ","5086", " - ","PURCHASES @ COST-COMPUTER SUPP")</f>
        <v xml:space="preserve">          5086 - PURCHASES @ COST-COMPUTER SUPP</v>
      </c>
      <c r="C32" s="23"/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>
        <f>SUM(OSRRefD14_14x)+IFERROR(SUM(OSRRefE14_14x),0)</f>
        <v>0</v>
      </c>
    </row>
    <row r="33" spans="1:17" s="9" customFormat="1" hidden="1" outlineLevel="1" x14ac:dyDescent="0.3">
      <c r="A33" s="22"/>
      <c r="B33" s="10" t="str">
        <f>CONCATENATE("          ","5200", " - ","PURCHASES OFFSET")</f>
        <v xml:space="preserve">          5200 - PURCHASES OFFSET</v>
      </c>
      <c r="C33" s="23"/>
      <c r="D33" s="2">
        <v>-443731.32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>
        <f>SUM(OSRRefD14_15x)+IFERROR(SUM(OSRRefE14_15x),0)</f>
        <v>-443731.32</v>
      </c>
    </row>
    <row r="34" spans="1:17" s="9" customFormat="1" hidden="1" outlineLevel="1" x14ac:dyDescent="0.3">
      <c r="A34" s="22"/>
      <c r="B34" s="10" t="str">
        <f>CONCATENATE("          ","5300", " - ","COG$ OFFSET")</f>
        <v xml:space="preserve">          5300 - COG$ OFFSET</v>
      </c>
      <c r="C34" s="23"/>
      <c r="D34" s="2">
        <v>218685.5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>
        <f>SUM(OSRRefD14_16x)+IFERROR(SUM(OSRRefE14_16x),0)</f>
        <v>218685.5</v>
      </c>
    </row>
    <row r="35" spans="1:17" s="9" customFormat="1" hidden="1" outlineLevel="1" x14ac:dyDescent="0.3">
      <c r="A35" s="22"/>
      <c r="B35" s="10" t="str">
        <f>CONCATENATE("          ","5500", " - ","FREIGHT-IN")</f>
        <v xml:space="preserve">          5500 - FREIGHT-IN</v>
      </c>
      <c r="C35" s="23"/>
      <c r="D35" s="2">
        <v>3605.14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>
        <f>SUM(OSRRefD14_17x)+IFERROR(SUM(OSRRefE14_17x),0)</f>
        <v>3605.14</v>
      </c>
    </row>
    <row r="36" spans="1:17" s="9" customFormat="1" hidden="1" outlineLevel="1" x14ac:dyDescent="0.3">
      <c r="A36" s="22"/>
      <c r="B36" s="10" t="str">
        <f>CONCATENATE("          ","5501", " - ","FREIGHT-IN-NEW TEXT")</f>
        <v xml:space="preserve">          5501 - FREIGHT-IN-NEW TEXT</v>
      </c>
      <c r="C36" s="23"/>
      <c r="D36" s="2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>
        <f>SUM(OSRRefD14_18x)+IFERROR(SUM(OSRRefE14_18x),0)</f>
        <v>0</v>
      </c>
    </row>
    <row r="37" spans="1:17" s="9" customFormat="1" hidden="1" outlineLevel="1" x14ac:dyDescent="0.3">
      <c r="A37" s="22"/>
      <c r="B37" s="10" t="str">
        <f>CONCATENATE("          ","5502", " - ","FREIGHT-IN-USED TEXT")</f>
        <v xml:space="preserve">          5502 - FREIGHT-IN-USED TEXT</v>
      </c>
      <c r="C37" s="23"/>
      <c r="D37" s="2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>
        <f>SUM(OSRRefD14_19x)+IFERROR(SUM(OSRRefE14_19x),0)</f>
        <v>0</v>
      </c>
    </row>
    <row r="38" spans="1:17" s="9" customFormat="1" hidden="1" outlineLevel="1" x14ac:dyDescent="0.3">
      <c r="A38" s="22"/>
      <c r="B38" s="10" t="str">
        <f>CONCATENATE("          ","5518", " - ","FREIGHT-IN-STUDY GUIDES")</f>
        <v xml:space="preserve">          5518 - FREIGHT-IN-STUDY GUIDES</v>
      </c>
      <c r="C38" s="23"/>
      <c r="D38" s="2"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>
        <f>SUM(OSRRefD14_20x)+IFERROR(SUM(OSRRefE14_20x),0)</f>
        <v>0</v>
      </c>
    </row>
    <row r="39" spans="1:17" s="9" customFormat="1" hidden="1" outlineLevel="1" x14ac:dyDescent="0.3">
      <c r="A39" s="22"/>
      <c r="B39" s="10" t="str">
        <f>CONCATENATE("          ","5540", " - ","FREIGHT-IN-LOGO CLOTHING")</f>
        <v xml:space="preserve">          5540 - FREIGHT-IN-LOGO CLOTHING</v>
      </c>
      <c r="C39" s="23"/>
      <c r="D39" s="2"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>
        <f>SUM(OSRRefD14_21x)+IFERROR(SUM(OSRRefE14_21x),0)</f>
        <v>0</v>
      </c>
    </row>
    <row r="40" spans="1:17" s="9" customFormat="1" hidden="1" outlineLevel="1" x14ac:dyDescent="0.3">
      <c r="A40" s="22"/>
      <c r="B40" s="10" t="str">
        <f>CONCATENATE("          ","5541", " - ","FREIGHT-IN-LOGO GIFTS")</f>
        <v xml:space="preserve">          5541 - FREIGHT-IN-LOGO GIFTS</v>
      </c>
      <c r="C40" s="23"/>
      <c r="D40" s="2"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>
        <f>SUM(OSRRefD14_22x)+IFERROR(SUM(OSRRefE14_22x),0)</f>
        <v>0</v>
      </c>
    </row>
    <row r="41" spans="1:17" s="9" customFormat="1" hidden="1" outlineLevel="1" x14ac:dyDescent="0.3">
      <c r="A41" s="22"/>
      <c r="B41" s="10" t="str">
        <f>CONCATENATE("          ","5542", " - ","FREIGHT-IN-EVERYDAY GIFTS")</f>
        <v xml:space="preserve">          5542 - FREIGHT-IN-EVERYDAY GIFTS</v>
      </c>
      <c r="C41" s="23"/>
      <c r="D41" s="2"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>
        <f>SUM(OSRRefD14_23x)+IFERROR(SUM(OSRRefE14_23x),0)</f>
        <v>0</v>
      </c>
    </row>
    <row r="42" spans="1:17" s="9" customFormat="1" hidden="1" outlineLevel="1" x14ac:dyDescent="0.3">
      <c r="A42" s="22"/>
      <c r="B42" s="10" t="str">
        <f>CONCATENATE("          ","5544", " - ","FREIGHT-IN-ACCESSORIES")</f>
        <v xml:space="preserve">          5544 - FREIGHT-IN-ACCESSORIES</v>
      </c>
      <c r="C42" s="23"/>
      <c r="D42" s="2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>
        <f>SUM(OSRRefD14_24x)+IFERROR(SUM(OSRRefE14_24x),0)</f>
        <v>0</v>
      </c>
    </row>
    <row r="43" spans="1:17" s="9" customFormat="1" hidden="1" outlineLevel="1" x14ac:dyDescent="0.3">
      <c r="A43" s="22"/>
      <c r="B43" s="10" t="str">
        <f>CONCATENATE("          ","5545", " - ","FREIGHT-IN-SPECIAL ORDERS")</f>
        <v xml:space="preserve">          5545 - FREIGHT-IN-SPECIAL ORDERS</v>
      </c>
      <c r="C43" s="23"/>
      <c r="D43" s="2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>
        <f>SUM(OSRRefD14_25x)+IFERROR(SUM(OSRRefE14_25x),0)</f>
        <v>0</v>
      </c>
    </row>
    <row r="44" spans="1:17" s="9" customFormat="1" hidden="1" outlineLevel="1" x14ac:dyDescent="0.3">
      <c r="A44" s="22"/>
      <c r="B44" s="10" t="str">
        <f>CONCATENATE("          ","5583", " - ","FREIGHT-IN-COMPUTER EQUIPMENT")</f>
        <v xml:space="preserve">          5583 - FREIGHT-IN-COMPUTER EQUIPMENT</v>
      </c>
      <c r="C44" s="23"/>
      <c r="D44" s="2"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>
        <f>SUM(OSRRefD14_26x)+IFERROR(SUM(OSRRefE14_26x),0)</f>
        <v>0</v>
      </c>
    </row>
    <row r="45" spans="1:17" x14ac:dyDescent="0.3">
      <c r="A45" s="5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</row>
    <row r="46" spans="1:17" s="15" customFormat="1" x14ac:dyDescent="0.3">
      <c r="A46" s="6"/>
      <c r="B46" s="17" t="s">
        <v>105</v>
      </c>
      <c r="C46" s="17"/>
      <c r="D46" s="8">
        <f t="shared" ref="D46:O46" si="0">IFERROR(+D10-D17, 0)</f>
        <v>106011.60999999999</v>
      </c>
      <c r="E46" s="8">
        <f t="shared" si="0"/>
        <v>925314</v>
      </c>
      <c r="F46" s="8">
        <f t="shared" si="0"/>
        <v>341668</v>
      </c>
      <c r="G46" s="8">
        <f t="shared" si="0"/>
        <v>205374</v>
      </c>
      <c r="H46" s="8">
        <f t="shared" si="0"/>
        <v>147024</v>
      </c>
      <c r="I46" s="8">
        <f t="shared" si="0"/>
        <v>207805</v>
      </c>
      <c r="J46" s="8">
        <f t="shared" si="0"/>
        <v>701302</v>
      </c>
      <c r="K46" s="8">
        <f t="shared" si="0"/>
        <v>260908</v>
      </c>
      <c r="L46" s="8">
        <f t="shared" si="0"/>
        <v>213485</v>
      </c>
      <c r="M46" s="8">
        <f t="shared" si="0"/>
        <v>217899</v>
      </c>
      <c r="N46" s="8">
        <f t="shared" si="0"/>
        <v>242300</v>
      </c>
      <c r="O46" s="8">
        <f t="shared" si="0"/>
        <v>145123</v>
      </c>
      <c r="Q46" s="8">
        <f>IFERROR(+Q10-Q17, 0)</f>
        <v>3714213.6099999985</v>
      </c>
    </row>
    <row r="47" spans="1:17" s="6" customFormat="1" x14ac:dyDescent="0.3">
      <c r="B47" s="16"/>
      <c r="C47" s="16"/>
      <c r="D47" s="4">
        <f t="shared" ref="D47:O47" si="1">IFERROR(D46/D10, 0)</f>
        <v>0.33568743727923839</v>
      </c>
      <c r="E47" s="4">
        <f t="shared" si="1"/>
        <v>0.29682435148244729</v>
      </c>
      <c r="F47" s="4">
        <f t="shared" si="1"/>
        <v>0.32267411112286376</v>
      </c>
      <c r="G47" s="4">
        <f t="shared" si="1"/>
        <v>0.41721228717752862</v>
      </c>
      <c r="H47" s="4">
        <f t="shared" si="1"/>
        <v>0.37975978302983338</v>
      </c>
      <c r="I47" s="4">
        <f t="shared" si="1"/>
        <v>0.43511899527201614</v>
      </c>
      <c r="J47" s="4">
        <f t="shared" si="1"/>
        <v>0.32212801394153945</v>
      </c>
      <c r="K47" s="4">
        <f t="shared" si="1"/>
        <v>0.39862494652569824</v>
      </c>
      <c r="L47" s="4">
        <f t="shared" si="1"/>
        <v>0.4549794445663965</v>
      </c>
      <c r="M47" s="4">
        <f t="shared" si="1"/>
        <v>0.38954220089671987</v>
      </c>
      <c r="N47" s="4">
        <f t="shared" si="1"/>
        <v>0.31535148741001812</v>
      </c>
      <c r="O47" s="4">
        <f t="shared" si="1"/>
        <v>0.37133806366760402</v>
      </c>
      <c r="P47" s="18"/>
      <c r="Q47" s="4">
        <f>IFERROR(Q46/Q10, 0)</f>
        <v>0.34174445941993642</v>
      </c>
    </row>
    <row r="48" spans="1:17" x14ac:dyDescent="0.3">
      <c r="A48" s="5"/>
      <c r="B48" s="6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</row>
    <row r="49" spans="1:17" s="15" customFormat="1" x14ac:dyDescent="0.3">
      <c r="A49" s="6"/>
      <c r="B49" s="16" t="s">
        <v>255</v>
      </c>
      <c r="C49" s="6"/>
      <c r="D49" s="13">
        <f>SUM(OSRRefD20x_0)</f>
        <v>380314.99999999994</v>
      </c>
      <c r="E49" s="13">
        <f>SUM(OSRRefE20x_0)</f>
        <v>370214.21933659056</v>
      </c>
      <c r="F49" s="13">
        <f>SUM(OSRRefE20x_1)</f>
        <v>329088.25645178283</v>
      </c>
      <c r="G49" s="13">
        <f>SUM(OSRRefE20x_2)</f>
        <v>387334.42766184389</v>
      </c>
      <c r="H49" s="13">
        <f>SUM(OSRRefE20x_3)</f>
        <v>300681.63643447508</v>
      </c>
      <c r="I49" s="13">
        <f>SUM(OSRRefE20x_4)</f>
        <v>308907.09527947509</v>
      </c>
      <c r="J49" s="13">
        <f>SUM(OSRRefE20x_5)</f>
        <v>456710.69792934385</v>
      </c>
      <c r="K49" s="13">
        <f>SUM(OSRRefE20x_6)</f>
        <v>336859.11420512508</v>
      </c>
      <c r="L49" s="13">
        <f>SUM(OSRRefE20x_7)</f>
        <v>291416.63266662508</v>
      </c>
      <c r="M49" s="13">
        <f>SUM(OSRRefE20x_8)</f>
        <v>344535.79096984386</v>
      </c>
      <c r="N49" s="13">
        <f>SUM(OSRRefE20x_9)</f>
        <v>299967.53450962505</v>
      </c>
      <c r="O49" s="13">
        <f>SUM(OSRRefE20x_10)</f>
        <v>292398.14236607507</v>
      </c>
      <c r="Q49" s="13">
        <f>SUM(OSRRefG20x)</f>
        <v>4098428.547810805</v>
      </c>
    </row>
    <row r="50" spans="1:17" s="34" customFormat="1" collapsed="1" x14ac:dyDescent="0.3">
      <c r="A50" s="35"/>
      <c r="B50" s="14" t="str">
        <f>CONCATENATE("     ","*Benefits                                         ")</f>
        <v xml:space="preserve">     *Benefits                                         </v>
      </c>
      <c r="C50" s="14"/>
      <c r="D50" s="1">
        <f>SUM(OSRRefD21_0x_0)</f>
        <v>49585.960000000006</v>
      </c>
      <c r="E50" s="1">
        <f>SUM(OSRRefE21_0x_0)</f>
        <v>54738.912279798285</v>
      </c>
      <c r="F50" s="1">
        <f>SUM(OSRRefE21_0x_1)</f>
        <v>48866.780356529016</v>
      </c>
      <c r="G50" s="1">
        <f>SUM(OSRRefE21_0x_2)</f>
        <v>52920.243119699677</v>
      </c>
      <c r="H50" s="1">
        <f>SUM(OSRRefE21_0x_3)</f>
        <v>45224.196300759781</v>
      </c>
      <c r="I50" s="1">
        <f>SUM(OSRRefE21_0x_4)</f>
        <v>46132.06264575979</v>
      </c>
      <c r="J50" s="1">
        <f>SUM(OSRRefE21_0x_5)</f>
        <v>58567.44286219967</v>
      </c>
      <c r="K50" s="1">
        <f>SUM(OSRRefE21_0x_6)</f>
        <v>46270.729246409792</v>
      </c>
      <c r="L50" s="1">
        <f>SUM(OSRRefE21_0x_7)</f>
        <v>45714.469157909785</v>
      </c>
      <c r="M50" s="1">
        <f>SUM(OSRRefE21_0x_8)</f>
        <v>53525.96810269967</v>
      </c>
      <c r="N50" s="1">
        <f>SUM(OSRRefE21_0x_9)</f>
        <v>45977.729750909784</v>
      </c>
      <c r="O50" s="1">
        <f>SUM(OSRRefE21_0x_10)</f>
        <v>45493.554582359786</v>
      </c>
      <c r="Q50" s="2">
        <f>SUM(OSRRefD20_0x)+IFERROR(SUM(OSRRefE20_0x),0)</f>
        <v>593018.04840503493</v>
      </c>
    </row>
    <row r="51" spans="1:17" s="34" customFormat="1" hidden="1" outlineLevel="1" x14ac:dyDescent="0.3">
      <c r="A51" s="35"/>
      <c r="B51" s="10" t="str">
        <f>CONCATENATE("          ","6111", " - ","F.I.C.A.")</f>
        <v xml:space="preserve">          6111 - F.I.C.A.</v>
      </c>
      <c r="C51" s="14"/>
      <c r="D51" s="2">
        <v>10281.57</v>
      </c>
      <c r="E51" s="2">
        <v>11466.5376423575</v>
      </c>
      <c r="F51" s="2">
        <v>9431.0353825497696</v>
      </c>
      <c r="G51" s="2">
        <v>11389.050075302601</v>
      </c>
      <c r="H51" s="2">
        <v>9115.5257402420793</v>
      </c>
      <c r="I51" s="2">
        <v>9258.9429602420805</v>
      </c>
      <c r="J51" s="2">
        <v>12834.3650433026</v>
      </c>
      <c r="K51" s="2">
        <v>9541.4519246420805</v>
      </c>
      <c r="L51" s="2">
        <v>9461.2790966420798</v>
      </c>
      <c r="M51" s="2">
        <v>11783.9869668026</v>
      </c>
      <c r="N51" s="2">
        <v>9461.2790966420798</v>
      </c>
      <c r="O51" s="2">
        <v>9402.3617108420804</v>
      </c>
      <c r="P51" s="9"/>
      <c r="Q51" s="2">
        <f>SUM(OSRRefD21_0_0x)+IFERROR(SUM(OSRRefE21_0_0x),0)</f>
        <v>123427.38563956754</v>
      </c>
    </row>
    <row r="52" spans="1:17" s="34" customFormat="1" hidden="1" outlineLevel="1" x14ac:dyDescent="0.3">
      <c r="A52" s="35"/>
      <c r="B52" s="10" t="str">
        <f>CONCATENATE("          ","6112", " - ","COMPENSATION INSURANCE")</f>
        <v xml:space="preserve">          6112 - COMPENSATION INSURANCE</v>
      </c>
      <c r="C52" s="14"/>
      <c r="D52" s="2">
        <v>2150.77</v>
      </c>
      <c r="E52" s="2">
        <v>3547.47313188</v>
      </c>
      <c r="F52" s="2">
        <v>2874.8956318800001</v>
      </c>
      <c r="G52" s="2">
        <v>2973.9545398499999</v>
      </c>
      <c r="H52" s="2">
        <v>2368.9651318800002</v>
      </c>
      <c r="I52" s="2">
        <v>2662.8106318800001</v>
      </c>
      <c r="J52" s="2">
        <v>4398.1360258499999</v>
      </c>
      <c r="K52" s="2">
        <v>2623.3615468799999</v>
      </c>
      <c r="L52" s="2">
        <v>2467.66005288</v>
      </c>
      <c r="M52" s="2">
        <v>3092.8717018500001</v>
      </c>
      <c r="N52" s="2">
        <v>2553.75785688</v>
      </c>
      <c r="O52" s="2">
        <v>2414.6798398800001</v>
      </c>
      <c r="P52" s="9"/>
      <c r="Q52" s="2">
        <f>SUM(OSRRefD21_0_1x)+IFERROR(SUM(OSRRefE21_0_1x),0)</f>
        <v>34129.336091589998</v>
      </c>
    </row>
    <row r="53" spans="1:17" s="34" customFormat="1" hidden="1" outlineLevel="1" x14ac:dyDescent="0.3">
      <c r="A53" s="35"/>
      <c r="B53" s="10" t="str">
        <f>CONCATENATE("          ","6113", " - ","GROUP INSURANCE")</f>
        <v xml:space="preserve">          6113 - GROUP INSURANCE</v>
      </c>
      <c r="C53" s="14"/>
      <c r="D53" s="2">
        <v>18724.77</v>
      </c>
      <c r="E53" s="2">
        <v>18636.4230769231</v>
      </c>
      <c r="F53" s="2">
        <v>17647.9230769231</v>
      </c>
      <c r="G53" s="2">
        <v>17880.6538461538</v>
      </c>
      <c r="H53" s="2">
        <v>16659.4230769231</v>
      </c>
      <c r="I53" s="2">
        <v>16659.4230769231</v>
      </c>
      <c r="J53" s="2">
        <v>17880.6538461538</v>
      </c>
      <c r="K53" s="2">
        <v>16659.4230769231</v>
      </c>
      <c r="L53" s="2">
        <v>16659.4230769231</v>
      </c>
      <c r="M53" s="2">
        <v>17880.6538461538</v>
      </c>
      <c r="N53" s="2">
        <v>16659.4230769231</v>
      </c>
      <c r="O53" s="2">
        <v>16659.4230769231</v>
      </c>
      <c r="P53" s="9"/>
      <c r="Q53" s="2">
        <f>SUM(OSRRefD21_0_2x)+IFERROR(SUM(OSRRefE21_0_2x),0)</f>
        <v>208607.61615384617</v>
      </c>
    </row>
    <row r="54" spans="1:17" s="34" customFormat="1" hidden="1" outlineLevel="1" x14ac:dyDescent="0.3">
      <c r="A54" s="35"/>
      <c r="B54" s="10" t="str">
        <f>CONCATENATE("          ","6114", " - ","STATE UNEMPLOYMENT INSURANCE")</f>
        <v xml:space="preserve">          6114 - STATE UNEMPLOYMENT INSURANCE</v>
      </c>
      <c r="C54" s="14"/>
      <c r="D54" s="2">
        <v>388.69</v>
      </c>
      <c r="E54" s="2">
        <v>477.54446006076898</v>
      </c>
      <c r="F54" s="2">
        <v>387.00518121461602</v>
      </c>
      <c r="G54" s="2">
        <v>400.34003421057702</v>
      </c>
      <c r="H54" s="2">
        <v>318.89915236846201</v>
      </c>
      <c r="I54" s="2">
        <v>358.45527736846202</v>
      </c>
      <c r="J54" s="2">
        <v>592.05677271057596</v>
      </c>
      <c r="K54" s="2">
        <v>353.144823618462</v>
      </c>
      <c r="L54" s="2">
        <v>332.18500711846201</v>
      </c>
      <c r="M54" s="2">
        <v>416.34811371057702</v>
      </c>
      <c r="N54" s="2">
        <v>343.77509611846199</v>
      </c>
      <c r="O54" s="2">
        <v>325.05305536846203</v>
      </c>
      <c r="P54" s="9"/>
      <c r="Q54" s="2">
        <f>SUM(OSRRefD21_0_3x)+IFERROR(SUM(OSRRefE21_0_3x),0)</f>
        <v>4693.4969738678865</v>
      </c>
    </row>
    <row r="55" spans="1:17" s="34" customFormat="1" hidden="1" outlineLevel="1" x14ac:dyDescent="0.3">
      <c r="A55" s="35"/>
      <c r="B55" s="10" t="str">
        <f>CONCATENATE("          ","6115", " - ","P.E.R.S.")</f>
        <v xml:space="preserve">          6115 - P.E.R.S.</v>
      </c>
      <c r="C55" s="14"/>
      <c r="D55" s="2">
        <v>6430.13</v>
      </c>
      <c r="E55" s="2">
        <v>5078.70745410768</v>
      </c>
      <c r="F55" s="2">
        <v>4748.2359156461498</v>
      </c>
      <c r="G55" s="2">
        <v>5522.20547148077</v>
      </c>
      <c r="H55" s="2">
        <v>4417.7643771846097</v>
      </c>
      <c r="I55" s="2">
        <v>4417.7643771846097</v>
      </c>
      <c r="J55" s="2">
        <v>5522.20547148077</v>
      </c>
      <c r="K55" s="2">
        <v>4417.7643771846097</v>
      </c>
      <c r="L55" s="2">
        <v>4417.7643771846097</v>
      </c>
      <c r="M55" s="2">
        <v>5522.20547148077</v>
      </c>
      <c r="N55" s="2">
        <v>4417.7643771846097</v>
      </c>
      <c r="O55" s="2">
        <v>4417.7643771846097</v>
      </c>
      <c r="P55" s="9"/>
      <c r="Q55" s="2">
        <f>SUM(OSRRefD21_0_4x)+IFERROR(SUM(OSRRefE21_0_4x),0)</f>
        <v>59330.2760473038</v>
      </c>
    </row>
    <row r="56" spans="1:17" s="34" customFormat="1" hidden="1" outlineLevel="1" x14ac:dyDescent="0.3">
      <c r="A56" s="35"/>
      <c r="B56" s="10" t="str">
        <f>CONCATENATE("          ","6116", " - ","EDUCATIONAL BENEFITS")</f>
        <v xml:space="preserve">          6116 - EDUCATIONAL BENEFITS</v>
      </c>
      <c r="C56" s="14"/>
      <c r="D56" s="2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9"/>
      <c r="Q56" s="2">
        <f>SUM(OSRRefD21_0_5x)+IFERROR(SUM(OSRRefE21_0_5x),0)</f>
        <v>0</v>
      </c>
    </row>
    <row r="57" spans="1:17" s="34" customFormat="1" hidden="1" outlineLevel="1" x14ac:dyDescent="0.3">
      <c r="A57" s="35"/>
      <c r="B57" s="10" t="str">
        <f>CONCATENATE("          ","6117", " - ","RETIREMENT STAFF HOURLY")</f>
        <v xml:space="preserve">          6117 - RETIREMENT STAFF HOURLY</v>
      </c>
      <c r="C57" s="14"/>
      <c r="D57" s="2">
        <v>715.55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2">
        <f>SUM(OSRRefD21_0_6x)+IFERROR(SUM(OSRRefE21_0_6x),0)</f>
        <v>715.55</v>
      </c>
    </row>
    <row r="58" spans="1:17" s="34" customFormat="1" hidden="1" outlineLevel="1" x14ac:dyDescent="0.3">
      <c r="A58" s="35"/>
      <c r="B58" s="10" t="str">
        <f>CONCATENATE("          ","6118", " - ","VACATION")</f>
        <v xml:space="preserve">          6118 - VACATION</v>
      </c>
      <c r="C58" s="14"/>
      <c r="D58" s="2">
        <v>5468.55</v>
      </c>
      <c r="E58" s="2">
        <v>4741.0133042076905</v>
      </c>
      <c r="F58" s="2">
        <v>4356.74407343846</v>
      </c>
      <c r="G58" s="2">
        <v>4965.59355333654</v>
      </c>
      <c r="H58" s="2">
        <v>3972.4748426692299</v>
      </c>
      <c r="I58" s="2">
        <v>3972.4748426692299</v>
      </c>
      <c r="J58" s="2">
        <v>4965.59355333654</v>
      </c>
      <c r="K58" s="2">
        <v>3972.4748426692299</v>
      </c>
      <c r="L58" s="2">
        <v>3972.4748426692299</v>
      </c>
      <c r="M58" s="2">
        <v>4965.59355333654</v>
      </c>
      <c r="N58" s="2">
        <v>3972.4748426692299</v>
      </c>
      <c r="O58" s="2">
        <v>3972.4748426692299</v>
      </c>
      <c r="P58" s="9"/>
      <c r="Q58" s="2">
        <f>SUM(OSRRefD21_0_7x)+IFERROR(SUM(OSRRefE21_0_7x),0)</f>
        <v>53297.937093671164</v>
      </c>
    </row>
    <row r="59" spans="1:17" s="34" customFormat="1" hidden="1" outlineLevel="1" x14ac:dyDescent="0.3">
      <c r="A59" s="35"/>
      <c r="B59" s="10" t="str">
        <f>CONCATENATE("          ","6119", " - ","SICK LEAVE")</f>
        <v xml:space="preserve">          6119 - SICK LEAVE</v>
      </c>
      <c r="C59" s="14"/>
      <c r="D59" s="2">
        <v>3967.23</v>
      </c>
      <c r="E59" s="2">
        <v>7991.2132102615396</v>
      </c>
      <c r="F59" s="2">
        <v>6620.94109487692</v>
      </c>
      <c r="G59" s="2">
        <v>6988.4455993653901</v>
      </c>
      <c r="H59" s="2">
        <v>5571.1439794922999</v>
      </c>
      <c r="I59" s="2">
        <v>6177.1914794923096</v>
      </c>
      <c r="J59" s="2">
        <v>9749.4321493653897</v>
      </c>
      <c r="K59" s="2">
        <v>6078.1086544923101</v>
      </c>
      <c r="L59" s="2">
        <v>5778.6827044923002</v>
      </c>
      <c r="M59" s="2">
        <v>7239.3084493653896</v>
      </c>
      <c r="N59" s="2">
        <v>5944.2554044922999</v>
      </c>
      <c r="O59" s="2">
        <v>5676.7976794922997</v>
      </c>
      <c r="P59" s="9"/>
      <c r="Q59" s="2">
        <f>SUM(OSRRefD21_0_8x)+IFERROR(SUM(OSRRefE21_0_8x),0)</f>
        <v>77782.750405188432</v>
      </c>
    </row>
    <row r="60" spans="1:17" s="34" customFormat="1" hidden="1" outlineLevel="1" x14ac:dyDescent="0.3">
      <c r="A60" s="35"/>
      <c r="B60" s="10" t="str">
        <f>CONCATENATE("          ","6156", " - ","EMPLOYEE MEALS")</f>
        <v xml:space="preserve">          6156 - EMPLOYEE MEALS</v>
      </c>
      <c r="C60" s="14"/>
      <c r="D60" s="2">
        <v>1458.7</v>
      </c>
      <c r="E60" s="2">
        <v>2800</v>
      </c>
      <c r="F60" s="2">
        <v>2800</v>
      </c>
      <c r="G60" s="2">
        <v>2800</v>
      </c>
      <c r="H60" s="2">
        <v>2800</v>
      </c>
      <c r="I60" s="2">
        <v>2625</v>
      </c>
      <c r="J60" s="2">
        <v>2625</v>
      </c>
      <c r="K60" s="2">
        <v>2625</v>
      </c>
      <c r="L60" s="2">
        <v>2625</v>
      </c>
      <c r="M60" s="2">
        <v>2625</v>
      </c>
      <c r="N60" s="2">
        <v>2625</v>
      </c>
      <c r="O60" s="2">
        <v>2625</v>
      </c>
      <c r="P60" s="9"/>
      <c r="Q60" s="2">
        <f>SUM(OSRRefD21_0_9x)+IFERROR(SUM(OSRRefE21_0_9x),0)</f>
        <v>31033.7</v>
      </c>
    </row>
    <row r="61" spans="1:17" s="34" customFormat="1" collapsed="1" x14ac:dyDescent="0.3">
      <c r="A61" s="35"/>
      <c r="B61" s="14" t="str">
        <f>CONCATENATE("     ","*Payroll                                          ")</f>
        <v xml:space="preserve">     *Payroll                                          </v>
      </c>
      <c r="C61" s="14"/>
      <c r="D61" s="1">
        <f>SUM(OSRRefD21_1x_0)</f>
        <v>176783.51</v>
      </c>
      <c r="E61" s="1">
        <f>SUM(OSRRefE21_1x_0)</f>
        <v>219645.30705679228</v>
      </c>
      <c r="F61" s="1">
        <f>SUM(OSRRefE21_1x_1)</f>
        <v>176826.47609525381</v>
      </c>
      <c r="G61" s="1">
        <f>SUM(OSRRefE21_1x_2)</f>
        <v>181771.18454214421</v>
      </c>
      <c r="H61" s="1">
        <f>SUM(OSRRefE21_1x_3)</f>
        <v>144759.44013371528</v>
      </c>
      <c r="I61" s="1">
        <f>SUM(OSRRefE21_1x_4)</f>
        <v>163642.03263371528</v>
      </c>
      <c r="J61" s="1">
        <f>SUM(OSRRefE21_1x_5)</f>
        <v>273702.25506714417</v>
      </c>
      <c r="K61" s="1">
        <f>SUM(OSRRefE21_1x_6)</f>
        <v>161211.38495871529</v>
      </c>
      <c r="L61" s="1">
        <f>SUM(OSRRefE21_1x_7)</f>
        <v>151115.16350871528</v>
      </c>
      <c r="M61" s="1">
        <f>SUM(OSRRefE21_1x_8)</f>
        <v>189409.82286714422</v>
      </c>
      <c r="N61" s="1">
        <f>SUM(OSRRefE21_1x_9)</f>
        <v>156682.80475871527</v>
      </c>
      <c r="O61" s="1">
        <f>SUM(OSRRefE21_1x_10)</f>
        <v>147608.58778371528</v>
      </c>
      <c r="Q61" s="2">
        <f>SUM(OSRRefD20_1x)+IFERROR(SUM(OSRRefE20_1x),0)</f>
        <v>2143157.9694057703</v>
      </c>
    </row>
    <row r="62" spans="1:17" s="34" customFormat="1" hidden="1" outlineLevel="1" x14ac:dyDescent="0.3">
      <c r="A62" s="35"/>
      <c r="B62" s="10" t="str">
        <f>CONCATENATE("          ","6001", " - ","ADMINISTRATIVE SALARIES")</f>
        <v xml:space="preserve">          6001 - ADMINISTRATIVE SALARIES</v>
      </c>
      <c r="C62" s="14"/>
      <c r="D62" s="2">
        <v>5599.1</v>
      </c>
      <c r="E62" s="2">
        <v>4139.8076923076896</v>
      </c>
      <c r="F62" s="2">
        <v>4139.8076923076896</v>
      </c>
      <c r="G62" s="2">
        <v>5174.7596153846198</v>
      </c>
      <c r="H62" s="2">
        <v>4139.8076923076896</v>
      </c>
      <c r="I62" s="2">
        <v>4139.8076923076896</v>
      </c>
      <c r="J62" s="2">
        <v>5174.7596153846198</v>
      </c>
      <c r="K62" s="2">
        <v>4139.8076923076896</v>
      </c>
      <c r="L62" s="2">
        <v>4139.8076923076896</v>
      </c>
      <c r="M62" s="2">
        <v>5174.7596153846198</v>
      </c>
      <c r="N62" s="2">
        <v>4139.8076923076896</v>
      </c>
      <c r="O62" s="2">
        <v>4139.8076923076896</v>
      </c>
      <c r="P62" s="9"/>
      <c r="Q62" s="2">
        <f>SUM(OSRRefD21_1_0x)+IFERROR(SUM(OSRRefE21_1_0x),0)</f>
        <v>54241.840384615367</v>
      </c>
    </row>
    <row r="63" spans="1:17" s="34" customFormat="1" hidden="1" outlineLevel="1" x14ac:dyDescent="0.3">
      <c r="A63" s="35"/>
      <c r="B63" s="10" t="str">
        <f>CONCATENATE("          ","6002", " - ","STAFF SALARIES")</f>
        <v xml:space="preserve">          6002 - STAFF SALARIES</v>
      </c>
      <c r="C63" s="14"/>
      <c r="D63" s="2">
        <v>73650.66</v>
      </c>
      <c r="E63" s="2">
        <v>48833.212096484604</v>
      </c>
      <c r="F63" s="2">
        <v>45566.923634946099</v>
      </c>
      <c r="G63" s="2">
        <v>52875.7939667596</v>
      </c>
      <c r="H63" s="2">
        <v>42300.635173407602</v>
      </c>
      <c r="I63" s="2">
        <v>42300.635173407602</v>
      </c>
      <c r="J63" s="2">
        <v>52875.7939667596</v>
      </c>
      <c r="K63" s="2">
        <v>42300.635173407602</v>
      </c>
      <c r="L63" s="2">
        <v>42300.635173407602</v>
      </c>
      <c r="M63" s="2">
        <v>52875.7939667596</v>
      </c>
      <c r="N63" s="2">
        <v>42300.635173407602</v>
      </c>
      <c r="O63" s="2">
        <v>42300.635173407602</v>
      </c>
      <c r="P63" s="9"/>
      <c r="Q63" s="2">
        <f>SUM(OSRRefD21_1_1x)+IFERROR(SUM(OSRRefE21_1_1x),0)</f>
        <v>580481.98867215519</v>
      </c>
    </row>
    <row r="64" spans="1:17" s="34" customFormat="1" hidden="1" outlineLevel="1" x14ac:dyDescent="0.3">
      <c r="A64" s="35"/>
      <c r="B64" s="10" t="str">
        <f>CONCATENATE("          ","6003", " - ","STAFF HOURLY-9 MONTH")</f>
        <v xml:space="preserve">          6003 - STAFF HOURLY-9 MONTH</v>
      </c>
      <c r="C64" s="14"/>
      <c r="D64" s="2"/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9"/>
      <c r="Q64" s="2">
        <f>SUM(OSRRefD21_1_2x)+IFERROR(SUM(OSRRefE21_1_2x),0)</f>
        <v>0</v>
      </c>
    </row>
    <row r="65" spans="1:17" s="34" customFormat="1" hidden="1" outlineLevel="1" x14ac:dyDescent="0.3">
      <c r="A65" s="35"/>
      <c r="B65" s="10" t="str">
        <f>CONCATENATE("          ","6004", " - ","STAFF HOURLY")</f>
        <v xml:space="preserve">          6004 - STAFF HOURLY</v>
      </c>
      <c r="C65" s="14"/>
      <c r="D65" s="2">
        <v>18694.88</v>
      </c>
      <c r="E65" s="2">
        <v>36942.734768000002</v>
      </c>
      <c r="F65" s="2">
        <v>36942.734768000002</v>
      </c>
      <c r="G65" s="2">
        <v>46178.418460000001</v>
      </c>
      <c r="H65" s="2">
        <v>36942.734768000002</v>
      </c>
      <c r="I65" s="2">
        <v>39234.834768000001</v>
      </c>
      <c r="J65" s="2">
        <v>49619.341959999998</v>
      </c>
      <c r="K65" s="2">
        <v>40097.413568000004</v>
      </c>
      <c r="L65" s="2">
        <v>39473.713567999999</v>
      </c>
      <c r="M65" s="2">
        <v>48995.641960000001</v>
      </c>
      <c r="N65" s="2">
        <v>39473.713567999999</v>
      </c>
      <c r="O65" s="2">
        <v>38087.713567999999</v>
      </c>
      <c r="P65" s="9"/>
      <c r="Q65" s="2">
        <f>SUM(OSRRefD21_1_3x)+IFERROR(SUM(OSRRefE21_1_3x),0)</f>
        <v>470683.87572399998</v>
      </c>
    </row>
    <row r="66" spans="1:17" s="34" customFormat="1" hidden="1" outlineLevel="1" x14ac:dyDescent="0.3">
      <c r="A66" s="35"/>
      <c r="B66" s="10" t="str">
        <f>CONCATENATE("          ","6005", " - ","TEMPORARY WAGES-HOURLY")</f>
        <v xml:space="preserve">          6005 - TEMPORARY WAGES-HOURLY</v>
      </c>
      <c r="C66" s="14"/>
      <c r="D66" s="2">
        <v>9447.7999999999993</v>
      </c>
      <c r="E66" s="2">
        <v>4181</v>
      </c>
      <c r="F66" s="2">
        <v>3455</v>
      </c>
      <c r="G66" s="2">
        <v>3445</v>
      </c>
      <c r="H66" s="2">
        <v>3080</v>
      </c>
      <c r="I66" s="2">
        <v>4198</v>
      </c>
      <c r="J66" s="2">
        <v>3009.34</v>
      </c>
      <c r="K66" s="2">
        <v>1802</v>
      </c>
      <c r="L66" s="2">
        <v>1802</v>
      </c>
      <c r="M66" s="2">
        <v>2396.66</v>
      </c>
      <c r="N66" s="2">
        <v>2252.5</v>
      </c>
      <c r="O66" s="2">
        <v>2396.66</v>
      </c>
      <c r="P66" s="9"/>
      <c r="Q66" s="2">
        <f>SUM(OSRRefD21_1_4x)+IFERROR(SUM(OSRRefE21_1_4x),0)</f>
        <v>41465.96</v>
      </c>
    </row>
    <row r="67" spans="1:17" s="34" customFormat="1" hidden="1" outlineLevel="1" x14ac:dyDescent="0.3">
      <c r="A67" s="35"/>
      <c r="B67" s="10" t="str">
        <f>CONCATENATE("          ","6006", " - ","TEMPORARY PART TIME")</f>
        <v xml:space="preserve">          6006 - TEMPORARY PART TIME</v>
      </c>
      <c r="C67" s="14"/>
      <c r="D67" s="2">
        <v>2864.4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9"/>
      <c r="Q67" s="2">
        <f>SUM(OSRRefD21_1_5x)+IFERROR(SUM(OSRRefE21_1_5x),0)</f>
        <v>2864.4</v>
      </c>
    </row>
    <row r="68" spans="1:17" s="34" customFormat="1" hidden="1" outlineLevel="1" x14ac:dyDescent="0.3">
      <c r="A68" s="35"/>
      <c r="B68" s="10" t="str">
        <f>CONCATENATE("          ","6007", " - ","STUDENT HOURLY")</f>
        <v xml:space="preserve">          6007 - STUDENT HOURLY</v>
      </c>
      <c r="C68" s="14"/>
      <c r="D68" s="2">
        <v>56742.32</v>
      </c>
      <c r="E68" s="2">
        <v>51762.8675</v>
      </c>
      <c r="F68" s="2">
        <v>28753.599999999999</v>
      </c>
      <c r="G68" s="2">
        <v>35509.4</v>
      </c>
      <c r="H68" s="2">
        <v>28465.200000000001</v>
      </c>
      <c r="I68" s="2">
        <v>27936</v>
      </c>
      <c r="J68" s="2">
        <v>50998.61</v>
      </c>
      <c r="K68" s="2">
        <v>30933.624</v>
      </c>
      <c r="L68" s="2">
        <v>30466.416000000001</v>
      </c>
      <c r="M68" s="2">
        <v>37849.415999999997</v>
      </c>
      <c r="N68" s="2">
        <v>30466.416000000001</v>
      </c>
      <c r="O68" s="2">
        <v>31151.771349999999</v>
      </c>
      <c r="P68" s="9"/>
      <c r="Q68" s="2">
        <f>SUM(OSRRefD21_1_6x)+IFERROR(SUM(OSRRefE21_1_6x),0)</f>
        <v>441035.64085000003</v>
      </c>
    </row>
    <row r="69" spans="1:17" s="34" customFormat="1" hidden="1" outlineLevel="1" x14ac:dyDescent="0.3">
      <c r="A69" s="35"/>
      <c r="B69" s="10" t="str">
        <f>CONCATENATE("          ","6008", " - ","STUDENT HOURLY-FICA EXEMPT")</f>
        <v xml:space="preserve">          6008 - STUDENT HOURLY-FICA EXEMPT</v>
      </c>
      <c r="C69" s="14"/>
      <c r="D69" s="2">
        <v>9784.35</v>
      </c>
      <c r="E69" s="2">
        <v>73785.684999999998</v>
      </c>
      <c r="F69" s="2">
        <v>57968.41</v>
      </c>
      <c r="G69" s="2">
        <v>38587.8125</v>
      </c>
      <c r="H69" s="2">
        <v>29831.0625</v>
      </c>
      <c r="I69" s="2">
        <v>45832.754999999997</v>
      </c>
      <c r="J69" s="2">
        <v>112024.409525</v>
      </c>
      <c r="K69" s="2">
        <v>41937.904524999998</v>
      </c>
      <c r="L69" s="2">
        <v>32932.591074999997</v>
      </c>
      <c r="M69" s="2">
        <v>42117.551325</v>
      </c>
      <c r="N69" s="2">
        <v>38049.732324999997</v>
      </c>
      <c r="O69" s="2">
        <v>29532</v>
      </c>
      <c r="P69" s="9"/>
      <c r="Q69" s="2">
        <f>SUM(OSRRefD21_1_7x)+IFERROR(SUM(OSRRefE21_1_7x),0)</f>
        <v>552384.263775</v>
      </c>
    </row>
    <row r="70" spans="1:17" s="34" customFormat="1" hidden="1" outlineLevel="1" x14ac:dyDescent="0.3">
      <c r="A70" s="35"/>
      <c r="B70" s="10" t="str">
        <f>CONCATENATE("          ","6009", " - ","TEMPORARY-SEASONAL")</f>
        <v xml:space="preserve">          6009 - TEMPORARY-SEASONAL</v>
      </c>
      <c r="C70" s="14"/>
      <c r="D70" s="2"/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9"/>
      <c r="Q70" s="2">
        <f>SUM(OSRRefD21_1_8x)+IFERROR(SUM(OSRRefE21_1_8x),0)</f>
        <v>0</v>
      </c>
    </row>
    <row r="71" spans="1:17" s="34" customFormat="1" hidden="1" outlineLevel="1" x14ac:dyDescent="0.3">
      <c r="A71" s="35"/>
      <c r="B71" s="10" t="str">
        <f>CONCATENATE("          ","6010", " - ","GRATUITY")</f>
        <v xml:space="preserve">          6010 - GRATUITY</v>
      </c>
      <c r="C71" s="14"/>
      <c r="D71" s="2"/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9"/>
      <c r="Q71" s="2">
        <f>SUM(OSRRefD21_1_9x)+IFERROR(SUM(OSRRefE21_1_9x),0)</f>
        <v>0</v>
      </c>
    </row>
    <row r="72" spans="1:17" s="34" customFormat="1" collapsed="1" x14ac:dyDescent="0.3">
      <c r="A72" s="35"/>
      <c r="B72" s="14" t="str">
        <f>CONCATENATE("     ","Advertising/Promo                                 ")</f>
        <v xml:space="preserve">     Advertising/Promo                                 </v>
      </c>
      <c r="C72" s="14"/>
      <c r="D72" s="1">
        <f>SUM(OSRRefD21_2x_0)</f>
        <v>539.04999999999995</v>
      </c>
      <c r="E72" s="1">
        <f>SUM(OSRRefE21_2x_0)</f>
        <v>800</v>
      </c>
      <c r="F72" s="1">
        <f>SUM(OSRRefE21_2x_1)</f>
        <v>500</v>
      </c>
      <c r="G72" s="1">
        <f>SUM(OSRRefE21_2x_2)</f>
        <v>500</v>
      </c>
      <c r="H72" s="1">
        <f>SUM(OSRRefE21_2x_3)</f>
        <v>500</v>
      </c>
      <c r="I72" s="1">
        <f>SUM(OSRRefE21_2x_4)</f>
        <v>600</v>
      </c>
      <c r="J72" s="1">
        <f>SUM(OSRRefE21_2x_5)</f>
        <v>800</v>
      </c>
      <c r="K72" s="1">
        <f>SUM(OSRRefE21_2x_6)</f>
        <v>500</v>
      </c>
      <c r="L72" s="1">
        <f>SUM(OSRRefE21_2x_7)</f>
        <v>500</v>
      </c>
      <c r="M72" s="1">
        <f>SUM(OSRRefE21_2x_8)</f>
        <v>500</v>
      </c>
      <c r="N72" s="1">
        <f>SUM(OSRRefE21_2x_9)</f>
        <v>600</v>
      </c>
      <c r="O72" s="1">
        <f>SUM(OSRRefE21_2x_10)</f>
        <v>500</v>
      </c>
      <c r="Q72" s="2">
        <f>SUM(OSRRefD20_2x)+IFERROR(SUM(OSRRefE20_2x),0)</f>
        <v>6839.05</v>
      </c>
    </row>
    <row r="73" spans="1:17" s="34" customFormat="1" hidden="1" outlineLevel="1" x14ac:dyDescent="0.3">
      <c r="A73" s="35"/>
      <c r="B73" s="10" t="str">
        <f>CONCATENATE("          ","6362", " - ","ADVERTISING EXPENSE")</f>
        <v xml:space="preserve">          6362 - ADVERTISING EXPENSE</v>
      </c>
      <c r="C73" s="14"/>
      <c r="D73" s="2">
        <v>539.04999999999995</v>
      </c>
      <c r="E73" s="2">
        <v>800</v>
      </c>
      <c r="F73" s="2">
        <v>500</v>
      </c>
      <c r="G73" s="2">
        <v>500</v>
      </c>
      <c r="H73" s="2">
        <v>500</v>
      </c>
      <c r="I73" s="2">
        <v>600</v>
      </c>
      <c r="J73" s="2">
        <v>800</v>
      </c>
      <c r="K73" s="2">
        <v>500</v>
      </c>
      <c r="L73" s="2">
        <v>500</v>
      </c>
      <c r="M73" s="2">
        <v>500</v>
      </c>
      <c r="N73" s="2">
        <v>600</v>
      </c>
      <c r="O73" s="2">
        <v>500</v>
      </c>
      <c r="P73" s="9"/>
      <c r="Q73" s="2">
        <f>SUM(OSRRefD21_2_0x)+IFERROR(SUM(OSRRefE21_2_0x),0)</f>
        <v>6839.05</v>
      </c>
    </row>
    <row r="74" spans="1:17" s="34" customFormat="1" collapsed="1" x14ac:dyDescent="0.3">
      <c r="A74" s="35"/>
      <c r="B74" s="14" t="str">
        <f>CONCATENATE("     ","Bad Debts/Over/Short                              ")</f>
        <v xml:space="preserve">     Bad Debts/Over/Short                              </v>
      </c>
      <c r="C74" s="14"/>
      <c r="D74" s="1">
        <f>SUM(OSRRefD21_3x_0)</f>
        <v>1.27</v>
      </c>
      <c r="E74" s="1">
        <f>SUM(OSRRefE21_3x_0)</f>
        <v>235</v>
      </c>
      <c r="F74" s="1">
        <f>SUM(OSRRefE21_3x_1)</f>
        <v>235</v>
      </c>
      <c r="G74" s="1">
        <f>SUM(OSRRefE21_3x_2)</f>
        <v>235</v>
      </c>
      <c r="H74" s="1">
        <f>SUM(OSRRefE21_3x_3)</f>
        <v>235</v>
      </c>
      <c r="I74" s="1">
        <f>SUM(OSRRefE21_3x_4)</f>
        <v>235</v>
      </c>
      <c r="J74" s="1">
        <f>SUM(OSRRefE21_3x_5)</f>
        <v>235</v>
      </c>
      <c r="K74" s="1">
        <f>SUM(OSRRefE21_3x_6)</f>
        <v>235</v>
      </c>
      <c r="L74" s="1">
        <f>SUM(OSRRefE21_3x_7)</f>
        <v>235</v>
      </c>
      <c r="M74" s="1">
        <f>SUM(OSRRefE21_3x_8)</f>
        <v>235</v>
      </c>
      <c r="N74" s="1">
        <f>SUM(OSRRefE21_3x_9)</f>
        <v>235</v>
      </c>
      <c r="O74" s="1">
        <f>SUM(OSRRefE21_3x_10)</f>
        <v>235</v>
      </c>
      <c r="Q74" s="2">
        <f>SUM(OSRRefD20_3x)+IFERROR(SUM(OSRRefE20_3x),0)</f>
        <v>2586.27</v>
      </c>
    </row>
    <row r="75" spans="1:17" s="34" customFormat="1" hidden="1" outlineLevel="1" x14ac:dyDescent="0.3">
      <c r="A75" s="35"/>
      <c r="B75" s="10" t="str">
        <f>CONCATENATE("          ","6272", " - ","CASH (OVER/SHORT)")</f>
        <v xml:space="preserve">          6272 - CASH (OVER/SHORT)</v>
      </c>
      <c r="C75" s="14"/>
      <c r="D75" s="2">
        <v>1.27</v>
      </c>
      <c r="E75" s="2">
        <v>235</v>
      </c>
      <c r="F75" s="2">
        <v>235</v>
      </c>
      <c r="G75" s="2">
        <v>235</v>
      </c>
      <c r="H75" s="2">
        <v>235</v>
      </c>
      <c r="I75" s="2">
        <v>235</v>
      </c>
      <c r="J75" s="2">
        <v>235</v>
      </c>
      <c r="K75" s="2">
        <v>235</v>
      </c>
      <c r="L75" s="2">
        <v>235</v>
      </c>
      <c r="M75" s="2">
        <v>235</v>
      </c>
      <c r="N75" s="2">
        <v>235</v>
      </c>
      <c r="O75" s="2">
        <v>235</v>
      </c>
      <c r="P75" s="9"/>
      <c r="Q75" s="2">
        <f>SUM(OSRRefD21_3_0x)+IFERROR(SUM(OSRRefE21_3_0x),0)</f>
        <v>2586.27</v>
      </c>
    </row>
    <row r="76" spans="1:17" s="34" customFormat="1" collapsed="1" x14ac:dyDescent="0.3">
      <c r="A76" s="35"/>
      <c r="B76" s="14" t="str">
        <f>CONCATENATE("     ","Bank/card Fees                                    ")</f>
        <v xml:space="preserve">     Bank/card Fees                                    </v>
      </c>
      <c r="C76" s="14"/>
      <c r="D76" s="1">
        <f>SUM(OSRRefD21_4x_0)</f>
        <v>3961.88</v>
      </c>
      <c r="E76" s="1">
        <f>SUM(OSRRefE21_4x_0)</f>
        <v>48514</v>
      </c>
      <c r="F76" s="1">
        <f>SUM(OSRRefE21_4x_1)</f>
        <v>16839</v>
      </c>
      <c r="G76" s="1">
        <f>SUM(OSRRefE21_4x_2)</f>
        <v>9036</v>
      </c>
      <c r="H76" s="1">
        <f>SUM(OSRRefE21_4x_3)</f>
        <v>6974</v>
      </c>
      <c r="I76" s="1">
        <f>SUM(OSRRefE21_4x_4)</f>
        <v>7972</v>
      </c>
      <c r="J76" s="1">
        <f>SUM(OSRRefE21_4x_5)</f>
        <v>35405</v>
      </c>
      <c r="K76" s="1">
        <f>SUM(OSRRefE21_4x_6)</f>
        <v>9656</v>
      </c>
      <c r="L76" s="1">
        <f>SUM(OSRRefE21_4x_7)</f>
        <v>8002</v>
      </c>
      <c r="M76" s="1">
        <f>SUM(OSRRefE21_4x_8)</f>
        <v>9877</v>
      </c>
      <c r="N76" s="1">
        <f>SUM(OSRRefE21_4x_9)</f>
        <v>13471</v>
      </c>
      <c r="O76" s="1">
        <f>SUM(OSRRefE21_4x_10)</f>
        <v>7144</v>
      </c>
      <c r="Q76" s="2">
        <f>SUM(OSRRefD20_4x)+IFERROR(SUM(OSRRefE20_4x),0)</f>
        <v>176851.88</v>
      </c>
    </row>
    <row r="77" spans="1:17" s="34" customFormat="1" hidden="1" outlineLevel="1" x14ac:dyDescent="0.3">
      <c r="A77" s="35"/>
      <c r="B77" s="10" t="str">
        <f>CONCATENATE("          ","6381", " - ","BANK/CREDIT CARD FEES")</f>
        <v xml:space="preserve">          6381 - BANK/CREDIT CARD FEES</v>
      </c>
      <c r="C77" s="14"/>
      <c r="D77" s="2">
        <v>3961.88</v>
      </c>
      <c r="E77" s="2">
        <v>48514</v>
      </c>
      <c r="F77" s="2">
        <v>16839</v>
      </c>
      <c r="G77" s="2">
        <v>9036</v>
      </c>
      <c r="H77" s="2">
        <v>6974</v>
      </c>
      <c r="I77" s="2">
        <v>7972</v>
      </c>
      <c r="J77" s="2">
        <v>35405</v>
      </c>
      <c r="K77" s="2">
        <v>9656</v>
      </c>
      <c r="L77" s="2">
        <v>8002</v>
      </c>
      <c r="M77" s="2">
        <v>9877</v>
      </c>
      <c r="N77" s="2">
        <v>13471</v>
      </c>
      <c r="O77" s="2">
        <v>7144</v>
      </c>
      <c r="P77" s="9"/>
      <c r="Q77" s="2">
        <f>SUM(OSRRefD21_4_0x)+IFERROR(SUM(OSRRefE21_4_0x),0)</f>
        <v>176851.88</v>
      </c>
    </row>
    <row r="78" spans="1:17" s="34" customFormat="1" collapsed="1" x14ac:dyDescent="0.3">
      <c r="A78" s="35"/>
      <c r="B78" s="14" t="str">
        <f>CONCATENATE("     ","Depreciation                                      ")</f>
        <v xml:space="preserve">     Depreciation                                      </v>
      </c>
      <c r="C78" s="14"/>
      <c r="D78" s="1">
        <f>SUM(OSRRefD21_5x_0)</f>
        <v>31001.120000000003</v>
      </c>
      <c r="E78" s="1">
        <f>SUM(OSRRefE21_5x_0)</f>
        <v>30600</v>
      </c>
      <c r="F78" s="1">
        <f>SUM(OSRRefE21_5x_1)</f>
        <v>30599</v>
      </c>
      <c r="G78" s="1">
        <f>SUM(OSRRefE21_5x_2)</f>
        <v>30494</v>
      </c>
      <c r="H78" s="1">
        <f>SUM(OSRRefE21_5x_3)</f>
        <v>30494</v>
      </c>
      <c r="I78" s="1">
        <f>SUM(OSRRefE21_5x_4)</f>
        <v>30494</v>
      </c>
      <c r="J78" s="1">
        <f>SUM(OSRRefE21_5x_5)</f>
        <v>28229</v>
      </c>
      <c r="K78" s="1">
        <f>SUM(OSRRefE21_5x_6)</f>
        <v>27419</v>
      </c>
      <c r="L78" s="1">
        <f>SUM(OSRRefE21_5x_7)</f>
        <v>27419</v>
      </c>
      <c r="M78" s="1">
        <f>SUM(OSRRefE21_5x_8)</f>
        <v>16259</v>
      </c>
      <c r="N78" s="1">
        <f>SUM(OSRRefE21_5x_9)</f>
        <v>16259</v>
      </c>
      <c r="O78" s="1">
        <f>SUM(OSRRefE21_5x_10)</f>
        <v>16259</v>
      </c>
      <c r="Q78" s="2">
        <f>SUM(OSRRefD20_5x)+IFERROR(SUM(OSRRefE20_5x),0)</f>
        <v>315526.12</v>
      </c>
    </row>
    <row r="79" spans="1:17" s="34" customFormat="1" hidden="1" outlineLevel="1" x14ac:dyDescent="0.3">
      <c r="A79" s="35"/>
      <c r="B79" s="10" t="str">
        <f>CONCATENATE("          ","6321", " - ","BUILDING DEPRECIATION")</f>
        <v xml:space="preserve">          6321 - BUILDING DEPRECIATION</v>
      </c>
      <c r="C79" s="14"/>
      <c r="D79" s="2">
        <v>16396.52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2">
        <f>SUM(OSRRefD21_5_0x)+IFERROR(SUM(OSRRefE21_5_0x),0)</f>
        <v>16396.52</v>
      </c>
    </row>
    <row r="80" spans="1:17" s="34" customFormat="1" hidden="1" outlineLevel="1" x14ac:dyDescent="0.3">
      <c r="A80" s="35"/>
      <c r="B80" s="10" t="str">
        <f>CONCATENATE("          ","6322", " - ","EQUIPMENT DEPRECIATION EXPENSE")</f>
        <v xml:space="preserve">          6322 - EQUIPMENT DEPRECIATION EXPENSE</v>
      </c>
      <c r="C80" s="14"/>
      <c r="D80" s="2">
        <v>14604.6</v>
      </c>
      <c r="E80" s="2">
        <v>30600</v>
      </c>
      <c r="F80" s="2">
        <v>30599</v>
      </c>
      <c r="G80" s="2">
        <v>30494</v>
      </c>
      <c r="H80" s="2">
        <v>30494</v>
      </c>
      <c r="I80" s="2">
        <v>30494</v>
      </c>
      <c r="J80" s="2">
        <v>28229</v>
      </c>
      <c r="K80" s="2">
        <v>27419</v>
      </c>
      <c r="L80" s="2">
        <v>27419</v>
      </c>
      <c r="M80" s="2">
        <v>16259</v>
      </c>
      <c r="N80" s="2">
        <v>16259</v>
      </c>
      <c r="O80" s="2">
        <v>16259</v>
      </c>
      <c r="P80" s="9"/>
      <c r="Q80" s="2">
        <f>SUM(OSRRefD21_5_1x)+IFERROR(SUM(OSRRefE21_5_1x),0)</f>
        <v>299129.59999999998</v>
      </c>
    </row>
    <row r="81" spans="1:17" s="34" customFormat="1" collapsed="1" x14ac:dyDescent="0.3">
      <c r="A81" s="35"/>
      <c r="B81" s="14" t="str">
        <f>CONCATENATE("     ","Discounts and Markdowns                           ")</f>
        <v xml:space="preserve">     Discounts and Markdowns                           </v>
      </c>
      <c r="C81" s="14"/>
      <c r="D81" s="1">
        <f>SUM(OSRRefD21_6x_0)</f>
        <v>-0.68</v>
      </c>
      <c r="E81" s="1">
        <f>SUM(OSRRefE21_6x_0)</f>
        <v>0</v>
      </c>
      <c r="F81" s="1">
        <f>SUM(OSRRefE21_6x_1)</f>
        <v>0</v>
      </c>
      <c r="G81" s="1">
        <f>SUM(OSRRefE21_6x_2)</f>
        <v>0</v>
      </c>
      <c r="H81" s="1">
        <f>SUM(OSRRefE21_6x_3)</f>
        <v>0</v>
      </c>
      <c r="I81" s="1">
        <f>SUM(OSRRefE21_6x_4)</f>
        <v>0</v>
      </c>
      <c r="J81" s="1">
        <f>SUM(OSRRefE21_6x_5)</f>
        <v>0</v>
      </c>
      <c r="K81" s="1">
        <f>SUM(OSRRefE21_6x_6)</f>
        <v>0</v>
      </c>
      <c r="L81" s="1">
        <f>SUM(OSRRefE21_6x_7)</f>
        <v>0</v>
      </c>
      <c r="M81" s="1">
        <f>SUM(OSRRefE21_6x_8)</f>
        <v>0</v>
      </c>
      <c r="N81" s="1">
        <f>SUM(OSRRefE21_6x_9)</f>
        <v>0</v>
      </c>
      <c r="O81" s="1">
        <f>SUM(OSRRefE21_6x_10)</f>
        <v>0</v>
      </c>
      <c r="Q81" s="2">
        <f>SUM(OSRRefD20_6x)+IFERROR(SUM(OSRRefE20_6x),0)</f>
        <v>-0.68</v>
      </c>
    </row>
    <row r="82" spans="1:17" s="34" customFormat="1" hidden="1" outlineLevel="1" x14ac:dyDescent="0.3">
      <c r="A82" s="35"/>
      <c r="B82" s="10" t="str">
        <f>CONCATENATE("          ","6382", " - ","DISCOUNTS/MARK DOWNS")</f>
        <v xml:space="preserve">          6382 - DISCOUNTS/MARK DOWNS</v>
      </c>
      <c r="C82" s="14"/>
      <c r="D82" s="2"/>
      <c r="E82" s="2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2">
        <f>SUM(OSRRefD21_6_0x)+IFERROR(SUM(OSRRefE21_6_0x),0)</f>
        <v>0</v>
      </c>
    </row>
    <row r="83" spans="1:17" s="34" customFormat="1" hidden="1" outlineLevel="1" x14ac:dyDescent="0.3">
      <c r="A83" s="35"/>
      <c r="B83" s="10" t="str">
        <f>CONCATENATE("          ","9175", " - ","EARNED DISCOUNTS")</f>
        <v xml:space="preserve">          9175 - EARNED DISCOUNTS</v>
      </c>
      <c r="C83" s="14"/>
      <c r="D83" s="2">
        <v>-0.68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2">
        <f>SUM(OSRRefD21_6_1x)+IFERROR(SUM(OSRRefE21_6_1x),0)</f>
        <v>-0.68</v>
      </c>
    </row>
    <row r="84" spans="1:17" s="34" customFormat="1" collapsed="1" x14ac:dyDescent="0.3">
      <c r="A84" s="35"/>
      <c r="B84" s="14" t="str">
        <f>CONCATENATE("     ","Donations                                         ")</f>
        <v xml:space="preserve">     Donations                                         </v>
      </c>
      <c r="C84" s="14"/>
      <c r="D84" s="1">
        <f>SUM(OSRRefD21_7x_0)</f>
        <v>0</v>
      </c>
      <c r="E84" s="1">
        <f>SUM(OSRRefE21_7x_0)</f>
        <v>1250</v>
      </c>
      <c r="F84" s="1">
        <f>SUM(OSRRefE21_7x_1)</f>
        <v>1250</v>
      </c>
      <c r="G84" s="1">
        <f>SUM(OSRRefE21_7x_2)</f>
        <v>1250</v>
      </c>
      <c r="H84" s="1">
        <f>SUM(OSRRefE21_7x_3)</f>
        <v>1250</v>
      </c>
      <c r="I84" s="1">
        <f>SUM(OSRRefE21_7x_4)</f>
        <v>1250</v>
      </c>
      <c r="J84" s="1">
        <f>SUM(OSRRefE21_7x_5)</f>
        <v>1250</v>
      </c>
      <c r="K84" s="1">
        <f>SUM(OSRRefE21_7x_6)</f>
        <v>1250</v>
      </c>
      <c r="L84" s="1">
        <f>SUM(OSRRefE21_7x_7)</f>
        <v>1250</v>
      </c>
      <c r="M84" s="1">
        <f>SUM(OSRRefE21_7x_8)</f>
        <v>1250</v>
      </c>
      <c r="N84" s="1">
        <f>SUM(OSRRefE21_7x_9)</f>
        <v>1250</v>
      </c>
      <c r="O84" s="1">
        <f>SUM(OSRRefE21_7x_10)</f>
        <v>1250</v>
      </c>
      <c r="Q84" s="2">
        <f>SUM(OSRRefD20_7x)+IFERROR(SUM(OSRRefE20_7x),0)</f>
        <v>13750</v>
      </c>
    </row>
    <row r="85" spans="1:17" s="34" customFormat="1" hidden="1" outlineLevel="1" x14ac:dyDescent="0.3">
      <c r="A85" s="35"/>
      <c r="B85" s="10" t="str">
        <f>CONCATENATE("          ","6399", " - ","DONATION-ON CAMPUS")</f>
        <v xml:space="preserve">          6399 - DONATION-ON CAMPUS</v>
      </c>
      <c r="C85" s="14"/>
      <c r="D85" s="2"/>
      <c r="E85" s="2">
        <v>1250</v>
      </c>
      <c r="F85" s="2">
        <v>1250</v>
      </c>
      <c r="G85" s="2">
        <v>1250</v>
      </c>
      <c r="H85" s="2">
        <v>1250</v>
      </c>
      <c r="I85" s="2">
        <v>1250</v>
      </c>
      <c r="J85" s="2">
        <v>1250</v>
      </c>
      <c r="K85" s="2">
        <v>1250</v>
      </c>
      <c r="L85" s="2">
        <v>1250</v>
      </c>
      <c r="M85" s="2">
        <v>1250</v>
      </c>
      <c r="N85" s="2">
        <v>1250</v>
      </c>
      <c r="O85" s="2">
        <v>1250</v>
      </c>
      <c r="P85" s="9"/>
      <c r="Q85" s="2">
        <f>SUM(OSRRefD21_7_0x)+IFERROR(SUM(OSRRefE21_7_0x),0)</f>
        <v>13750</v>
      </c>
    </row>
    <row r="86" spans="1:17" s="34" customFormat="1" collapsed="1" x14ac:dyDescent="0.3">
      <c r="A86" s="35"/>
      <c r="B86" s="14" t="str">
        <f>CONCATENATE("     ","Employees' Appreciation                           ")</f>
        <v xml:space="preserve">     Employees' Appreciation                           </v>
      </c>
      <c r="C86" s="14"/>
      <c r="D86" s="1">
        <f>SUM(OSRRefD21_8x_0)</f>
        <v>537.36</v>
      </c>
      <c r="E86" s="1">
        <f>SUM(OSRRefE21_8x_0)</f>
        <v>245</v>
      </c>
      <c r="F86" s="1">
        <f>SUM(OSRRefE21_8x_1)</f>
        <v>245</v>
      </c>
      <c r="G86" s="1">
        <f>SUM(OSRRefE21_8x_2)</f>
        <v>245</v>
      </c>
      <c r="H86" s="1">
        <f>SUM(OSRRefE21_8x_3)</f>
        <v>245</v>
      </c>
      <c r="I86" s="1">
        <f>SUM(OSRRefE21_8x_4)</f>
        <v>245</v>
      </c>
      <c r="J86" s="1">
        <f>SUM(OSRRefE21_8x_5)</f>
        <v>245</v>
      </c>
      <c r="K86" s="1">
        <f>SUM(OSRRefE21_8x_6)</f>
        <v>245</v>
      </c>
      <c r="L86" s="1">
        <f>SUM(OSRRefE21_8x_7)</f>
        <v>245</v>
      </c>
      <c r="M86" s="1">
        <f>SUM(OSRRefE21_8x_8)</f>
        <v>245</v>
      </c>
      <c r="N86" s="1">
        <f>SUM(OSRRefE21_8x_9)</f>
        <v>245</v>
      </c>
      <c r="O86" s="1">
        <f>SUM(OSRRefE21_8x_10)</f>
        <v>245</v>
      </c>
      <c r="Q86" s="2">
        <f>SUM(OSRRefD20_8x)+IFERROR(SUM(OSRRefE20_8x),0)</f>
        <v>3232.36</v>
      </c>
    </row>
    <row r="87" spans="1:17" s="34" customFormat="1" hidden="1" outlineLevel="1" x14ac:dyDescent="0.3">
      <c r="A87" s="35"/>
      <c r="B87" s="10" t="str">
        <f>CONCATENATE("          ","6277", " - ","EMPLOYEE APPRECIATION")</f>
        <v xml:space="preserve">          6277 - EMPLOYEE APPRECIATION</v>
      </c>
      <c r="C87" s="14"/>
      <c r="D87" s="2">
        <v>537.36</v>
      </c>
      <c r="E87" s="2">
        <v>245</v>
      </c>
      <c r="F87" s="2">
        <v>245</v>
      </c>
      <c r="G87" s="2">
        <v>245</v>
      </c>
      <c r="H87" s="2">
        <v>245</v>
      </c>
      <c r="I87" s="2">
        <v>245</v>
      </c>
      <c r="J87" s="2">
        <v>245</v>
      </c>
      <c r="K87" s="2">
        <v>245</v>
      </c>
      <c r="L87" s="2">
        <v>245</v>
      </c>
      <c r="M87" s="2">
        <v>245</v>
      </c>
      <c r="N87" s="2">
        <v>245</v>
      </c>
      <c r="O87" s="2">
        <v>245</v>
      </c>
      <c r="P87" s="9"/>
      <c r="Q87" s="2">
        <f>SUM(OSRRefD21_8_0x)+IFERROR(SUM(OSRRefE21_8_0x),0)</f>
        <v>3232.36</v>
      </c>
    </row>
    <row r="88" spans="1:17" s="34" customFormat="1" collapsed="1" x14ac:dyDescent="0.3">
      <c r="A88" s="35"/>
      <c r="B88" s="14" t="str">
        <f>CONCATENATE("     ","Equipment Rental                                  ")</f>
        <v xml:space="preserve">     Equipment Rental                                  </v>
      </c>
      <c r="C88" s="14"/>
      <c r="D88" s="1">
        <f>SUM(OSRRefD21_9x_0)</f>
        <v>1388.16</v>
      </c>
      <c r="E88" s="1">
        <f>SUM(OSRRefE21_9x_0)</f>
        <v>1600</v>
      </c>
      <c r="F88" s="1">
        <f>SUM(OSRRefE21_9x_1)</f>
        <v>1700</v>
      </c>
      <c r="G88" s="1">
        <f>SUM(OSRRefE21_9x_2)</f>
        <v>1700</v>
      </c>
      <c r="H88" s="1">
        <f>SUM(OSRRefE21_9x_3)</f>
        <v>1700</v>
      </c>
      <c r="I88" s="1">
        <f>SUM(OSRRefE21_9x_4)</f>
        <v>1700</v>
      </c>
      <c r="J88" s="1">
        <f>SUM(OSRRefE21_9x_5)</f>
        <v>1700</v>
      </c>
      <c r="K88" s="1">
        <f>SUM(OSRRefE21_9x_6)</f>
        <v>1700</v>
      </c>
      <c r="L88" s="1">
        <f>SUM(OSRRefE21_9x_7)</f>
        <v>1700</v>
      </c>
      <c r="M88" s="1">
        <f>SUM(OSRRefE21_9x_8)</f>
        <v>1700</v>
      </c>
      <c r="N88" s="1">
        <f>SUM(OSRRefE21_9x_9)</f>
        <v>1700</v>
      </c>
      <c r="O88" s="1">
        <f>SUM(OSRRefE21_9x_10)</f>
        <v>1700</v>
      </c>
      <c r="Q88" s="2">
        <f>SUM(OSRRefD20_9x)+IFERROR(SUM(OSRRefE20_9x),0)</f>
        <v>19988.16</v>
      </c>
    </row>
    <row r="89" spans="1:17" s="34" customFormat="1" hidden="1" outlineLevel="1" x14ac:dyDescent="0.3">
      <c r="A89" s="35"/>
      <c r="B89" s="10" t="str">
        <f>CONCATENATE("          ","6351", " - ","EQUIPMENT RENTAL")</f>
        <v xml:space="preserve">          6351 - EQUIPMENT RENTAL</v>
      </c>
      <c r="C89" s="14"/>
      <c r="D89" s="2">
        <v>1388.16</v>
      </c>
      <c r="E89" s="2">
        <v>1600</v>
      </c>
      <c r="F89" s="2">
        <v>1700</v>
      </c>
      <c r="G89" s="2">
        <v>1700</v>
      </c>
      <c r="H89" s="2">
        <v>1700</v>
      </c>
      <c r="I89" s="2">
        <v>1700</v>
      </c>
      <c r="J89" s="2">
        <v>1700</v>
      </c>
      <c r="K89" s="2">
        <v>1700</v>
      </c>
      <c r="L89" s="2">
        <v>1700</v>
      </c>
      <c r="M89" s="2">
        <v>1700</v>
      </c>
      <c r="N89" s="2">
        <v>1700</v>
      </c>
      <c r="O89" s="2">
        <v>1700</v>
      </c>
      <c r="P89" s="9"/>
      <c r="Q89" s="2">
        <f>SUM(OSRRefD21_9_0x)+IFERROR(SUM(OSRRefE21_9_0x),0)</f>
        <v>19988.16</v>
      </c>
    </row>
    <row r="90" spans="1:17" s="34" customFormat="1" collapsed="1" x14ac:dyDescent="0.3">
      <c r="A90" s="35"/>
      <c r="B90" s="14" t="str">
        <f>CONCATENATE("     ","Freight out/Postage                               ")</f>
        <v xml:space="preserve">     Freight out/Postage                               </v>
      </c>
      <c r="C90" s="14"/>
      <c r="D90" s="1">
        <f>SUM(OSRRefD21_10x_0)</f>
        <v>3682.8</v>
      </c>
      <c r="E90" s="1">
        <f>SUM(OSRRefE21_10x_0)</f>
        <v>-42535</v>
      </c>
      <c r="F90" s="1">
        <f>SUM(OSRRefE21_10x_1)</f>
        <v>-10135</v>
      </c>
      <c r="G90" s="1">
        <f>SUM(OSRRefE21_10x_2)</f>
        <v>45265</v>
      </c>
      <c r="H90" s="1">
        <f>SUM(OSRRefE21_10x_3)</f>
        <v>10665</v>
      </c>
      <c r="I90" s="1">
        <f>SUM(OSRRefE21_10x_4)</f>
        <v>-35</v>
      </c>
      <c r="J90" s="1">
        <f>SUM(OSRRefE21_10x_5)</f>
        <v>-25535</v>
      </c>
      <c r="K90" s="1">
        <f>SUM(OSRRefE21_10x_6)</f>
        <v>1965</v>
      </c>
      <c r="L90" s="1">
        <f>SUM(OSRRefE21_10x_7)</f>
        <v>3365</v>
      </c>
      <c r="M90" s="1">
        <f>SUM(OSRRefE21_10x_8)</f>
        <v>-535</v>
      </c>
      <c r="N90" s="1">
        <f>SUM(OSRRefE21_10x_9)</f>
        <v>-1835</v>
      </c>
      <c r="O90" s="1">
        <f>SUM(OSRRefE21_10x_10)</f>
        <v>-2335</v>
      </c>
      <c r="Q90" s="2">
        <f>SUM(OSRRefD20_10x)+IFERROR(SUM(OSRRefE20_10x),0)</f>
        <v>-18002.2</v>
      </c>
    </row>
    <row r="91" spans="1:17" s="34" customFormat="1" hidden="1" outlineLevel="1" x14ac:dyDescent="0.3">
      <c r="A91" s="35"/>
      <c r="B91" s="10" t="str">
        <f>CONCATENATE("          ","6305", " - ","FREIGHT OUT")</f>
        <v xml:space="preserve">          6305 - FREIGHT OUT</v>
      </c>
      <c r="C91" s="14"/>
      <c r="D91" s="2">
        <v>10982.69</v>
      </c>
      <c r="E91" s="2">
        <v>7365</v>
      </c>
      <c r="F91" s="2">
        <v>1365</v>
      </c>
      <c r="G91" s="2">
        <v>56865</v>
      </c>
      <c r="H91" s="2">
        <v>15065</v>
      </c>
      <c r="I91" s="2">
        <v>9565</v>
      </c>
      <c r="J91" s="2">
        <v>15865</v>
      </c>
      <c r="K91" s="2">
        <v>23865</v>
      </c>
      <c r="L91" s="2">
        <v>9265</v>
      </c>
      <c r="M91" s="2">
        <v>3865</v>
      </c>
      <c r="N91" s="2">
        <v>2565</v>
      </c>
      <c r="O91" s="2">
        <v>2065</v>
      </c>
      <c r="P91" s="9"/>
      <c r="Q91" s="2">
        <f>SUM(OSRRefD21_10_0x)+IFERROR(SUM(OSRRefE21_10_0x),0)</f>
        <v>158697.69</v>
      </c>
    </row>
    <row r="92" spans="1:17" s="34" customFormat="1" hidden="1" outlineLevel="1" x14ac:dyDescent="0.3">
      <c r="A92" s="35"/>
      <c r="B92" s="10" t="str">
        <f>CONCATENATE("          ","6307", " - ","POSTAGE")</f>
        <v xml:space="preserve">          6307 - POSTAGE</v>
      </c>
      <c r="C92" s="14"/>
      <c r="D92" s="2">
        <v>-7299.89</v>
      </c>
      <c r="E92" s="2">
        <v>-49900</v>
      </c>
      <c r="F92" s="2">
        <v>-11500</v>
      </c>
      <c r="G92" s="2">
        <v>-11600</v>
      </c>
      <c r="H92" s="2">
        <v>-4400</v>
      </c>
      <c r="I92" s="2">
        <v>-9600</v>
      </c>
      <c r="J92" s="2">
        <v>-41400</v>
      </c>
      <c r="K92" s="2">
        <v>-21900</v>
      </c>
      <c r="L92" s="2">
        <v>-5900</v>
      </c>
      <c r="M92" s="2">
        <v>-4400</v>
      </c>
      <c r="N92" s="2">
        <v>-4400</v>
      </c>
      <c r="O92" s="2">
        <v>-4400</v>
      </c>
      <c r="P92" s="9"/>
      <c r="Q92" s="2">
        <f>SUM(OSRRefD21_10_1x)+IFERROR(SUM(OSRRefE21_10_1x),0)</f>
        <v>-176699.89</v>
      </c>
    </row>
    <row r="93" spans="1:17" s="34" customFormat="1" collapsed="1" x14ac:dyDescent="0.3">
      <c r="A93" s="35"/>
      <c r="B93" s="14" t="str">
        <f>CONCATENATE("     ","General                                           ")</f>
        <v xml:space="preserve">     General                                           </v>
      </c>
      <c r="C93" s="14"/>
      <c r="D93" s="1">
        <f>SUM(OSRRefD21_11x_0)</f>
        <v>778</v>
      </c>
      <c r="E93" s="1">
        <f>SUM(OSRRefE21_11x_0)</f>
        <v>355</v>
      </c>
      <c r="F93" s="1">
        <f>SUM(OSRRefE21_11x_1)</f>
        <v>230</v>
      </c>
      <c r="G93" s="1">
        <f>SUM(OSRRefE21_11x_2)</f>
        <v>230</v>
      </c>
      <c r="H93" s="1">
        <f>SUM(OSRRefE21_11x_3)</f>
        <v>730</v>
      </c>
      <c r="I93" s="1">
        <f>SUM(OSRRefE21_11x_4)</f>
        <v>2105</v>
      </c>
      <c r="J93" s="1">
        <f>SUM(OSRRefE21_11x_5)</f>
        <v>230</v>
      </c>
      <c r="K93" s="1">
        <f>SUM(OSRRefE21_11x_6)</f>
        <v>355</v>
      </c>
      <c r="L93" s="1">
        <f>SUM(OSRRefE21_11x_7)</f>
        <v>230</v>
      </c>
      <c r="M93" s="1">
        <f>SUM(OSRRefE21_11x_8)</f>
        <v>730</v>
      </c>
      <c r="N93" s="1">
        <f>SUM(OSRRefE21_11x_9)</f>
        <v>980</v>
      </c>
      <c r="O93" s="1">
        <f>SUM(OSRRefE21_11x_10)</f>
        <v>1230</v>
      </c>
      <c r="Q93" s="2">
        <f>SUM(OSRRefD20_11x)+IFERROR(SUM(OSRRefE20_11x),0)</f>
        <v>8183</v>
      </c>
    </row>
    <row r="94" spans="1:17" s="34" customFormat="1" hidden="1" outlineLevel="1" x14ac:dyDescent="0.3">
      <c r="A94" s="35"/>
      <c r="B94" s="10" t="str">
        <f>CONCATENATE("          ","6276", " - ","PROPERTY TAX")</f>
        <v xml:space="preserve">          6276 - PROPERTY TAX</v>
      </c>
      <c r="C94" s="14"/>
      <c r="D94" s="2"/>
      <c r="E94" s="2"/>
      <c r="F94" s="2"/>
      <c r="G94" s="2"/>
      <c r="H94" s="2"/>
      <c r="I94" s="2">
        <v>1125</v>
      </c>
      <c r="J94" s="2"/>
      <c r="K94" s="2"/>
      <c r="L94" s="2"/>
      <c r="M94" s="2"/>
      <c r="N94" s="2"/>
      <c r="O94" s="2"/>
      <c r="P94" s="9"/>
      <c r="Q94" s="2">
        <f>SUM(OSRRefD21_11_0x)+IFERROR(SUM(OSRRefE21_11_0x),0)</f>
        <v>1125</v>
      </c>
    </row>
    <row r="95" spans="1:17" s="34" customFormat="1" hidden="1" outlineLevel="1" x14ac:dyDescent="0.3">
      <c r="A95" s="35"/>
      <c r="B95" s="10" t="str">
        <f>CONCATENATE("          ","6279", " - ","GENERAL EXPENSE")</f>
        <v xml:space="preserve">          6279 - GENERAL EXPENSE</v>
      </c>
      <c r="C95" s="14"/>
      <c r="D95" s="2">
        <v>778</v>
      </c>
      <c r="E95" s="2">
        <v>355</v>
      </c>
      <c r="F95" s="2">
        <v>230</v>
      </c>
      <c r="G95" s="2">
        <v>230</v>
      </c>
      <c r="H95" s="2">
        <v>730</v>
      </c>
      <c r="I95" s="2">
        <v>980</v>
      </c>
      <c r="J95" s="2">
        <v>230</v>
      </c>
      <c r="K95" s="2">
        <v>355</v>
      </c>
      <c r="L95" s="2">
        <v>230</v>
      </c>
      <c r="M95" s="2">
        <v>730</v>
      </c>
      <c r="N95" s="2">
        <v>980</v>
      </c>
      <c r="O95" s="2">
        <v>1230</v>
      </c>
      <c r="P95" s="9"/>
      <c r="Q95" s="2">
        <f>SUM(OSRRefD21_11_1x)+IFERROR(SUM(OSRRefE21_11_1x),0)</f>
        <v>7058</v>
      </c>
    </row>
    <row r="96" spans="1:17" s="34" customFormat="1" collapsed="1" x14ac:dyDescent="0.3">
      <c r="A96" s="35"/>
      <c r="B96" s="14" t="str">
        <f>CONCATENATE("     ","Insurance                                         ")</f>
        <v xml:space="preserve">     Insurance                                         </v>
      </c>
      <c r="C96" s="14"/>
      <c r="D96" s="1">
        <f>SUM(OSRRefD21_12x_0)</f>
        <v>5494.57</v>
      </c>
      <c r="E96" s="1">
        <f>SUM(OSRRefE21_12x_0)</f>
        <v>5375</v>
      </c>
      <c r="F96" s="1">
        <f>SUM(OSRRefE21_12x_1)</f>
        <v>5375</v>
      </c>
      <c r="G96" s="1">
        <f>SUM(OSRRefE21_12x_2)</f>
        <v>5375</v>
      </c>
      <c r="H96" s="1">
        <f>SUM(OSRRefE21_12x_3)</f>
        <v>5375</v>
      </c>
      <c r="I96" s="1">
        <f>SUM(OSRRefE21_12x_4)</f>
        <v>5375</v>
      </c>
      <c r="J96" s="1">
        <f>SUM(OSRRefE21_12x_5)</f>
        <v>5375</v>
      </c>
      <c r="K96" s="1">
        <f>SUM(OSRRefE21_12x_6)</f>
        <v>5375</v>
      </c>
      <c r="L96" s="1">
        <f>SUM(OSRRefE21_12x_7)</f>
        <v>5375</v>
      </c>
      <c r="M96" s="1">
        <f>SUM(OSRRefE21_12x_8)</f>
        <v>5375</v>
      </c>
      <c r="N96" s="1">
        <f>SUM(OSRRefE21_12x_9)</f>
        <v>5375</v>
      </c>
      <c r="O96" s="1">
        <f>SUM(OSRRefE21_12x_10)</f>
        <v>5375</v>
      </c>
      <c r="Q96" s="2">
        <f>SUM(OSRRefD20_12x)+IFERROR(SUM(OSRRefE20_12x),0)</f>
        <v>64619.57</v>
      </c>
    </row>
    <row r="97" spans="1:17" s="34" customFormat="1" hidden="1" outlineLevel="1" x14ac:dyDescent="0.3">
      <c r="A97" s="35"/>
      <c r="B97" s="10" t="str">
        <f>CONCATENATE("          ","6314", " - ","LIABILITY INSURANCE")</f>
        <v xml:space="preserve">          6314 - LIABILITY INSURANCE</v>
      </c>
      <c r="C97" s="14"/>
      <c r="D97" s="2">
        <v>5494.57</v>
      </c>
      <c r="E97" s="2">
        <v>5375</v>
      </c>
      <c r="F97" s="2">
        <v>5375</v>
      </c>
      <c r="G97" s="2">
        <v>5375</v>
      </c>
      <c r="H97" s="2">
        <v>5375</v>
      </c>
      <c r="I97" s="2">
        <v>5375</v>
      </c>
      <c r="J97" s="2">
        <v>5375</v>
      </c>
      <c r="K97" s="2">
        <v>5375</v>
      </c>
      <c r="L97" s="2">
        <v>5375</v>
      </c>
      <c r="M97" s="2">
        <v>5375</v>
      </c>
      <c r="N97" s="2">
        <v>5375</v>
      </c>
      <c r="O97" s="2">
        <v>5375</v>
      </c>
      <c r="P97" s="9"/>
      <c r="Q97" s="2">
        <f>SUM(OSRRefD21_12_0x)+IFERROR(SUM(OSRRefE21_12_0x),0)</f>
        <v>64619.57</v>
      </c>
    </row>
    <row r="98" spans="1:17" s="34" customFormat="1" collapsed="1" x14ac:dyDescent="0.3">
      <c r="A98" s="35"/>
      <c r="B98" s="14" t="str">
        <f>CONCATENATE("     ","Inventory Adjustment                              ")</f>
        <v xml:space="preserve">     Inventory Adjustment                              </v>
      </c>
      <c r="C98" s="14"/>
      <c r="D98" s="1">
        <f>SUM(OSRRefD21_13x_0)</f>
        <v>6570</v>
      </c>
      <c r="E98" s="1">
        <f>SUM(OSRRefE21_13x_0)</f>
        <v>7120</v>
      </c>
      <c r="F98" s="1">
        <f>SUM(OSRRefE21_13x_1)</f>
        <v>6400</v>
      </c>
      <c r="G98" s="1">
        <f>SUM(OSRRefE21_13x_2)</f>
        <v>5690</v>
      </c>
      <c r="H98" s="1">
        <f>SUM(OSRRefE21_13x_3)</f>
        <v>5730</v>
      </c>
      <c r="I98" s="1">
        <f>SUM(OSRRefE21_13x_4)</f>
        <v>9440</v>
      </c>
      <c r="J98" s="1">
        <f>SUM(OSRRefE21_13x_5)</f>
        <v>6070</v>
      </c>
      <c r="K98" s="1">
        <f>SUM(OSRRefE21_13x_6)</f>
        <v>5690</v>
      </c>
      <c r="L98" s="1">
        <f>SUM(OSRRefE21_13x_7)</f>
        <v>5440</v>
      </c>
      <c r="M98" s="1">
        <f>SUM(OSRRefE21_13x_8)</f>
        <v>6200</v>
      </c>
      <c r="N98" s="1">
        <f>SUM(OSRRefE21_13x_9)</f>
        <v>7200</v>
      </c>
      <c r="O98" s="1">
        <f>SUM(OSRRefE21_13x_10)</f>
        <v>19650</v>
      </c>
      <c r="Q98" s="2">
        <f>SUM(OSRRefD20_13x)+IFERROR(SUM(OSRRefE20_13x),0)</f>
        <v>91200</v>
      </c>
    </row>
    <row r="99" spans="1:17" s="34" customFormat="1" hidden="1" outlineLevel="1" x14ac:dyDescent="0.3">
      <c r="A99" s="35"/>
      <c r="B99" s="10" t="str">
        <f>CONCATENATE("          ","6408", " - ","INVENTORY ADJUSTMENT")</f>
        <v xml:space="preserve">          6408 - INVENTORY ADJUSTMENT</v>
      </c>
      <c r="C99" s="14"/>
      <c r="D99" s="2">
        <v>6570</v>
      </c>
      <c r="E99" s="2">
        <v>7120</v>
      </c>
      <c r="F99" s="2">
        <v>6400</v>
      </c>
      <c r="G99" s="2">
        <v>5690</v>
      </c>
      <c r="H99" s="2">
        <v>5730</v>
      </c>
      <c r="I99" s="2">
        <v>9440</v>
      </c>
      <c r="J99" s="2">
        <v>6070</v>
      </c>
      <c r="K99" s="2">
        <v>5690</v>
      </c>
      <c r="L99" s="2">
        <v>5440</v>
      </c>
      <c r="M99" s="2">
        <v>6200</v>
      </c>
      <c r="N99" s="2">
        <v>7200</v>
      </c>
      <c r="O99" s="2">
        <v>19650</v>
      </c>
      <c r="P99" s="9"/>
      <c r="Q99" s="2">
        <f>SUM(OSRRefD21_13_0x)+IFERROR(SUM(OSRRefE21_13_0x),0)</f>
        <v>91200</v>
      </c>
    </row>
    <row r="100" spans="1:17" s="34" customFormat="1" collapsed="1" x14ac:dyDescent="0.3">
      <c r="A100" s="35"/>
      <c r="B100" s="14" t="str">
        <f>CONCATENATE("     ","Professional Services                             ")</f>
        <v xml:space="preserve">     Professional Services                             </v>
      </c>
      <c r="C100" s="14"/>
      <c r="D100" s="1">
        <f>SUM(OSRRefD21_14x_0)</f>
        <v>0</v>
      </c>
      <c r="E100" s="1">
        <f>SUM(OSRRefE21_14x_0)</f>
        <v>0</v>
      </c>
      <c r="F100" s="1">
        <f>SUM(OSRRefE21_14x_1)</f>
        <v>0</v>
      </c>
      <c r="G100" s="1">
        <f>SUM(OSRRefE21_14x_2)</f>
        <v>250</v>
      </c>
      <c r="H100" s="1">
        <f>SUM(OSRRefE21_14x_3)</f>
        <v>0</v>
      </c>
      <c r="I100" s="1">
        <f>SUM(OSRRefE21_14x_4)</f>
        <v>0</v>
      </c>
      <c r="J100" s="1">
        <f>SUM(OSRRefE21_14x_5)</f>
        <v>250</v>
      </c>
      <c r="K100" s="1">
        <f>SUM(OSRRefE21_14x_6)</f>
        <v>0</v>
      </c>
      <c r="L100" s="1">
        <f>SUM(OSRRefE21_14x_7)</f>
        <v>0</v>
      </c>
      <c r="M100" s="1">
        <f>SUM(OSRRefE21_14x_8)</f>
        <v>250</v>
      </c>
      <c r="N100" s="1">
        <f>SUM(OSRRefE21_14x_9)</f>
        <v>0</v>
      </c>
      <c r="O100" s="1">
        <f>SUM(OSRRefE21_14x_10)</f>
        <v>0</v>
      </c>
      <c r="Q100" s="2">
        <f>SUM(OSRRefD20_14x)+IFERROR(SUM(OSRRefE20_14x),0)</f>
        <v>750</v>
      </c>
    </row>
    <row r="101" spans="1:17" s="34" customFormat="1" hidden="1" outlineLevel="1" x14ac:dyDescent="0.3">
      <c r="A101" s="35"/>
      <c r="B101" s="10" t="str">
        <f>CONCATENATE("          ","6336", " - ","PROFESSIONAL SERVICES")</f>
        <v xml:space="preserve">          6336 - PROFESSIONAL SERVICES</v>
      </c>
      <c r="C101" s="14"/>
      <c r="D101" s="2"/>
      <c r="E101" s="2">
        <v>0</v>
      </c>
      <c r="F101" s="2">
        <v>0</v>
      </c>
      <c r="G101" s="2">
        <v>250</v>
      </c>
      <c r="H101" s="2">
        <v>0</v>
      </c>
      <c r="I101" s="2">
        <v>0</v>
      </c>
      <c r="J101" s="2">
        <v>250</v>
      </c>
      <c r="K101" s="2">
        <v>0</v>
      </c>
      <c r="L101" s="2">
        <v>0</v>
      </c>
      <c r="M101" s="2">
        <v>250</v>
      </c>
      <c r="N101" s="2">
        <v>0</v>
      </c>
      <c r="O101" s="2">
        <v>0</v>
      </c>
      <c r="P101" s="9"/>
      <c r="Q101" s="2">
        <f>SUM(OSRRefD21_14_0x)+IFERROR(SUM(OSRRefE21_14_0x),0)</f>
        <v>750</v>
      </c>
    </row>
    <row r="102" spans="1:17" s="34" customFormat="1" collapsed="1" x14ac:dyDescent="0.3">
      <c r="A102" s="35"/>
      <c r="B102" s="14" t="str">
        <f>CONCATENATE("     ","Rent                                              ")</f>
        <v xml:space="preserve">     Rent                                              </v>
      </c>
      <c r="C102" s="14"/>
      <c r="D102" s="1">
        <f>SUM(OSRRefD21_15x_0)</f>
        <v>6100</v>
      </c>
      <c r="E102" s="1">
        <f>SUM(OSRRefE21_15x_0)</f>
        <v>6100</v>
      </c>
      <c r="F102" s="1">
        <f>SUM(OSRRefE21_15x_1)</f>
        <v>6100</v>
      </c>
      <c r="G102" s="1">
        <f>SUM(OSRRefE21_15x_2)</f>
        <v>6100</v>
      </c>
      <c r="H102" s="1">
        <f>SUM(OSRRefE21_15x_3)</f>
        <v>6100</v>
      </c>
      <c r="I102" s="1">
        <f>SUM(OSRRefE21_15x_4)</f>
        <v>6100</v>
      </c>
      <c r="J102" s="1">
        <f>SUM(OSRRefE21_15x_5)</f>
        <v>6100</v>
      </c>
      <c r="K102" s="1">
        <f>SUM(OSRRefE21_15x_6)</f>
        <v>6100</v>
      </c>
      <c r="L102" s="1">
        <f>SUM(OSRRefE21_15x_7)</f>
        <v>6100</v>
      </c>
      <c r="M102" s="1">
        <f>SUM(OSRRefE21_15x_8)</f>
        <v>6100</v>
      </c>
      <c r="N102" s="1">
        <f>SUM(OSRRefE21_15x_9)</f>
        <v>6100</v>
      </c>
      <c r="O102" s="1">
        <f>SUM(OSRRefE21_15x_10)</f>
        <v>6100</v>
      </c>
      <c r="Q102" s="2">
        <f>SUM(OSRRefD20_15x)+IFERROR(SUM(OSRRefE20_15x),0)</f>
        <v>73200</v>
      </c>
    </row>
    <row r="103" spans="1:17" s="34" customFormat="1" hidden="1" outlineLevel="1" x14ac:dyDescent="0.3">
      <c r="A103" s="35"/>
      <c r="B103" s="10" t="str">
        <f>CONCATENATE("          ","6273", " - ","RENT")</f>
        <v xml:space="preserve">          6273 - RENT</v>
      </c>
      <c r="C103" s="14"/>
      <c r="D103" s="2">
        <v>6100</v>
      </c>
      <c r="E103" s="2">
        <v>6100</v>
      </c>
      <c r="F103" s="2">
        <v>6100</v>
      </c>
      <c r="G103" s="2">
        <v>6100</v>
      </c>
      <c r="H103" s="2">
        <v>6100</v>
      </c>
      <c r="I103" s="2">
        <v>6100</v>
      </c>
      <c r="J103" s="2">
        <v>6100</v>
      </c>
      <c r="K103" s="2">
        <v>6100</v>
      </c>
      <c r="L103" s="2">
        <v>6100</v>
      </c>
      <c r="M103" s="2">
        <v>6100</v>
      </c>
      <c r="N103" s="2">
        <v>6100</v>
      </c>
      <c r="O103" s="2">
        <v>6100</v>
      </c>
      <c r="P103" s="9"/>
      <c r="Q103" s="2">
        <f>SUM(OSRRefD21_15_0x)+IFERROR(SUM(OSRRefE21_15_0x),0)</f>
        <v>73200</v>
      </c>
    </row>
    <row r="104" spans="1:17" s="34" customFormat="1" collapsed="1" x14ac:dyDescent="0.3">
      <c r="A104" s="35"/>
      <c r="B104" s="14" t="str">
        <f>CONCATENATE("     ","Repair and Maintenance                            ")</f>
        <v xml:space="preserve">     Repair and Maintenance                            </v>
      </c>
      <c r="C104" s="14"/>
      <c r="D104" s="1">
        <f>SUM(OSRRefD21_16x_0)</f>
        <v>64762.729999999996</v>
      </c>
      <c r="E104" s="1">
        <f>SUM(OSRRefE21_16x_0)</f>
        <v>9145</v>
      </c>
      <c r="F104" s="1">
        <f>SUM(OSRRefE21_16x_1)</f>
        <v>13145</v>
      </c>
      <c r="G104" s="1">
        <f>SUM(OSRRefE21_16x_2)</f>
        <v>9745</v>
      </c>
      <c r="H104" s="1">
        <f>SUM(OSRRefE21_16x_3)</f>
        <v>10145</v>
      </c>
      <c r="I104" s="1">
        <f>SUM(OSRRefE21_16x_4)</f>
        <v>5645</v>
      </c>
      <c r="J104" s="1">
        <f>SUM(OSRRefE21_16x_5)</f>
        <v>11245</v>
      </c>
      <c r="K104" s="1">
        <f>SUM(OSRRefE21_16x_6)</f>
        <v>30945</v>
      </c>
      <c r="L104" s="1">
        <f>SUM(OSRRefE21_16x_7)</f>
        <v>10745</v>
      </c>
      <c r="M104" s="1">
        <f>SUM(OSRRefE21_16x_8)</f>
        <v>10745</v>
      </c>
      <c r="N104" s="1">
        <f>SUM(OSRRefE21_16x_9)</f>
        <v>10645</v>
      </c>
      <c r="O104" s="1">
        <f>SUM(OSRRefE21_16x_10)</f>
        <v>10745</v>
      </c>
      <c r="Q104" s="2">
        <f>SUM(OSRRefD20_16x)+IFERROR(SUM(OSRRefE20_16x),0)</f>
        <v>197657.72999999998</v>
      </c>
    </row>
    <row r="105" spans="1:17" s="34" customFormat="1" hidden="1" outlineLevel="1" x14ac:dyDescent="0.3">
      <c r="A105" s="35"/>
      <c r="B105" s="10" t="str">
        <f>CONCATENATE("          ","6371", " - ","COMPUTER SOFTWARE MAINTENANCE")</f>
        <v xml:space="preserve">          6371 - COMPUTER SOFTWARE MAINTENANCE</v>
      </c>
      <c r="C105" s="14"/>
      <c r="D105" s="2">
        <v>59623.5</v>
      </c>
      <c r="E105" s="2">
        <v>1000</v>
      </c>
      <c r="F105" s="2">
        <v>1000</v>
      </c>
      <c r="G105" s="2">
        <v>1100</v>
      </c>
      <c r="H105" s="2">
        <v>1000</v>
      </c>
      <c r="I105" s="2">
        <v>1000</v>
      </c>
      <c r="J105" s="2">
        <v>1000</v>
      </c>
      <c r="K105" s="2">
        <v>1000</v>
      </c>
      <c r="L105" s="2">
        <v>1000</v>
      </c>
      <c r="M105" s="2">
        <v>1000</v>
      </c>
      <c r="N105" s="2">
        <v>1000</v>
      </c>
      <c r="O105" s="2">
        <v>1000</v>
      </c>
      <c r="P105" s="9"/>
      <c r="Q105" s="2">
        <f>SUM(OSRRefD21_16_0x)+IFERROR(SUM(OSRRefE21_16_0x),0)</f>
        <v>70723.5</v>
      </c>
    </row>
    <row r="106" spans="1:17" s="34" customFormat="1" hidden="1" outlineLevel="1" x14ac:dyDescent="0.3">
      <c r="A106" s="35"/>
      <c r="B106" s="10" t="str">
        <f>CONCATENATE("          ","6372", " - ","COMPUTER HARDWARE MAINTENANCE")</f>
        <v xml:space="preserve">          6372 - COMPUTER HARDWARE MAINTENANCE</v>
      </c>
      <c r="C106" s="14"/>
      <c r="D106" s="2"/>
      <c r="E106" s="2">
        <v>3750</v>
      </c>
      <c r="F106" s="2">
        <v>3750</v>
      </c>
      <c r="G106" s="2">
        <v>3750</v>
      </c>
      <c r="H106" s="2">
        <v>3750</v>
      </c>
      <c r="I106" s="2">
        <v>3750</v>
      </c>
      <c r="J106" s="2">
        <v>3750</v>
      </c>
      <c r="K106" s="2">
        <v>3750</v>
      </c>
      <c r="L106" s="2">
        <v>3750</v>
      </c>
      <c r="M106" s="2">
        <v>3750</v>
      </c>
      <c r="N106" s="2">
        <v>3750</v>
      </c>
      <c r="O106" s="2">
        <v>3750</v>
      </c>
      <c r="P106" s="9"/>
      <c r="Q106" s="2">
        <f>SUM(OSRRefD21_16_1x)+IFERROR(SUM(OSRRefE21_16_1x),0)</f>
        <v>41250</v>
      </c>
    </row>
    <row r="107" spans="1:17" s="34" customFormat="1" hidden="1" outlineLevel="1" x14ac:dyDescent="0.3">
      <c r="A107" s="35"/>
      <c r="B107" s="10" t="str">
        <f>CONCATENATE("          ","6373", " - ","MAINTENANCE CONTRACTS")</f>
        <v xml:space="preserve">          6373 - MAINTENANCE CONTRACTS</v>
      </c>
      <c r="C107" s="14"/>
      <c r="D107" s="2">
        <v>654.63</v>
      </c>
      <c r="E107" s="2">
        <v>4355</v>
      </c>
      <c r="F107" s="2">
        <v>8355</v>
      </c>
      <c r="G107" s="2">
        <v>4855</v>
      </c>
      <c r="H107" s="2">
        <v>5355</v>
      </c>
      <c r="I107" s="2">
        <v>855</v>
      </c>
      <c r="J107" s="2">
        <v>5955</v>
      </c>
      <c r="K107" s="2">
        <v>26155</v>
      </c>
      <c r="L107" s="2">
        <v>5955</v>
      </c>
      <c r="M107" s="2">
        <v>5955</v>
      </c>
      <c r="N107" s="2">
        <v>5855</v>
      </c>
      <c r="O107" s="2">
        <v>5955</v>
      </c>
      <c r="P107" s="9"/>
      <c r="Q107" s="2">
        <f>SUM(OSRRefD21_16_2x)+IFERROR(SUM(OSRRefE21_16_2x),0)</f>
        <v>80259.63</v>
      </c>
    </row>
    <row r="108" spans="1:17" s="34" customFormat="1" hidden="1" outlineLevel="1" x14ac:dyDescent="0.3">
      <c r="A108" s="35"/>
      <c r="B108" s="10" t="str">
        <f>CONCATENATE("          ","6375", " - ","OUTSIDE REPAIRS &amp; MAINTENANCE")</f>
        <v xml:space="preserve">          6375 - OUTSIDE REPAIRS &amp; MAINTENANCE</v>
      </c>
      <c r="C108" s="14"/>
      <c r="D108" s="2">
        <v>4484.6000000000004</v>
      </c>
      <c r="E108" s="2">
        <v>40</v>
      </c>
      <c r="F108" s="2">
        <v>40</v>
      </c>
      <c r="G108" s="2">
        <v>40</v>
      </c>
      <c r="H108" s="2">
        <v>40</v>
      </c>
      <c r="I108" s="2">
        <v>40</v>
      </c>
      <c r="J108" s="2">
        <v>540</v>
      </c>
      <c r="K108" s="2">
        <v>40</v>
      </c>
      <c r="L108" s="2">
        <v>40</v>
      </c>
      <c r="M108" s="2">
        <v>40</v>
      </c>
      <c r="N108" s="2">
        <v>40</v>
      </c>
      <c r="O108" s="2">
        <v>40</v>
      </c>
      <c r="P108" s="9"/>
      <c r="Q108" s="2">
        <f>SUM(OSRRefD21_16_3x)+IFERROR(SUM(OSRRefE21_16_3x),0)</f>
        <v>5424.6</v>
      </c>
    </row>
    <row r="109" spans="1:17" s="34" customFormat="1" collapsed="1" x14ac:dyDescent="0.3">
      <c r="A109" s="35"/>
      <c r="B109" s="14" t="str">
        <f>CONCATENATE("     ","Royalty &amp; Commissions                             ")</f>
        <v xml:space="preserve">     Royalty &amp; Commissions                             </v>
      </c>
      <c r="C109" s="14"/>
      <c r="D109" s="1">
        <f>SUM(OSRRefD21_17x_0)</f>
        <v>7355.1000000000013</v>
      </c>
      <c r="E109" s="1">
        <f>SUM(OSRRefE21_17x_0)</f>
        <v>5080</v>
      </c>
      <c r="F109" s="1">
        <f>SUM(OSRRefE21_17x_1)</f>
        <v>1766</v>
      </c>
      <c r="G109" s="1">
        <f>SUM(OSRRefE21_17x_2)</f>
        <v>11812</v>
      </c>
      <c r="H109" s="1">
        <f>SUM(OSRRefE21_17x_3)</f>
        <v>9014</v>
      </c>
      <c r="I109" s="1">
        <f>SUM(OSRRefE21_17x_4)</f>
        <v>4906</v>
      </c>
      <c r="J109" s="1">
        <f>SUM(OSRRefE21_17x_5)</f>
        <v>19106</v>
      </c>
      <c r="K109" s="1">
        <f>SUM(OSRRefE21_17x_6)</f>
        <v>5446</v>
      </c>
      <c r="L109" s="1">
        <f>SUM(OSRRefE21_17x_7)</f>
        <v>2685</v>
      </c>
      <c r="M109" s="1">
        <f>SUM(OSRRefE21_17x_8)</f>
        <v>17203</v>
      </c>
      <c r="N109" s="1">
        <f>SUM(OSRRefE21_17x_9)</f>
        <v>9656</v>
      </c>
      <c r="O109" s="1">
        <f>SUM(OSRRefE21_17x_10)</f>
        <v>9822</v>
      </c>
      <c r="Q109" s="2">
        <f>SUM(OSRRefD20_17x)+IFERROR(SUM(OSRRefE20_17x),0)</f>
        <v>103851.1</v>
      </c>
    </row>
    <row r="110" spans="1:17" s="34" customFormat="1" hidden="1" outlineLevel="1" x14ac:dyDescent="0.3">
      <c r="A110" s="35"/>
      <c r="B110" s="10" t="str">
        <f>CONCATENATE("          ","6252", " - ","ROYALTY DUE CSTV")</f>
        <v xml:space="preserve">          6252 - ROYALTY DUE CSTV</v>
      </c>
      <c r="C110" s="14"/>
      <c r="D110" s="2"/>
      <c r="E110" s="2">
        <v>2080</v>
      </c>
      <c r="F110" s="2">
        <v>1266</v>
      </c>
      <c r="G110" s="2">
        <v>1122</v>
      </c>
      <c r="H110" s="2">
        <v>3014</v>
      </c>
      <c r="I110" s="2">
        <v>1906</v>
      </c>
      <c r="J110" s="2">
        <v>821</v>
      </c>
      <c r="K110" s="2">
        <v>446</v>
      </c>
      <c r="L110" s="2">
        <v>1085</v>
      </c>
      <c r="M110" s="2">
        <v>948</v>
      </c>
      <c r="N110" s="2">
        <v>2156</v>
      </c>
      <c r="O110" s="2">
        <v>3322</v>
      </c>
      <c r="P110" s="9"/>
      <c r="Q110" s="2">
        <f>SUM(OSRRefD21_17_0x)+IFERROR(SUM(OSRRefE21_17_0x),0)</f>
        <v>18166</v>
      </c>
    </row>
    <row r="111" spans="1:17" s="34" customFormat="1" hidden="1" outlineLevel="1" x14ac:dyDescent="0.3">
      <c r="A111" s="35"/>
      <c r="B111" s="10" t="str">
        <f>CONCATENATE("          ","6253", " - ","ROYALTY DUE ATHLETICS-LRG")</f>
        <v xml:space="preserve">          6253 - ROYALTY DUE ATHLETICS-LRG</v>
      </c>
      <c r="C111" s="14"/>
      <c r="D111" s="2">
        <v>14376.54</v>
      </c>
      <c r="E111" s="2">
        <v>0</v>
      </c>
      <c r="F111" s="2">
        <v>0</v>
      </c>
      <c r="G111" s="2">
        <v>10490</v>
      </c>
      <c r="H111" s="2">
        <v>0</v>
      </c>
      <c r="I111" s="2">
        <v>0</v>
      </c>
      <c r="J111" s="2">
        <v>7785</v>
      </c>
      <c r="K111" s="2">
        <v>0</v>
      </c>
      <c r="L111" s="2">
        <v>0</v>
      </c>
      <c r="M111" s="2">
        <v>14555</v>
      </c>
      <c r="N111" s="2">
        <v>0</v>
      </c>
      <c r="O111" s="2">
        <v>0</v>
      </c>
      <c r="P111" s="9"/>
      <c r="Q111" s="2">
        <f>SUM(OSRRefD21_17_1x)+IFERROR(SUM(OSRRefE21_17_1x),0)</f>
        <v>47206.54</v>
      </c>
    </row>
    <row r="112" spans="1:17" s="34" customFormat="1" hidden="1" outlineLevel="1" x14ac:dyDescent="0.3">
      <c r="A112" s="35"/>
      <c r="B112" s="10" t="str">
        <f>CONCATENATE("          ","6254", " - ","ROYALTY &amp; COMMISSIONS")</f>
        <v xml:space="preserve">          6254 - ROYALTY &amp; COMMISSIONS</v>
      </c>
      <c r="C112" s="14"/>
      <c r="D112" s="2">
        <v>-7027.5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500</v>
      </c>
      <c r="K112" s="2">
        <v>1000</v>
      </c>
      <c r="L112" s="2">
        <v>1000</v>
      </c>
      <c r="M112" s="2">
        <v>1000</v>
      </c>
      <c r="N112" s="2">
        <v>1000</v>
      </c>
      <c r="O112" s="2">
        <v>0</v>
      </c>
      <c r="P112" s="9"/>
      <c r="Q112" s="2">
        <f>SUM(OSRRefD21_17_2x)+IFERROR(SUM(OSRRefE21_17_2x),0)</f>
        <v>-2527.5</v>
      </c>
    </row>
    <row r="113" spans="1:17" s="34" customFormat="1" hidden="1" outlineLevel="1" x14ac:dyDescent="0.3">
      <c r="A113" s="35"/>
      <c r="B113" s="10" t="str">
        <f>CONCATENATE("          ","6259", " - ","ROYALTY &amp; COMMISSIONS")</f>
        <v xml:space="preserve">          6259 - ROYALTY &amp; COMMISSIONS</v>
      </c>
      <c r="C113" s="14"/>
      <c r="D113" s="2">
        <v>6.06</v>
      </c>
      <c r="E113" s="2">
        <v>3000</v>
      </c>
      <c r="F113" s="2">
        <v>500</v>
      </c>
      <c r="G113" s="2">
        <v>200</v>
      </c>
      <c r="H113" s="2">
        <v>6000</v>
      </c>
      <c r="I113" s="2">
        <v>3000</v>
      </c>
      <c r="J113" s="2">
        <v>10000</v>
      </c>
      <c r="K113" s="2">
        <v>4000</v>
      </c>
      <c r="L113" s="2">
        <v>600</v>
      </c>
      <c r="M113" s="2">
        <v>700</v>
      </c>
      <c r="N113" s="2">
        <v>6500</v>
      </c>
      <c r="O113" s="2">
        <v>6500</v>
      </c>
      <c r="P113" s="9"/>
      <c r="Q113" s="2">
        <f>SUM(OSRRefD21_17_3x)+IFERROR(SUM(OSRRefE21_17_3x),0)</f>
        <v>41006.06</v>
      </c>
    </row>
    <row r="114" spans="1:17" s="34" customFormat="1" collapsed="1" x14ac:dyDescent="0.3">
      <c r="A114" s="35"/>
      <c r="B114" s="14" t="str">
        <f>CONCATENATE("     ","Services                                          ")</f>
        <v xml:space="preserve">     Services                                          </v>
      </c>
      <c r="C114" s="14"/>
      <c r="D114" s="1">
        <f>SUM(OSRRefD21_18x_0)</f>
        <v>4006.32</v>
      </c>
      <c r="E114" s="1">
        <f>SUM(OSRRefE21_18x_0)</f>
        <v>4360</v>
      </c>
      <c r="F114" s="1">
        <f>SUM(OSRRefE21_18x_1)</f>
        <v>4420</v>
      </c>
      <c r="G114" s="1">
        <f>SUM(OSRRefE21_18x_2)</f>
        <v>4360</v>
      </c>
      <c r="H114" s="1">
        <f>SUM(OSRRefE21_18x_3)</f>
        <v>4360</v>
      </c>
      <c r="I114" s="1">
        <f>SUM(OSRRefE21_18x_4)</f>
        <v>4420</v>
      </c>
      <c r="J114" s="1">
        <f>SUM(OSRRefE21_18x_5)</f>
        <v>4360</v>
      </c>
      <c r="K114" s="1">
        <f>SUM(OSRRefE21_18x_6)</f>
        <v>4360</v>
      </c>
      <c r="L114" s="1">
        <f>SUM(OSRRefE21_18x_7)</f>
        <v>4420</v>
      </c>
      <c r="M114" s="1">
        <f>SUM(OSRRefE21_18x_8)</f>
        <v>4360</v>
      </c>
      <c r="N114" s="1">
        <f>SUM(OSRRefE21_18x_9)</f>
        <v>4360</v>
      </c>
      <c r="O114" s="1">
        <f>SUM(OSRRefE21_18x_10)</f>
        <v>4420</v>
      </c>
      <c r="Q114" s="2">
        <f>SUM(OSRRefD20_18x)+IFERROR(SUM(OSRRefE20_18x),0)</f>
        <v>52206.32</v>
      </c>
    </row>
    <row r="115" spans="1:17" s="34" customFormat="1" hidden="1" outlineLevel="1" x14ac:dyDescent="0.3">
      <c r="A115" s="35"/>
      <c r="B115" s="10" t="str">
        <f>CONCATENATE("          ","6282", " - ","JANITORIAL/EXTERMINATOR EXPENS")</f>
        <v xml:space="preserve">          6282 - JANITORIAL/EXTERMINATOR EXPENS</v>
      </c>
      <c r="C115" s="14"/>
      <c r="D115" s="2"/>
      <c r="E115" s="2">
        <v>4300</v>
      </c>
      <c r="F115" s="2">
        <v>4300</v>
      </c>
      <c r="G115" s="2">
        <v>4300</v>
      </c>
      <c r="H115" s="2">
        <v>4300</v>
      </c>
      <c r="I115" s="2">
        <v>4300</v>
      </c>
      <c r="J115" s="2">
        <v>4300</v>
      </c>
      <c r="K115" s="2">
        <v>4300</v>
      </c>
      <c r="L115" s="2">
        <v>4300</v>
      </c>
      <c r="M115" s="2">
        <v>4300</v>
      </c>
      <c r="N115" s="2">
        <v>4300</v>
      </c>
      <c r="O115" s="2">
        <v>4300</v>
      </c>
      <c r="P115" s="9"/>
      <c r="Q115" s="2">
        <f>SUM(OSRRefD21_18_0x)+IFERROR(SUM(OSRRefE21_18_0x),0)</f>
        <v>47300</v>
      </c>
    </row>
    <row r="116" spans="1:17" s="34" customFormat="1" hidden="1" outlineLevel="1" x14ac:dyDescent="0.3">
      <c r="A116" s="35"/>
      <c r="B116" s="10" t="str">
        <f>CONCATENATE("          ","6284", " - ","TRASH REMOVAL EXPENSE")</f>
        <v xml:space="preserve">          6284 - TRASH REMOVAL EXPENSE</v>
      </c>
      <c r="C116" s="14"/>
      <c r="D116" s="2">
        <v>142.57</v>
      </c>
      <c r="E116" s="2">
        <v>60</v>
      </c>
      <c r="F116" s="2">
        <v>120</v>
      </c>
      <c r="G116" s="2">
        <v>60</v>
      </c>
      <c r="H116" s="2">
        <v>60</v>
      </c>
      <c r="I116" s="2">
        <v>120</v>
      </c>
      <c r="J116" s="2">
        <v>60</v>
      </c>
      <c r="K116" s="2">
        <v>60</v>
      </c>
      <c r="L116" s="2">
        <v>120</v>
      </c>
      <c r="M116" s="2">
        <v>60</v>
      </c>
      <c r="N116" s="2">
        <v>60</v>
      </c>
      <c r="O116" s="2">
        <v>120</v>
      </c>
      <c r="P116" s="9"/>
      <c r="Q116" s="2">
        <f>SUM(OSRRefD21_18_1x)+IFERROR(SUM(OSRRefE21_18_1x),0)</f>
        <v>1042.57</v>
      </c>
    </row>
    <row r="117" spans="1:17" s="34" customFormat="1" hidden="1" outlineLevel="1" x14ac:dyDescent="0.3">
      <c r="A117" s="35"/>
      <c r="B117" s="10" t="str">
        <f>CONCATENATE("          ","6285", " - ","JANITORIAL SERVICES")</f>
        <v xml:space="preserve">          6285 - JANITORIAL SERVICES</v>
      </c>
      <c r="C117" s="14"/>
      <c r="D117" s="2">
        <v>3863.75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2">
        <f>SUM(OSRRefD21_18_2x)+IFERROR(SUM(OSRRefE21_18_2x),0)</f>
        <v>3863.75</v>
      </c>
    </row>
    <row r="118" spans="1:17" s="34" customFormat="1" collapsed="1" x14ac:dyDescent="0.3">
      <c r="A118" s="35"/>
      <c r="B118" s="14" t="str">
        <f>CONCATENATE("     ","Subscriptions &amp; Dues                              ")</f>
        <v xml:space="preserve">     Subscriptions &amp; Dues                              </v>
      </c>
      <c r="C118" s="14"/>
      <c r="D118" s="1">
        <f>SUM(OSRRefD21_19x_0)</f>
        <v>68.319999999999993</v>
      </c>
      <c r="E118" s="1">
        <f>SUM(OSRRefE21_19x_0)</f>
        <v>1361</v>
      </c>
      <c r="F118" s="1">
        <f>SUM(OSRRefE21_19x_1)</f>
        <v>381</v>
      </c>
      <c r="G118" s="1">
        <f>SUM(OSRRefE21_19x_2)</f>
        <v>1361</v>
      </c>
      <c r="H118" s="1">
        <f>SUM(OSRRefE21_19x_3)</f>
        <v>381</v>
      </c>
      <c r="I118" s="1">
        <f>SUM(OSRRefE21_19x_4)</f>
        <v>1361</v>
      </c>
      <c r="J118" s="1">
        <f>SUM(OSRRefE21_19x_5)</f>
        <v>2381</v>
      </c>
      <c r="K118" s="1">
        <f>SUM(OSRRefE21_19x_6)</f>
        <v>1461</v>
      </c>
      <c r="L118" s="1">
        <f>SUM(OSRRefE21_19x_7)</f>
        <v>481</v>
      </c>
      <c r="M118" s="1">
        <f>SUM(OSRRefE21_19x_8)</f>
        <v>1461</v>
      </c>
      <c r="N118" s="1">
        <f>SUM(OSRRefE21_19x_9)</f>
        <v>481</v>
      </c>
      <c r="O118" s="1">
        <f>SUM(OSRRefE21_19x_10)</f>
        <v>661</v>
      </c>
      <c r="Q118" s="2">
        <f>SUM(OSRRefD20_19x)+IFERROR(SUM(OSRRefE20_19x),0)</f>
        <v>11839.32</v>
      </c>
    </row>
    <row r="119" spans="1:17" s="34" customFormat="1" hidden="1" outlineLevel="1" x14ac:dyDescent="0.3">
      <c r="A119" s="35"/>
      <c r="B119" s="10" t="str">
        <f>CONCATENATE("          ","6258", " - ","MEMBERSHIP DUES")</f>
        <v xml:space="preserve">          6258 - MEMBERSHIP DUES</v>
      </c>
      <c r="C119" s="14"/>
      <c r="D119" s="2">
        <v>68.319999999999993</v>
      </c>
      <c r="E119" s="2">
        <v>1300</v>
      </c>
      <c r="F119" s="2">
        <v>300</v>
      </c>
      <c r="G119" s="2">
        <v>1300</v>
      </c>
      <c r="H119" s="2">
        <v>300</v>
      </c>
      <c r="I119" s="2">
        <v>1300</v>
      </c>
      <c r="J119" s="2">
        <v>300</v>
      </c>
      <c r="K119" s="2">
        <v>1300</v>
      </c>
      <c r="L119" s="2">
        <v>300</v>
      </c>
      <c r="M119" s="2">
        <v>1300</v>
      </c>
      <c r="N119" s="2">
        <v>300</v>
      </c>
      <c r="O119" s="2">
        <v>500</v>
      </c>
      <c r="P119" s="9"/>
      <c r="Q119" s="2">
        <f>SUM(OSRRefD21_19_0x)+IFERROR(SUM(OSRRefE21_19_0x),0)</f>
        <v>8568.32</v>
      </c>
    </row>
    <row r="120" spans="1:17" s="34" customFormat="1" hidden="1" outlineLevel="1" x14ac:dyDescent="0.3">
      <c r="A120" s="35"/>
      <c r="B120" s="10" t="str">
        <f>CONCATENATE("          ","6275", " - ","SUBSCRIPTIONS")</f>
        <v xml:space="preserve">          6275 - SUBSCRIPTIONS</v>
      </c>
      <c r="C120" s="14"/>
      <c r="D120" s="2"/>
      <c r="E120" s="2">
        <v>61</v>
      </c>
      <c r="F120" s="2">
        <v>81</v>
      </c>
      <c r="G120" s="2">
        <v>61</v>
      </c>
      <c r="H120" s="2">
        <v>81</v>
      </c>
      <c r="I120" s="2">
        <v>61</v>
      </c>
      <c r="J120" s="2">
        <v>2081</v>
      </c>
      <c r="K120" s="2">
        <v>161</v>
      </c>
      <c r="L120" s="2">
        <v>181</v>
      </c>
      <c r="M120" s="2">
        <v>161</v>
      </c>
      <c r="N120" s="2">
        <v>181</v>
      </c>
      <c r="O120" s="2">
        <v>161</v>
      </c>
      <c r="P120" s="9"/>
      <c r="Q120" s="2">
        <f>SUM(OSRRefD21_19_1x)+IFERROR(SUM(OSRRefE21_19_1x),0)</f>
        <v>3271</v>
      </c>
    </row>
    <row r="121" spans="1:17" s="34" customFormat="1" collapsed="1" x14ac:dyDescent="0.3">
      <c r="A121" s="35"/>
      <c r="B121" s="14" t="str">
        <f>CONCATENATE("     ","Supplies                                          ")</f>
        <v xml:space="preserve">     Supplies                                          </v>
      </c>
      <c r="C121" s="14"/>
      <c r="D121" s="1">
        <f>SUM(OSRRefD21_20x_0)</f>
        <v>9128.16</v>
      </c>
      <c r="E121" s="1">
        <f>SUM(OSRRefE21_20x_0)</f>
        <v>7620</v>
      </c>
      <c r="F121" s="1">
        <f>SUM(OSRRefE21_20x_1)</f>
        <v>15890</v>
      </c>
      <c r="G121" s="1">
        <f>SUM(OSRRefE21_20x_2)</f>
        <v>10640</v>
      </c>
      <c r="H121" s="1">
        <f>SUM(OSRRefE21_20x_3)</f>
        <v>8370</v>
      </c>
      <c r="I121" s="1">
        <f>SUM(OSRRefE21_20x_4)</f>
        <v>8640</v>
      </c>
      <c r="J121" s="1">
        <f>SUM(OSRRefE21_20x_5)</f>
        <v>18540</v>
      </c>
      <c r="K121" s="1">
        <f>SUM(OSRRefE21_20x_6)</f>
        <v>13640</v>
      </c>
      <c r="L121" s="1">
        <f>SUM(OSRRefE21_20x_7)</f>
        <v>8040</v>
      </c>
      <c r="M121" s="1">
        <f>SUM(OSRRefE21_20x_8)</f>
        <v>11290</v>
      </c>
      <c r="N121" s="1">
        <f>SUM(OSRRefE21_20x_9)</f>
        <v>12230</v>
      </c>
      <c r="O121" s="1">
        <f>SUM(OSRRefE21_20x_10)</f>
        <v>7940</v>
      </c>
      <c r="Q121" s="2">
        <f>SUM(OSRRefD20_20x)+IFERROR(SUM(OSRRefE20_20x),0)</f>
        <v>131968.16</v>
      </c>
    </row>
    <row r="122" spans="1:17" s="34" customFormat="1" hidden="1" outlineLevel="1" x14ac:dyDescent="0.3">
      <c r="A122" s="35"/>
      <c r="B122" s="10" t="str">
        <f>CONCATENATE("          ","6234", " - ","EXPENDABLE SUPPLIES &amp; EQUIPMEN")</f>
        <v xml:space="preserve">          6234 - EXPENDABLE SUPPLIES &amp; EQUIPMEN</v>
      </c>
      <c r="C122" s="14"/>
      <c r="D122" s="2"/>
      <c r="E122" s="2"/>
      <c r="F122" s="2">
        <v>300</v>
      </c>
      <c r="G122" s="2">
        <v>300</v>
      </c>
      <c r="H122" s="2">
        <v>300</v>
      </c>
      <c r="I122" s="2">
        <v>300</v>
      </c>
      <c r="J122" s="2">
        <v>300</v>
      </c>
      <c r="K122" s="2">
        <v>300</v>
      </c>
      <c r="L122" s="2">
        <v>300</v>
      </c>
      <c r="M122" s="2">
        <v>300</v>
      </c>
      <c r="N122" s="2">
        <v>300</v>
      </c>
      <c r="O122" s="2">
        <v>300</v>
      </c>
      <c r="P122" s="9"/>
      <c r="Q122" s="2">
        <f>SUM(OSRRefD21_20_0x)+IFERROR(SUM(OSRRefE21_20_0x),0)</f>
        <v>3000</v>
      </c>
    </row>
    <row r="123" spans="1:17" s="34" customFormat="1" hidden="1" outlineLevel="1" x14ac:dyDescent="0.3">
      <c r="A123" s="35"/>
      <c r="B123" s="10" t="str">
        <f>CONCATENATE("          ","6235", " - ","COVID-19 EXPENSES")</f>
        <v xml:space="preserve">          6235 - COVID-19 EXPENSES</v>
      </c>
      <c r="C123" s="14"/>
      <c r="D123" s="2">
        <v>272.22000000000003</v>
      </c>
      <c r="E123" s="2">
        <v>125</v>
      </c>
      <c r="F123" s="2">
        <v>125</v>
      </c>
      <c r="G123" s="2">
        <v>125</v>
      </c>
      <c r="H123" s="2">
        <v>125</v>
      </c>
      <c r="I123" s="2">
        <v>125</v>
      </c>
      <c r="J123" s="2">
        <v>125</v>
      </c>
      <c r="K123" s="2">
        <v>125</v>
      </c>
      <c r="L123" s="2">
        <v>125</v>
      </c>
      <c r="M123" s="2">
        <v>125</v>
      </c>
      <c r="N123" s="2">
        <v>125</v>
      </c>
      <c r="O123" s="2">
        <v>125</v>
      </c>
      <c r="P123" s="9"/>
      <c r="Q123" s="2">
        <f>SUM(OSRRefD21_20_1x)+IFERROR(SUM(OSRRefE21_20_1x),0)</f>
        <v>1647.22</v>
      </c>
    </row>
    <row r="124" spans="1:17" s="34" customFormat="1" hidden="1" outlineLevel="1" x14ac:dyDescent="0.3">
      <c r="A124" s="35"/>
      <c r="B124" s="10" t="str">
        <f>CONCATENATE("          ","6237", " - ","JANITORIAL SUPPLIES")</f>
        <v xml:space="preserve">          6237 - JANITORIAL SUPPLIES</v>
      </c>
      <c r="C124" s="14"/>
      <c r="D124" s="2">
        <v>655.97</v>
      </c>
      <c r="E124" s="2">
        <v>10</v>
      </c>
      <c r="F124" s="2">
        <v>10</v>
      </c>
      <c r="G124" s="2">
        <v>10</v>
      </c>
      <c r="H124" s="2">
        <v>10</v>
      </c>
      <c r="I124" s="2">
        <v>50</v>
      </c>
      <c r="J124" s="2">
        <v>10</v>
      </c>
      <c r="K124" s="2">
        <v>10</v>
      </c>
      <c r="L124" s="2">
        <v>10</v>
      </c>
      <c r="M124" s="2">
        <v>10</v>
      </c>
      <c r="N124" s="2">
        <v>50</v>
      </c>
      <c r="O124" s="2">
        <v>10</v>
      </c>
      <c r="P124" s="9"/>
      <c r="Q124" s="2">
        <f>SUM(OSRRefD21_20_2x)+IFERROR(SUM(OSRRefE21_20_2x),0)</f>
        <v>845.97</v>
      </c>
    </row>
    <row r="125" spans="1:17" s="34" customFormat="1" hidden="1" outlineLevel="1" x14ac:dyDescent="0.3">
      <c r="A125" s="35"/>
      <c r="B125" s="10" t="str">
        <f>CONCATENATE("          ","6241", " - ","OFFICE EXPENSE")</f>
        <v xml:space="preserve">          6241 - OFFICE EXPENSE</v>
      </c>
      <c r="C125" s="14"/>
      <c r="D125" s="2">
        <v>415.21</v>
      </c>
      <c r="E125" s="2">
        <v>880</v>
      </c>
      <c r="F125" s="2">
        <v>580</v>
      </c>
      <c r="G125" s="2">
        <v>580</v>
      </c>
      <c r="H125" s="2">
        <v>580</v>
      </c>
      <c r="I125" s="2">
        <v>1080</v>
      </c>
      <c r="J125" s="2">
        <v>780</v>
      </c>
      <c r="K125" s="2">
        <v>830</v>
      </c>
      <c r="L125" s="2">
        <v>580</v>
      </c>
      <c r="M125" s="2">
        <v>580</v>
      </c>
      <c r="N125" s="2">
        <v>580</v>
      </c>
      <c r="O125" s="2">
        <v>530</v>
      </c>
      <c r="P125" s="9"/>
      <c r="Q125" s="2">
        <f>SUM(OSRRefD21_20_3x)+IFERROR(SUM(OSRRefE21_20_3x),0)</f>
        <v>7995.21</v>
      </c>
    </row>
    <row r="126" spans="1:17" s="34" customFormat="1" hidden="1" outlineLevel="1" x14ac:dyDescent="0.3">
      <c r="A126" s="35"/>
      <c r="B126" s="10" t="str">
        <f>CONCATENATE("          ","6243", " - ","PAPER SUPPLIES")</f>
        <v xml:space="preserve">          6243 - PAPER SUPPLIES</v>
      </c>
      <c r="C126" s="14"/>
      <c r="D126" s="2">
        <v>1649.24</v>
      </c>
      <c r="E126" s="2">
        <v>900</v>
      </c>
      <c r="F126" s="2">
        <v>7500</v>
      </c>
      <c r="G126" s="2">
        <v>3500</v>
      </c>
      <c r="H126" s="2">
        <v>1600</v>
      </c>
      <c r="I126" s="2">
        <v>1200</v>
      </c>
      <c r="J126" s="2">
        <v>7500</v>
      </c>
      <c r="K126" s="2">
        <v>3800</v>
      </c>
      <c r="L126" s="2">
        <v>150</v>
      </c>
      <c r="M126" s="2">
        <v>4200</v>
      </c>
      <c r="N126" s="2">
        <v>2800</v>
      </c>
      <c r="O126" s="2">
        <v>1250</v>
      </c>
      <c r="P126" s="9"/>
      <c r="Q126" s="2">
        <f>SUM(OSRRefD21_20_4x)+IFERROR(SUM(OSRRefE21_20_4x),0)</f>
        <v>36049.24</v>
      </c>
    </row>
    <row r="127" spans="1:17" s="34" customFormat="1" hidden="1" outlineLevel="1" x14ac:dyDescent="0.3">
      <c r="A127" s="35"/>
      <c r="B127" s="10" t="str">
        <f>CONCATENATE("          ","6245", " - ","PRINTING")</f>
        <v xml:space="preserve">          6245 - PRINTING</v>
      </c>
      <c r="C127" s="14"/>
      <c r="D127" s="2">
        <v>251.64</v>
      </c>
      <c r="E127" s="2">
        <v>30</v>
      </c>
      <c r="F127" s="2">
        <v>1600</v>
      </c>
      <c r="G127" s="2">
        <v>250</v>
      </c>
      <c r="H127" s="2">
        <v>80</v>
      </c>
      <c r="I127" s="2">
        <v>160</v>
      </c>
      <c r="J127" s="2">
        <v>3750</v>
      </c>
      <c r="K127" s="2">
        <v>1600</v>
      </c>
      <c r="L127" s="2">
        <v>500</v>
      </c>
      <c r="M127" s="2">
        <v>50</v>
      </c>
      <c r="N127" s="2">
        <v>2300</v>
      </c>
      <c r="O127" s="2">
        <v>50</v>
      </c>
      <c r="P127" s="9"/>
      <c r="Q127" s="2">
        <f>SUM(OSRRefD21_20_5x)+IFERROR(SUM(OSRRefE21_20_5x),0)</f>
        <v>10621.64</v>
      </c>
    </row>
    <row r="128" spans="1:17" s="34" customFormat="1" hidden="1" outlineLevel="1" x14ac:dyDescent="0.3">
      <c r="A128" s="35"/>
      <c r="B128" s="10" t="str">
        <f>CONCATENATE("          ","6247", " - ","STORE SUPPLIES")</f>
        <v xml:space="preserve">          6247 - STORE SUPPLIES</v>
      </c>
      <c r="C128" s="14"/>
      <c r="D128" s="2">
        <v>5883.88</v>
      </c>
      <c r="E128" s="2">
        <v>5675</v>
      </c>
      <c r="F128" s="2">
        <v>5775</v>
      </c>
      <c r="G128" s="2">
        <v>5875</v>
      </c>
      <c r="H128" s="2">
        <v>5675</v>
      </c>
      <c r="I128" s="2">
        <v>5725</v>
      </c>
      <c r="J128" s="2">
        <v>6075</v>
      </c>
      <c r="K128" s="2">
        <v>6975</v>
      </c>
      <c r="L128" s="2">
        <v>6375</v>
      </c>
      <c r="M128" s="2">
        <v>6025</v>
      </c>
      <c r="N128" s="2">
        <v>6075</v>
      </c>
      <c r="O128" s="2">
        <v>5675</v>
      </c>
      <c r="P128" s="9"/>
      <c r="Q128" s="2">
        <f>SUM(OSRRefD21_20_6x)+IFERROR(SUM(OSRRefE21_20_6x),0)</f>
        <v>71808.88</v>
      </c>
    </row>
    <row r="129" spans="1:17" s="34" customFormat="1" collapsed="1" x14ac:dyDescent="0.3">
      <c r="A129" s="35"/>
      <c r="B129" s="14" t="str">
        <f>CONCATENATE("     ","Telephone/Data Lines                              ")</f>
        <v xml:space="preserve">     Telephone/Data Lines                              </v>
      </c>
      <c r="C129" s="14"/>
      <c r="D129" s="1">
        <f>SUM(OSRRefD21_21x_0)</f>
        <v>1851.74</v>
      </c>
      <c r="E129" s="1">
        <f>SUM(OSRRefE21_21x_0)</f>
        <v>2310</v>
      </c>
      <c r="F129" s="1">
        <f>SUM(OSRRefE21_21x_1)</f>
        <v>2160</v>
      </c>
      <c r="G129" s="1">
        <f>SUM(OSRRefE21_21x_2)</f>
        <v>2060</v>
      </c>
      <c r="H129" s="1">
        <f>SUM(OSRRefE21_21x_3)</f>
        <v>2060</v>
      </c>
      <c r="I129" s="1">
        <f>SUM(OSRRefE21_21x_4)</f>
        <v>2210</v>
      </c>
      <c r="J129" s="1">
        <f>SUM(OSRRefE21_21x_5)</f>
        <v>2160</v>
      </c>
      <c r="K129" s="1">
        <f>SUM(OSRRefE21_21x_6)</f>
        <v>2060</v>
      </c>
      <c r="L129" s="1">
        <f>SUM(OSRRefE21_21x_7)</f>
        <v>2060</v>
      </c>
      <c r="M129" s="1">
        <f>SUM(OSRRefE21_21x_8)</f>
        <v>2060</v>
      </c>
      <c r="N129" s="1">
        <f>SUM(OSRRefE21_21x_9)</f>
        <v>2060</v>
      </c>
      <c r="O129" s="1">
        <f>SUM(OSRRefE21_21x_10)</f>
        <v>2060</v>
      </c>
      <c r="Q129" s="2">
        <f>SUM(OSRRefD20_21x)+IFERROR(SUM(OSRRefE20_21x),0)</f>
        <v>25111.74</v>
      </c>
    </row>
    <row r="130" spans="1:17" s="34" customFormat="1" hidden="1" outlineLevel="1" x14ac:dyDescent="0.3">
      <c r="A130" s="35"/>
      <c r="B130" s="10" t="str">
        <f>CONCATENATE("          ","6303", " - ","DATA PHONE LINES")</f>
        <v xml:space="preserve">          6303 - DATA PHONE LINES</v>
      </c>
      <c r="C130" s="14"/>
      <c r="D130" s="2">
        <v>295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9"/>
      <c r="Q130" s="2">
        <f>SUM(OSRRefD21_21_0x)+IFERROR(SUM(OSRRefE21_21_0x),0)</f>
        <v>295</v>
      </c>
    </row>
    <row r="131" spans="1:17" s="34" customFormat="1" hidden="1" outlineLevel="1" x14ac:dyDescent="0.3">
      <c r="A131" s="35"/>
      <c r="B131" s="10" t="str">
        <f>CONCATENATE("          ","6309", " - ","TELEPHONE")</f>
        <v xml:space="preserve">          6309 - TELEPHONE</v>
      </c>
      <c r="C131" s="14"/>
      <c r="D131" s="2">
        <v>1556.74</v>
      </c>
      <c r="E131" s="2">
        <v>2310</v>
      </c>
      <c r="F131" s="2">
        <v>2160</v>
      </c>
      <c r="G131" s="2">
        <v>2060</v>
      </c>
      <c r="H131" s="2">
        <v>2060</v>
      </c>
      <c r="I131" s="2">
        <v>2210</v>
      </c>
      <c r="J131" s="2">
        <v>2160</v>
      </c>
      <c r="K131" s="2">
        <v>2060</v>
      </c>
      <c r="L131" s="2">
        <v>2060</v>
      </c>
      <c r="M131" s="2">
        <v>2060</v>
      </c>
      <c r="N131" s="2">
        <v>2060</v>
      </c>
      <c r="O131" s="2">
        <v>2060</v>
      </c>
      <c r="P131" s="9"/>
      <c r="Q131" s="2">
        <f>SUM(OSRRefD21_21_1x)+IFERROR(SUM(OSRRefE21_21_1x),0)</f>
        <v>24816.74</v>
      </c>
    </row>
    <row r="132" spans="1:17" s="34" customFormat="1" collapsed="1" x14ac:dyDescent="0.3">
      <c r="A132" s="35"/>
      <c r="B132" s="14" t="str">
        <f>CONCATENATE("     ","Training                                          ")</f>
        <v xml:space="preserve">     Training                                          </v>
      </c>
      <c r="C132" s="14"/>
      <c r="D132" s="1">
        <f>SUM(OSRRefD21_22x_0)</f>
        <v>0</v>
      </c>
      <c r="E132" s="1">
        <f>SUM(OSRRefE21_22x_0)</f>
        <v>0</v>
      </c>
      <c r="F132" s="1">
        <f>SUM(OSRRefE21_22x_1)</f>
        <v>0</v>
      </c>
      <c r="G132" s="1">
        <f>SUM(OSRRefE21_22x_2)</f>
        <v>0</v>
      </c>
      <c r="H132" s="1">
        <f>SUM(OSRRefE21_22x_3)</f>
        <v>0</v>
      </c>
      <c r="I132" s="1">
        <f>SUM(OSRRefE21_22x_4)</f>
        <v>0</v>
      </c>
      <c r="J132" s="1">
        <f>SUM(OSRRefE21_22x_5)</f>
        <v>0</v>
      </c>
      <c r="K132" s="1">
        <f>SUM(OSRRefE21_22x_6)</f>
        <v>2000</v>
      </c>
      <c r="L132" s="1">
        <f>SUM(OSRRefE21_22x_7)</f>
        <v>0</v>
      </c>
      <c r="M132" s="1">
        <f>SUM(OSRRefE21_22x_8)</f>
        <v>0</v>
      </c>
      <c r="N132" s="1">
        <f>SUM(OSRRefE21_22x_9)</f>
        <v>0</v>
      </c>
      <c r="O132" s="1">
        <f>SUM(OSRRefE21_22x_10)</f>
        <v>0</v>
      </c>
      <c r="Q132" s="2">
        <f>SUM(OSRRefD20_22x)+IFERROR(SUM(OSRRefE20_22x),0)</f>
        <v>2000</v>
      </c>
    </row>
    <row r="133" spans="1:17" s="34" customFormat="1" hidden="1" outlineLevel="1" x14ac:dyDescent="0.3">
      <c r="A133" s="35"/>
      <c r="B133" s="10" t="str">
        <f>CONCATENATE("          ","6376", " - ","TRAINING")</f>
        <v xml:space="preserve">          6376 - TRAINING</v>
      </c>
      <c r="C133" s="14"/>
      <c r="D133" s="2"/>
      <c r="E133" s="2"/>
      <c r="F133" s="2"/>
      <c r="G133" s="2"/>
      <c r="H133" s="2">
        <v>0</v>
      </c>
      <c r="I133" s="2">
        <v>0</v>
      </c>
      <c r="J133" s="2">
        <v>0</v>
      </c>
      <c r="K133" s="2">
        <v>2000</v>
      </c>
      <c r="L133" s="2">
        <v>0</v>
      </c>
      <c r="M133" s="2">
        <v>0</v>
      </c>
      <c r="N133" s="2">
        <v>0</v>
      </c>
      <c r="O133" s="2"/>
      <c r="P133" s="9"/>
      <c r="Q133" s="2">
        <f>SUM(OSRRefD21_22_0x)+IFERROR(SUM(OSRRefE21_22_0x),0)</f>
        <v>2000</v>
      </c>
    </row>
    <row r="134" spans="1:17" s="34" customFormat="1" collapsed="1" x14ac:dyDescent="0.3">
      <c r="A134" s="35"/>
      <c r="B134" s="14" t="str">
        <f>CONCATENATE("     ","Travel                                            ")</f>
        <v xml:space="preserve">     Travel                                            </v>
      </c>
      <c r="C134" s="14"/>
      <c r="D134" s="1">
        <f>SUM(OSRRefD21_23x_0)</f>
        <v>683.14</v>
      </c>
      <c r="E134" s="1">
        <f>SUM(OSRRefE21_23x_0)</f>
        <v>175</v>
      </c>
      <c r="F134" s="1">
        <f>SUM(OSRRefE21_23x_1)</f>
        <v>175</v>
      </c>
      <c r="G134" s="1">
        <f>SUM(OSRRefE21_23x_2)</f>
        <v>175</v>
      </c>
      <c r="H134" s="1">
        <f>SUM(OSRRefE21_23x_3)</f>
        <v>250</v>
      </c>
      <c r="I134" s="1">
        <f>SUM(OSRRefE21_23x_4)</f>
        <v>350</v>
      </c>
      <c r="J134" s="1">
        <f>SUM(OSRRefE21_23x_5)</f>
        <v>175</v>
      </c>
      <c r="K134" s="1">
        <f>SUM(OSRRefE21_23x_6)</f>
        <v>175</v>
      </c>
      <c r="L134" s="1">
        <f>SUM(OSRRefE21_23x_7)</f>
        <v>175</v>
      </c>
      <c r="M134" s="1">
        <f>SUM(OSRRefE21_23x_8)</f>
        <v>175</v>
      </c>
      <c r="N134" s="1">
        <f>SUM(OSRRefE21_23x_9)</f>
        <v>175</v>
      </c>
      <c r="O134" s="1">
        <f>SUM(OSRRefE21_23x_10)</f>
        <v>175</v>
      </c>
      <c r="Q134" s="2">
        <f>SUM(OSRRefD20_23x)+IFERROR(SUM(OSRRefE20_23x),0)</f>
        <v>2858.14</v>
      </c>
    </row>
    <row r="135" spans="1:17" s="34" customFormat="1" hidden="1" outlineLevel="1" x14ac:dyDescent="0.3">
      <c r="A135" s="35"/>
      <c r="B135" s="10" t="str">
        <f>CONCATENATE("          ","6292", " - ","TRAVEL/CONFERENCE")</f>
        <v xml:space="preserve">          6292 - TRAVEL/CONFERENCE</v>
      </c>
      <c r="C135" s="14"/>
      <c r="D135" s="2">
        <v>495</v>
      </c>
      <c r="E135" s="2">
        <v>125</v>
      </c>
      <c r="F135" s="2">
        <v>125</v>
      </c>
      <c r="G135" s="2">
        <v>125</v>
      </c>
      <c r="H135" s="2">
        <v>125</v>
      </c>
      <c r="I135" s="2">
        <v>125</v>
      </c>
      <c r="J135" s="2">
        <v>125</v>
      </c>
      <c r="K135" s="2">
        <v>125</v>
      </c>
      <c r="L135" s="2">
        <v>125</v>
      </c>
      <c r="M135" s="2">
        <v>125</v>
      </c>
      <c r="N135" s="2">
        <v>125</v>
      </c>
      <c r="O135" s="2">
        <v>125</v>
      </c>
      <c r="P135" s="9"/>
      <c r="Q135" s="2">
        <f>SUM(OSRRefD21_23_0x)+IFERROR(SUM(OSRRefE21_23_0x),0)</f>
        <v>1870</v>
      </c>
    </row>
    <row r="136" spans="1:17" s="34" customFormat="1" hidden="1" outlineLevel="1" x14ac:dyDescent="0.3">
      <c r="A136" s="35"/>
      <c r="B136" s="10" t="str">
        <f>CONCATENATE("          ","6294", " - ","TRAVEL OPERATIONAL")</f>
        <v xml:space="preserve">          6294 - TRAVEL OPERATIONAL</v>
      </c>
      <c r="C136" s="14"/>
      <c r="D136" s="2">
        <v>188.14</v>
      </c>
      <c r="E136" s="2">
        <v>25</v>
      </c>
      <c r="F136" s="2">
        <v>25</v>
      </c>
      <c r="G136" s="2">
        <v>25</v>
      </c>
      <c r="H136" s="2">
        <v>25</v>
      </c>
      <c r="I136" s="2">
        <v>25</v>
      </c>
      <c r="J136" s="2">
        <v>25</v>
      </c>
      <c r="K136" s="2">
        <v>25</v>
      </c>
      <c r="L136" s="2">
        <v>25</v>
      </c>
      <c r="M136" s="2">
        <v>25</v>
      </c>
      <c r="N136" s="2">
        <v>25</v>
      </c>
      <c r="O136" s="2">
        <v>25</v>
      </c>
      <c r="P136" s="9"/>
      <c r="Q136" s="2">
        <f>SUM(OSRRefD21_23_1x)+IFERROR(SUM(OSRRefE21_23_1x),0)</f>
        <v>463.14</v>
      </c>
    </row>
    <row r="137" spans="1:17" s="34" customFormat="1" hidden="1" outlineLevel="1" x14ac:dyDescent="0.3">
      <c r="A137" s="35"/>
      <c r="B137" s="10" t="str">
        <f>CONCATENATE("          ","6298", " - ","VEHICLE MILEAGE")</f>
        <v xml:space="preserve">          6298 - VEHICLE MILEAGE</v>
      </c>
      <c r="C137" s="14"/>
      <c r="D137" s="2"/>
      <c r="E137" s="2">
        <v>25</v>
      </c>
      <c r="F137" s="2">
        <v>25</v>
      </c>
      <c r="G137" s="2">
        <v>25</v>
      </c>
      <c r="H137" s="2">
        <v>100</v>
      </c>
      <c r="I137" s="2">
        <v>200</v>
      </c>
      <c r="J137" s="2">
        <v>25</v>
      </c>
      <c r="K137" s="2">
        <v>25</v>
      </c>
      <c r="L137" s="2">
        <v>25</v>
      </c>
      <c r="M137" s="2">
        <v>25</v>
      </c>
      <c r="N137" s="2">
        <v>25</v>
      </c>
      <c r="O137" s="2">
        <v>25</v>
      </c>
      <c r="P137" s="9"/>
      <c r="Q137" s="2">
        <f>SUM(OSRRefD21_23_2x)+IFERROR(SUM(OSRRefE21_23_2x),0)</f>
        <v>525</v>
      </c>
    </row>
    <row r="138" spans="1:17" s="34" customFormat="1" collapsed="1" x14ac:dyDescent="0.3">
      <c r="A138" s="35"/>
      <c r="B138" s="14" t="str">
        <f>CONCATENATE("     ","Utilities                                         ")</f>
        <v xml:space="preserve">     Utilities                                         </v>
      </c>
      <c r="C138" s="14"/>
      <c r="D138" s="1">
        <f>SUM(OSRRefD21_24x_0)</f>
        <v>6036.49</v>
      </c>
      <c r="E138" s="1">
        <f>SUM(OSRRefE21_24x_0)</f>
        <v>6120</v>
      </c>
      <c r="F138" s="1">
        <f>SUM(OSRRefE21_24x_1)</f>
        <v>6120</v>
      </c>
      <c r="G138" s="1">
        <f>SUM(OSRRefE21_24x_2)</f>
        <v>6120</v>
      </c>
      <c r="H138" s="1">
        <f>SUM(OSRRefE21_24x_3)</f>
        <v>6120</v>
      </c>
      <c r="I138" s="1">
        <f>SUM(OSRRefE21_24x_4)</f>
        <v>6120</v>
      </c>
      <c r="J138" s="1">
        <f>SUM(OSRRefE21_24x_5)</f>
        <v>6120</v>
      </c>
      <c r="K138" s="1">
        <f>SUM(OSRRefE21_24x_6)</f>
        <v>8800</v>
      </c>
      <c r="L138" s="1">
        <f>SUM(OSRRefE21_24x_7)</f>
        <v>6120</v>
      </c>
      <c r="M138" s="1">
        <f>SUM(OSRRefE21_24x_8)</f>
        <v>6120</v>
      </c>
      <c r="N138" s="1">
        <f>SUM(OSRRefE21_24x_9)</f>
        <v>6120</v>
      </c>
      <c r="O138" s="1">
        <f>SUM(OSRRefE21_24x_10)</f>
        <v>6120</v>
      </c>
      <c r="Q138" s="2">
        <f>SUM(OSRRefD20_24x)+IFERROR(SUM(OSRRefE20_24x),0)</f>
        <v>76036.490000000005</v>
      </c>
    </row>
    <row r="139" spans="1:17" s="34" customFormat="1" hidden="1" outlineLevel="1" x14ac:dyDescent="0.3">
      <c r="A139" s="35"/>
      <c r="B139" s="10" t="str">
        <f>CONCATENATE("          ","6274", " - ","UTILITIES")</f>
        <v xml:space="preserve">          6274 - UTILITIES</v>
      </c>
      <c r="C139" s="14"/>
      <c r="D139" s="2">
        <v>6036.49</v>
      </c>
      <c r="E139" s="2">
        <v>6120</v>
      </c>
      <c r="F139" s="2">
        <v>6120</v>
      </c>
      <c r="G139" s="2">
        <v>6120</v>
      </c>
      <c r="H139" s="2">
        <v>6120</v>
      </c>
      <c r="I139" s="2">
        <v>6120</v>
      </c>
      <c r="J139" s="2">
        <v>6120</v>
      </c>
      <c r="K139" s="2">
        <v>8800</v>
      </c>
      <c r="L139" s="2">
        <v>6120</v>
      </c>
      <c r="M139" s="2">
        <v>6120</v>
      </c>
      <c r="N139" s="2">
        <v>6120</v>
      </c>
      <c r="O139" s="2">
        <v>6120</v>
      </c>
      <c r="P139" s="9"/>
      <c r="Q139" s="2">
        <f>SUM(OSRRefD21_24_0x)+IFERROR(SUM(OSRRefE21_24_0x),0)</f>
        <v>76036.490000000005</v>
      </c>
    </row>
    <row r="140" spans="1:17" s="28" customFormat="1" x14ac:dyDescent="0.3">
      <c r="A140" s="21"/>
      <c r="B140" s="21"/>
      <c r="C140" s="2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/>
    </row>
    <row r="141" spans="1:17" s="9" customFormat="1" x14ac:dyDescent="0.3">
      <c r="A141" s="22"/>
      <c r="B141" s="16" t="s">
        <v>293</v>
      </c>
      <c r="C141" s="23"/>
      <c r="D141" s="3">
        <f>--39834.23</f>
        <v>39834.230000000003</v>
      </c>
      <c r="E141" s="3">
        <v>56755</v>
      </c>
      <c r="F141" s="3">
        <v>183421.5</v>
      </c>
      <c r="G141" s="3">
        <v>30312</v>
      </c>
      <c r="H141" s="3">
        <v>52426</v>
      </c>
      <c r="I141" s="3">
        <v>66320</v>
      </c>
      <c r="J141" s="3">
        <v>29264.33</v>
      </c>
      <c r="K141" s="3">
        <v>213500.4</v>
      </c>
      <c r="L141" s="3">
        <v>62910</v>
      </c>
      <c r="M141" s="3">
        <v>34783</v>
      </c>
      <c r="N141" s="3">
        <v>303583</v>
      </c>
      <c r="O141" s="3">
        <v>222100</v>
      </c>
      <c r="Q141" s="2">
        <f>SUM(OSRRefD23_0x)+IFERROR(SUM(OSRRefE23_0x),0)</f>
        <v>1295209.46</v>
      </c>
    </row>
    <row r="142" spans="1:17" x14ac:dyDescent="0.3">
      <c r="A142" s="5"/>
      <c r="B142" s="6"/>
      <c r="C142" s="6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3"/>
    </row>
    <row r="143" spans="1:17" s="15" customFormat="1" x14ac:dyDescent="0.3">
      <c r="A143" s="6"/>
      <c r="B143" s="17" t="s">
        <v>276</v>
      </c>
      <c r="C143" s="17"/>
      <c r="D143" s="8">
        <f t="shared" ref="D143:O143" si="2">IFERROR(+D46-D49+D141, 0)</f>
        <v>-234469.15999999995</v>
      </c>
      <c r="E143" s="8">
        <f t="shared" si="2"/>
        <v>611854.7806634095</v>
      </c>
      <c r="F143" s="8">
        <f t="shared" si="2"/>
        <v>196001.24354821717</v>
      </c>
      <c r="G143" s="8">
        <f t="shared" si="2"/>
        <v>-151648.42766184389</v>
      </c>
      <c r="H143" s="8">
        <f t="shared" si="2"/>
        <v>-101231.63643447508</v>
      </c>
      <c r="I143" s="8">
        <f t="shared" si="2"/>
        <v>-34782.095279475092</v>
      </c>
      <c r="J143" s="8">
        <f t="shared" si="2"/>
        <v>273855.63207065617</v>
      </c>
      <c r="K143" s="8">
        <f t="shared" si="2"/>
        <v>137549.28579487492</v>
      </c>
      <c r="L143" s="8">
        <f t="shared" si="2"/>
        <v>-15021.632666625082</v>
      </c>
      <c r="M143" s="8">
        <f t="shared" si="2"/>
        <v>-91853.79096984386</v>
      </c>
      <c r="N143" s="8">
        <f t="shared" si="2"/>
        <v>245915.46549037495</v>
      </c>
      <c r="O143" s="8">
        <f t="shared" si="2"/>
        <v>74824.857633924927</v>
      </c>
      <c r="Q143" s="8">
        <f>IFERROR(+Q46-Q49+Q141, 0)</f>
        <v>910994.52218919341</v>
      </c>
    </row>
    <row r="144" spans="1:17" s="6" customFormat="1" x14ac:dyDescent="0.3">
      <c r="B144" s="16"/>
      <c r="C144" s="16"/>
      <c r="D144" s="4">
        <f t="shared" ref="D144:O144" si="3">IFERROR(D143/D10, 0)</f>
        <v>-0.74245029805146534</v>
      </c>
      <c r="E144" s="4">
        <f t="shared" si="3"/>
        <v>0.19627218270970886</v>
      </c>
      <c r="F144" s="4">
        <f t="shared" si="3"/>
        <v>0.18510521044082826</v>
      </c>
      <c r="G144" s="4">
        <f t="shared" si="3"/>
        <v>-0.30807009335005353</v>
      </c>
      <c r="H144" s="4">
        <f t="shared" si="3"/>
        <v>-0.26147910741179148</v>
      </c>
      <c r="I144" s="4">
        <f t="shared" si="3"/>
        <v>-7.2829577495540226E-2</v>
      </c>
      <c r="J144" s="4">
        <f t="shared" si="3"/>
        <v>0.12578970381608126</v>
      </c>
      <c r="K144" s="4">
        <f t="shared" si="3"/>
        <v>0.21015291479996778</v>
      </c>
      <c r="L144" s="4">
        <f t="shared" si="3"/>
        <v>-3.2014118496107538E-2</v>
      </c>
      <c r="M144" s="4">
        <f t="shared" si="3"/>
        <v>-0.16420877514398979</v>
      </c>
      <c r="N144" s="4">
        <f t="shared" si="3"/>
        <v>0.32005698646106773</v>
      </c>
      <c r="O144" s="4">
        <f t="shared" si="3"/>
        <v>0.19146046972558328</v>
      </c>
      <c r="P144" s="18"/>
      <c r="Q144" s="4">
        <f>IFERROR(Q143/Q10, 0)</f>
        <v>8.382052386051897E-2</v>
      </c>
    </row>
    <row r="145" spans="1:17" x14ac:dyDescent="0.3">
      <c r="A145" s="5"/>
      <c r="B145" s="6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3"/>
    </row>
    <row r="146" spans="1:17" s="15" customFormat="1" x14ac:dyDescent="0.3">
      <c r="A146" s="25"/>
      <c r="B146" s="6" t="s">
        <v>125</v>
      </c>
      <c r="C146" s="6"/>
      <c r="D146" s="3">
        <v>145900.39000000001</v>
      </c>
      <c r="E146" s="3">
        <v>197037</v>
      </c>
      <c r="F146" s="3">
        <v>102276</v>
      </c>
      <c r="G146" s="3">
        <v>87253</v>
      </c>
      <c r="H146" s="3">
        <v>101279</v>
      </c>
      <c r="I146" s="3">
        <v>87085</v>
      </c>
      <c r="J146" s="3">
        <v>247144</v>
      </c>
      <c r="K146" s="3">
        <v>54653</v>
      </c>
      <c r="L146" s="3">
        <v>52960</v>
      </c>
      <c r="M146" s="3">
        <v>80452</v>
      </c>
      <c r="N146" s="3">
        <v>104726</v>
      </c>
      <c r="O146" s="3">
        <v>-69503</v>
      </c>
      <c r="Q146" s="2">
        <f>SUM(OSRRefD28_0x)+IFERROR(SUM(OSRRefE28_0x),0)</f>
        <v>1191262.3900000001</v>
      </c>
    </row>
    <row r="147" spans="1:17" x14ac:dyDescent="0.3">
      <c r="A147" s="5"/>
      <c r="B147" s="6"/>
      <c r="C147" s="6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Q147" s="3"/>
    </row>
    <row r="148" spans="1:17" s="15" customFormat="1" ht="15" thickBot="1" x14ac:dyDescent="0.35">
      <c r="A148" s="6"/>
      <c r="B148" s="17" t="s">
        <v>124</v>
      </c>
      <c r="C148" s="17"/>
      <c r="D148" s="7">
        <f t="shared" ref="D148:O148" si="4">IFERROR(+D143-D146, 0)</f>
        <v>-380369.54999999993</v>
      </c>
      <c r="E148" s="7">
        <f t="shared" si="4"/>
        <v>414817.7806634095</v>
      </c>
      <c r="F148" s="7">
        <f t="shared" si="4"/>
        <v>93725.243548217171</v>
      </c>
      <c r="G148" s="7">
        <f t="shared" si="4"/>
        <v>-238901.42766184389</v>
      </c>
      <c r="H148" s="7">
        <f t="shared" si="4"/>
        <v>-202510.63643447508</v>
      </c>
      <c r="I148" s="7">
        <f t="shared" si="4"/>
        <v>-121867.09527947509</v>
      </c>
      <c r="J148" s="7">
        <f t="shared" si="4"/>
        <v>26711.632070656167</v>
      </c>
      <c r="K148" s="7">
        <f t="shared" si="4"/>
        <v>82896.285794874915</v>
      </c>
      <c r="L148" s="7">
        <f t="shared" si="4"/>
        <v>-67981.632666625082</v>
      </c>
      <c r="M148" s="7">
        <f t="shared" si="4"/>
        <v>-172305.79096984386</v>
      </c>
      <c r="N148" s="7">
        <f t="shared" si="4"/>
        <v>141189.46549037495</v>
      </c>
      <c r="O148" s="7">
        <f t="shared" si="4"/>
        <v>144327.85763392493</v>
      </c>
      <c r="Q148" s="7">
        <f>IFERROR(+Q143-Q146, 0)</f>
        <v>-280267.86781080673</v>
      </c>
    </row>
    <row r="149" spans="1:17" ht="15" thickTop="1" x14ac:dyDescent="0.3">
      <c r="A149" s="5"/>
      <c r="B149" s="5"/>
      <c r="C149" s="5"/>
      <c r="D149" s="4">
        <f t="shared" ref="D149:O149" si="5">IFERROR(D148/D10, 0)</f>
        <v>-1.2044461871540024</v>
      </c>
      <c r="E149" s="4">
        <f t="shared" si="5"/>
        <v>0.13306620101803776</v>
      </c>
      <c r="F149" s="4">
        <f t="shared" si="5"/>
        <v>8.8514902337049117E-2</v>
      </c>
      <c r="G149" s="4">
        <f t="shared" si="5"/>
        <v>-0.48532244122807561</v>
      </c>
      <c r="H149" s="4">
        <f t="shared" si="5"/>
        <v>-0.52308055387956887</v>
      </c>
      <c r="I149" s="4">
        <f t="shared" si="5"/>
        <v>-0.25517522703844597</v>
      </c>
      <c r="J149" s="4">
        <f t="shared" si="5"/>
        <v>1.2269414586095009E-2</v>
      </c>
      <c r="K149" s="4">
        <f t="shared" si="5"/>
        <v>0.12665202865439545</v>
      </c>
      <c r="L149" s="4">
        <f t="shared" si="5"/>
        <v>-0.14488252322822623</v>
      </c>
      <c r="M149" s="4">
        <f t="shared" si="5"/>
        <v>-0.30803435096830706</v>
      </c>
      <c r="N149" s="4">
        <f t="shared" si="5"/>
        <v>0.18375694572437129</v>
      </c>
      <c r="O149" s="4">
        <f t="shared" si="5"/>
        <v>0.36930346800352326</v>
      </c>
      <c r="P149" s="18"/>
      <c r="Q149" s="4">
        <f>IFERROR(Q148/Q10, 0)</f>
        <v>-2.5787421251138646E-2</v>
      </c>
    </row>
    <row r="150" spans="1:17" x14ac:dyDescent="0.3">
      <c r="A150" s="5"/>
      <c r="B150" s="5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Q150" s="3"/>
    </row>
    <row r="151" spans="1:17" x14ac:dyDescent="0.3">
      <c r="A151" s="5"/>
      <c r="B151" s="5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Q151" s="3"/>
    </row>
    <row r="152" spans="1:17" s="15" customFormat="1" ht="15" thickBot="1" x14ac:dyDescent="0.35">
      <c r="A152" s="6"/>
      <c r="B152" s="17" t="s">
        <v>294</v>
      </c>
      <c r="C152" s="17"/>
      <c r="D152" s="7">
        <f t="shared" ref="D152:O152" si="6">IFERROR(SUM(D148:D151), 0)</f>
        <v>-380370.75444618706</v>
      </c>
      <c r="E152" s="7">
        <f t="shared" si="6"/>
        <v>414817.9137296105</v>
      </c>
      <c r="F152" s="7">
        <f t="shared" si="6"/>
        <v>93725.332063119509</v>
      </c>
      <c r="G152" s="7">
        <f t="shared" si="6"/>
        <v>-238901.91298428513</v>
      </c>
      <c r="H152" s="7">
        <f t="shared" si="6"/>
        <v>-202511.15951502896</v>
      </c>
      <c r="I152" s="7">
        <f t="shared" si="6"/>
        <v>-121867.35045470213</v>
      </c>
      <c r="J152" s="7">
        <f t="shared" si="6"/>
        <v>26711.644340070754</v>
      </c>
      <c r="K152" s="7">
        <f t="shared" si="6"/>
        <v>82896.412446903574</v>
      </c>
      <c r="L152" s="7">
        <f t="shared" si="6"/>
        <v>-67981.777549148304</v>
      </c>
      <c r="M152" s="7">
        <f t="shared" si="6"/>
        <v>-172306.09900419484</v>
      </c>
      <c r="N152" s="7">
        <f t="shared" si="6"/>
        <v>141189.64924732066</v>
      </c>
      <c r="O152" s="7">
        <f t="shared" si="6"/>
        <v>144328.22693739293</v>
      </c>
      <c r="Q152" s="7">
        <f>IFERROR(SUM(Q148:Q151), 0)</f>
        <v>-280267.89359822799</v>
      </c>
    </row>
    <row r="153" spans="1:17" ht="15" thickTop="1" x14ac:dyDescent="0.3">
      <c r="A153" s="5"/>
      <c r="C153" s="5"/>
      <c r="D153" s="4">
        <f t="shared" ref="D153:O153" si="7">IFERROR(D152/D10, 0)</f>
        <v>-1.2044500010518755</v>
      </c>
      <c r="E153" s="4">
        <f t="shared" si="7"/>
        <v>0.13306624370331951</v>
      </c>
      <c r="F153" s="4">
        <f t="shared" si="7"/>
        <v>8.8514985931261725E-2</v>
      </c>
      <c r="G153" s="4">
        <f t="shared" si="7"/>
        <v>-0.48532342714881399</v>
      </c>
      <c r="H153" s="4">
        <f t="shared" si="7"/>
        <v>-0.52308190498522267</v>
      </c>
      <c r="I153" s="4">
        <f t="shared" si="7"/>
        <v>-0.25517576134507192</v>
      </c>
      <c r="J153" s="4">
        <f t="shared" si="7"/>
        <v>1.2269420221787125E-2</v>
      </c>
      <c r="K153" s="4">
        <f t="shared" si="7"/>
        <v>0.12665222215807551</v>
      </c>
      <c r="L153" s="4">
        <f t="shared" si="7"/>
        <v>-0.14488283200200397</v>
      </c>
      <c r="M153" s="4">
        <f t="shared" si="7"/>
        <v>-0.30803490164719516</v>
      </c>
      <c r="N153" s="4">
        <f t="shared" si="7"/>
        <v>0.18375718488254772</v>
      </c>
      <c r="O153" s="4">
        <f t="shared" si="7"/>
        <v>0.36930441297044592</v>
      </c>
      <c r="P153" s="18"/>
      <c r="Q153" s="4">
        <f>IFERROR(Q152/Q10, 0)</f>
        <v>-2.5787423623836951E-2</v>
      </c>
    </row>
    <row r="154" spans="1:17" x14ac:dyDescent="0.3">
      <c r="A154" s="5"/>
      <c r="B154" s="30">
        <v>44462.678411423614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Q154" s="11"/>
    </row>
    <row r="155" spans="1:17" x14ac:dyDescent="0.3">
      <c r="A155" s="5"/>
      <c r="B155" s="31" t="s">
        <v>54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Q155" s="11"/>
    </row>
    <row r="156" spans="1:17" x14ac:dyDescent="0.3">
      <c r="A156" s="5"/>
      <c r="B156" s="2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Q156" s="11"/>
    </row>
    <row r="157" spans="1:17" x14ac:dyDescent="0.3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Q15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  <outlinePr summaryBelow="0" summaryRight="0"/>
    <pageSetUpPr fitToPage="1"/>
  </sheetPr>
  <dimension ref="A2:R104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","301", " - ", "Bookstore Operations")</f>
        <v>Department 301 - Bookstore Operations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179674.92</v>
      </c>
      <c r="E17" s="13">
        <f>SUM(OSRRefE20x_0)</f>
        <v>190601.3911008077</v>
      </c>
      <c r="F17" s="13">
        <f>SUM(OSRRefE20x_1)</f>
        <v>128105.76734830769</v>
      </c>
      <c r="G17" s="13">
        <f>SUM(OSRRefE20x_2)</f>
        <v>108591.73018538463</v>
      </c>
      <c r="H17" s="13">
        <f>SUM(OSRRefE20x_3)</f>
        <v>97166.259773307684</v>
      </c>
      <c r="I17" s="13">
        <f>SUM(OSRRefE20x_4)</f>
        <v>114486.25099830769</v>
      </c>
      <c r="J17" s="13">
        <f>SUM(OSRRefE20x_5)</f>
        <v>195158.94616613461</v>
      </c>
      <c r="K17" s="13">
        <f>SUM(OSRRefE20x_6)</f>
        <v>124719.39756975768</v>
      </c>
      <c r="L17" s="13">
        <f>SUM(OSRRefE20x_7)</f>
        <v>97098.833013257681</v>
      </c>
      <c r="M17" s="13">
        <f>SUM(OSRRefE20x_8)</f>
        <v>97498.31055213463</v>
      </c>
      <c r="N17" s="13">
        <f>SUM(OSRRefE20x_9)</f>
        <v>96174.098725757678</v>
      </c>
      <c r="O17" s="13">
        <f>SUM(OSRRefE20x_10)</f>
        <v>84563.498496557688</v>
      </c>
      <c r="Q17" s="13">
        <f>SUM(OSRRefG20x)</f>
        <v>1513839.4039297153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13023.77</v>
      </c>
      <c r="E18" s="1">
        <f>SUM(OSRRefE21_0x_0)</f>
        <v>8267.9989085000016</v>
      </c>
      <c r="F18" s="1">
        <f>SUM(OSRRefE21_0x_1)</f>
        <v>5187.1176560000031</v>
      </c>
      <c r="G18" s="1">
        <f>SUM(OSRRefE21_0x_2)</f>
        <v>5129.6180700000068</v>
      </c>
      <c r="H18" s="1">
        <f>SUM(OSRRefE21_0x_3)</f>
        <v>4215.9575809999988</v>
      </c>
      <c r="I18" s="1">
        <f>SUM(OSRRefE21_0x_4)</f>
        <v>4906.8563060000024</v>
      </c>
      <c r="J18" s="1">
        <f>SUM(OSRRefE21_0x_5)</f>
        <v>8005.9160257500062</v>
      </c>
      <c r="K18" s="1">
        <f>SUM(OSRRefE21_0x_6)</f>
        <v>4668.9925524500004</v>
      </c>
      <c r="L18" s="1">
        <f>SUM(OSRRefE21_0x_7)</f>
        <v>4325.3214459499968</v>
      </c>
      <c r="M18" s="1">
        <f>SUM(OSRRefE21_0x_8)</f>
        <v>5268.8986117500071</v>
      </c>
      <c r="N18" s="1">
        <f>SUM(OSRRefE21_0x_9)</f>
        <v>4556.9109084499969</v>
      </c>
      <c r="O18" s="1">
        <f>SUM(OSRRefE21_0x_10)</f>
        <v>5486.4016542499958</v>
      </c>
      <c r="Q18" s="2">
        <f>SUM(OSRRefD20_0x)+IFERROR(SUM(OSRRefE20_0x),0)</f>
        <v>73043.759720100017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3019.49</v>
      </c>
      <c r="E19" s="2">
        <v>2796.1492358076898</v>
      </c>
      <c r="F19" s="2">
        <v>976.89720830769204</v>
      </c>
      <c r="G19" s="2">
        <v>1221.12151038462</v>
      </c>
      <c r="H19" s="2">
        <v>976.89720830769204</v>
      </c>
      <c r="I19" s="2">
        <v>976.89720830769204</v>
      </c>
      <c r="J19" s="2">
        <v>1250.93377188462</v>
      </c>
      <c r="K19" s="2">
        <v>1000.74701750769</v>
      </c>
      <c r="L19" s="2">
        <v>1000.74701750769</v>
      </c>
      <c r="M19" s="2">
        <v>1250.93377188462</v>
      </c>
      <c r="N19" s="2">
        <v>1000.74701750769</v>
      </c>
      <c r="O19" s="2">
        <v>2243.8341390576902</v>
      </c>
      <c r="P19" s="9"/>
      <c r="Q19" s="2">
        <f>SUM(OSRRefD21_0_0x)+IFERROR(SUM(OSRRefE21_0_0x),0)</f>
        <v>17715.395106465388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605.14</v>
      </c>
      <c r="E20" s="2">
        <v>1186.4602199999999</v>
      </c>
      <c r="F20" s="2">
        <v>773.85191999999995</v>
      </c>
      <c r="G20" s="2">
        <v>580.90290000000005</v>
      </c>
      <c r="H20" s="2">
        <v>456.23982000000001</v>
      </c>
      <c r="I20" s="2">
        <v>682.19412</v>
      </c>
      <c r="J20" s="2">
        <v>1511.829039</v>
      </c>
      <c r="K20" s="2">
        <v>596.60226299999999</v>
      </c>
      <c r="L20" s="2">
        <v>484.206681</v>
      </c>
      <c r="M20" s="2">
        <v>616.703847</v>
      </c>
      <c r="N20" s="2">
        <v>559.94663100000002</v>
      </c>
      <c r="O20" s="2">
        <v>457.38681000000003</v>
      </c>
      <c r="P20" s="9"/>
      <c r="Q20" s="2">
        <f>SUM(OSRRefD21_0_1x)+IFERROR(SUM(OSRRefE21_0_1x),0)</f>
        <v>8511.4642509999994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5081.28</v>
      </c>
      <c r="E21" s="2">
        <v>1303</v>
      </c>
      <c r="F21" s="2">
        <v>1303</v>
      </c>
      <c r="G21" s="2">
        <v>1456</v>
      </c>
      <c r="H21" s="2">
        <v>1303</v>
      </c>
      <c r="I21" s="2">
        <v>1303</v>
      </c>
      <c r="J21" s="2">
        <v>1456</v>
      </c>
      <c r="K21" s="2">
        <v>1303</v>
      </c>
      <c r="L21" s="2">
        <v>1303</v>
      </c>
      <c r="M21" s="2">
        <v>1456</v>
      </c>
      <c r="N21" s="2">
        <v>1303</v>
      </c>
      <c r="O21" s="2">
        <v>1303</v>
      </c>
      <c r="P21" s="9"/>
      <c r="Q21" s="2">
        <f>SUM(OSRRefD21_0_2x)+IFERROR(SUM(OSRRefE21_0_2x),0)</f>
        <v>19873.28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109.65</v>
      </c>
      <c r="E22" s="2">
        <v>159.715798846154</v>
      </c>
      <c r="F22" s="2">
        <v>104.172373846154</v>
      </c>
      <c r="G22" s="2">
        <v>78.198467307692297</v>
      </c>
      <c r="H22" s="2">
        <v>61.416898846153799</v>
      </c>
      <c r="I22" s="2">
        <v>91.833823846153805</v>
      </c>
      <c r="J22" s="2">
        <v>203.515447557692</v>
      </c>
      <c r="K22" s="2">
        <v>80.311843096153794</v>
      </c>
      <c r="L22" s="2">
        <v>65.181668596153798</v>
      </c>
      <c r="M22" s="2">
        <v>83.017825557692305</v>
      </c>
      <c r="N22" s="2">
        <v>75.377431096153799</v>
      </c>
      <c r="O22" s="2">
        <v>61.571301346153803</v>
      </c>
      <c r="P22" s="9"/>
      <c r="Q22" s="2">
        <f>SUM(OSRRefD21_0_3x)+IFERROR(SUM(OSRRefE21_0_3x),0)</f>
        <v>1173.9628799423074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1518.86</v>
      </c>
      <c r="E23" s="2">
        <v>374.76153846153801</v>
      </c>
      <c r="F23" s="2">
        <v>374.76153846153801</v>
      </c>
      <c r="G23" s="2">
        <v>468.45192307692298</v>
      </c>
      <c r="H23" s="2">
        <v>374.76153846153801</v>
      </c>
      <c r="I23" s="2">
        <v>374.76153846153801</v>
      </c>
      <c r="J23" s="2">
        <v>468.45192307692298</v>
      </c>
      <c r="K23" s="2">
        <v>374.76153846153801</v>
      </c>
      <c r="L23" s="2">
        <v>374.76153846153801</v>
      </c>
      <c r="M23" s="2">
        <v>468.45192307692298</v>
      </c>
      <c r="N23" s="2">
        <v>374.76153846153801</v>
      </c>
      <c r="O23" s="2">
        <v>374.76153846153801</v>
      </c>
      <c r="P23" s="9"/>
      <c r="Q23" s="2">
        <f>SUM(OSRRefD21_0_4x)+IFERROR(SUM(OSRRefE21_0_4x),0)</f>
        <v>5922.3080769230719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","6117", " - ","RETIREMENT STAFF HOURLY")</f>
        <v xml:space="preserve">          6117 - RETIREMENT STAFF HOURLY</v>
      </c>
      <c r="C25" s="14"/>
      <c r="D25" s="2">
        <v>299.24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"/>
      <c r="Q25" s="2">
        <f>SUM(OSRRefD21_0_6x)+IFERROR(SUM(OSRRefE21_0_6x),0)</f>
        <v>299.24</v>
      </c>
    </row>
    <row r="26" spans="1:17" s="34" customFormat="1" hidden="1" outlineLevel="1" x14ac:dyDescent="0.3">
      <c r="A26" s="35"/>
      <c r="B26" s="10" t="str">
        <f>CONCATENATE("          ","6118", " - ","VACATION")</f>
        <v xml:space="preserve">          6118 - VACATION</v>
      </c>
      <c r="C26" s="14"/>
      <c r="D26" s="2">
        <v>1168.29</v>
      </c>
      <c r="E26" s="2">
        <v>249.386769230769</v>
      </c>
      <c r="F26" s="2">
        <v>249.386769230769</v>
      </c>
      <c r="G26" s="2">
        <v>311.733461538462</v>
      </c>
      <c r="H26" s="2">
        <v>249.386769230769</v>
      </c>
      <c r="I26" s="2">
        <v>249.386769230769</v>
      </c>
      <c r="J26" s="2">
        <v>311.733461538462</v>
      </c>
      <c r="K26" s="2">
        <v>249.386769230769</v>
      </c>
      <c r="L26" s="2">
        <v>249.386769230769</v>
      </c>
      <c r="M26" s="2">
        <v>311.733461538462</v>
      </c>
      <c r="N26" s="2">
        <v>249.386769230769</v>
      </c>
      <c r="O26" s="2">
        <v>249.386769230769</v>
      </c>
      <c r="P26" s="9"/>
      <c r="Q26" s="2">
        <f>SUM(OSRRefD21_0_7x)+IFERROR(SUM(OSRRefE21_0_7x),0)</f>
        <v>4098.5845384615386</v>
      </c>
    </row>
    <row r="27" spans="1:17" s="34" customFormat="1" hidden="1" outlineLevel="1" x14ac:dyDescent="0.3">
      <c r="A27" s="35"/>
      <c r="B27" s="10" t="str">
        <f>CONCATENATE("          ","6119", " - ","SICK LEAVE")</f>
        <v xml:space="preserve">          6119 - SICK LEAVE</v>
      </c>
      <c r="C27" s="14"/>
      <c r="D27" s="2">
        <v>955.23</v>
      </c>
      <c r="E27" s="2">
        <v>2198.52534615385</v>
      </c>
      <c r="F27" s="2">
        <v>1405.0478461538501</v>
      </c>
      <c r="G27" s="2">
        <v>1013.2098076923101</v>
      </c>
      <c r="H27" s="2">
        <v>794.25534615384595</v>
      </c>
      <c r="I27" s="2">
        <v>1228.78284615385</v>
      </c>
      <c r="J27" s="2">
        <v>2803.45238269231</v>
      </c>
      <c r="K27" s="2">
        <v>1064.1831211538499</v>
      </c>
      <c r="L27" s="2">
        <v>848.03777115384605</v>
      </c>
      <c r="M27" s="2">
        <v>1082.05778269231</v>
      </c>
      <c r="N27" s="2">
        <v>993.691521153846</v>
      </c>
      <c r="O27" s="2">
        <v>796.46109615384603</v>
      </c>
      <c r="P27" s="9"/>
      <c r="Q27" s="2">
        <f>SUM(OSRRefD21_0_8x)+IFERROR(SUM(OSRRefE21_0_8x),0)</f>
        <v>15182.934867307713</v>
      </c>
    </row>
    <row r="28" spans="1:17" s="34" customFormat="1" hidden="1" outlineLevel="1" x14ac:dyDescent="0.3">
      <c r="A28" s="35"/>
      <c r="B28" s="10" t="str">
        <f>CONCATENATE("          ","6156", " - ","EMPLOYEE MEALS")</f>
        <v xml:space="preserve">          6156 - EMPLOYEE MEALS</v>
      </c>
      <c r="C28" s="14"/>
      <c r="D28" s="2">
        <v>266.58999999999997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/>
      <c r="Q28" s="2">
        <f>SUM(OSRRefD21_0_9x)+IFERROR(SUM(OSRRefE21_0_9x),0)</f>
        <v>266.58999999999997</v>
      </c>
    </row>
    <row r="29" spans="1:17" s="34" customFormat="1" collapsed="1" x14ac:dyDescent="0.3">
      <c r="A29" s="35"/>
      <c r="B29" s="14" t="str">
        <f>CONCATENATE("     ","*Payroll                                          ")</f>
        <v xml:space="preserve">     *Payroll                                          </v>
      </c>
      <c r="C29" s="14"/>
      <c r="D29" s="1">
        <f>SUM(OSRRefD21_1x_0)</f>
        <v>55192.97</v>
      </c>
      <c r="E29" s="1">
        <f>SUM(OSRRefE21_1x_0)</f>
        <v>76178.392192307685</v>
      </c>
      <c r="F29" s="1">
        <f>SUM(OSRRefE21_1x_1)</f>
        <v>49464.649692307692</v>
      </c>
      <c r="G29" s="1">
        <f>SUM(OSRRefE21_1x_2)</f>
        <v>36813.112115384618</v>
      </c>
      <c r="H29" s="1">
        <f>SUM(OSRRefE21_1x_3)</f>
        <v>28901.302192307689</v>
      </c>
      <c r="I29" s="1">
        <f>SUM(OSRRefE21_1x_4)</f>
        <v>43530.394692307687</v>
      </c>
      <c r="J29" s="1">
        <f>SUM(OSRRefE21_1x_5)</f>
        <v>97069.030140384624</v>
      </c>
      <c r="K29" s="1">
        <f>SUM(OSRRefE21_1x_6)</f>
        <v>37976.40501730769</v>
      </c>
      <c r="L29" s="1">
        <f>SUM(OSRRefE21_1x_7)</f>
        <v>30699.511567307687</v>
      </c>
      <c r="M29" s="1">
        <f>SUM(OSRRefE21_1x_8)</f>
        <v>39115.41194038462</v>
      </c>
      <c r="N29" s="1">
        <f>SUM(OSRRefE21_1x_9)</f>
        <v>35603.187817307691</v>
      </c>
      <c r="O29" s="1">
        <f>SUM(OSRRefE21_1x_10)</f>
        <v>28963.096842307692</v>
      </c>
      <c r="Q29" s="2">
        <f>SUM(OSRRefD20_1x)+IFERROR(SUM(OSRRefE20_1x),0)</f>
        <v>559507.46420961537</v>
      </c>
    </row>
    <row r="30" spans="1:17" s="34" customFormat="1" hidden="1" outlineLevel="1" x14ac:dyDescent="0.3">
      <c r="A30" s="35"/>
      <c r="B30" s="10" t="str">
        <f>CONCATENATE("          ","6001", " - ","ADMINISTRATIVE SALARIES")</f>
        <v xml:space="preserve">          6001 - ADMINISTRATIVE SALARIES</v>
      </c>
      <c r="C30" s="14"/>
      <c r="D30" s="2">
        <v>5599.1</v>
      </c>
      <c r="E30" s="2">
        <v>4139.8076923076896</v>
      </c>
      <c r="F30" s="2">
        <v>4139.8076923076896</v>
      </c>
      <c r="G30" s="2">
        <v>5174.7596153846198</v>
      </c>
      <c r="H30" s="2">
        <v>4139.8076923076896</v>
      </c>
      <c r="I30" s="2">
        <v>4139.8076923076896</v>
      </c>
      <c r="J30" s="2">
        <v>5174.7596153846198</v>
      </c>
      <c r="K30" s="2">
        <v>4139.8076923076896</v>
      </c>
      <c r="L30" s="2">
        <v>4139.8076923076896</v>
      </c>
      <c r="M30" s="2">
        <v>5174.7596153846198</v>
      </c>
      <c r="N30" s="2">
        <v>4139.8076923076896</v>
      </c>
      <c r="O30" s="2">
        <v>4139.8076923076896</v>
      </c>
      <c r="P30" s="9"/>
      <c r="Q30" s="2">
        <f>SUM(OSRRefD21_1_0x)+IFERROR(SUM(OSRRefE21_1_0x),0)</f>
        <v>54241.840384615367</v>
      </c>
    </row>
    <row r="31" spans="1:17" s="34" customFormat="1" hidden="1" outlineLevel="1" x14ac:dyDescent="0.3">
      <c r="A31" s="35"/>
      <c r="B31" s="10" t="str">
        <f>CONCATENATE("          ","6002", " - ","STAFF SALARIES")</f>
        <v xml:space="preserve">          6002 - STAFF SALARIES</v>
      </c>
      <c r="C31" s="14"/>
      <c r="D31" s="2">
        <v>13415.64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SUM(OSRRefD21_1_1x)+IFERROR(SUM(OSRRefE21_1_1x),0)</f>
        <v>13415.64</v>
      </c>
    </row>
    <row r="32" spans="1:17" s="34" customFormat="1" hidden="1" outlineLevel="1" x14ac:dyDescent="0.3">
      <c r="A32" s="35"/>
      <c r="B32" s="10" t="str">
        <f>CONCATENATE("          ","6003", " - ","STAFF HOURLY-9 MONTH")</f>
        <v xml:space="preserve">          6003 - STAFF HOURLY-9 MONTH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SUM(OSRRefD21_1_2x)+IFERROR(SUM(OSRRefE21_1_2x),0)</f>
        <v>0</v>
      </c>
    </row>
    <row r="33" spans="1:17" s="34" customFormat="1" hidden="1" outlineLevel="1" x14ac:dyDescent="0.3">
      <c r="A33" s="35"/>
      <c r="B33" s="10" t="str">
        <f>CONCATENATE("          ","6004", " - ","STAFF HOURLY")</f>
        <v xml:space="preserve">          6004 - STAFF HOURLY</v>
      </c>
      <c r="C33" s="14"/>
      <c r="D33" s="2">
        <v>3554.5</v>
      </c>
      <c r="E33" s="2">
        <v>8115.4319999999998</v>
      </c>
      <c r="F33" s="2">
        <v>8115.4319999999998</v>
      </c>
      <c r="G33" s="2">
        <v>10144.290000000001</v>
      </c>
      <c r="H33" s="2">
        <v>8115.4319999999998</v>
      </c>
      <c r="I33" s="2">
        <v>8115.4319999999998</v>
      </c>
      <c r="J33" s="2">
        <v>10522.1535</v>
      </c>
      <c r="K33" s="2">
        <v>8417.7227999999996</v>
      </c>
      <c r="L33" s="2">
        <v>8417.7227999999996</v>
      </c>
      <c r="M33" s="2">
        <v>10522.1535</v>
      </c>
      <c r="N33" s="2">
        <v>8417.7227999999996</v>
      </c>
      <c r="O33" s="2">
        <v>8417.7227999999996</v>
      </c>
      <c r="P33" s="9"/>
      <c r="Q33" s="2">
        <f>SUM(OSRRefD21_1_3x)+IFERROR(SUM(OSRRefE21_1_3x),0)</f>
        <v>100875.71620000001</v>
      </c>
    </row>
    <row r="34" spans="1:17" s="34" customFormat="1" hidden="1" outlineLevel="1" x14ac:dyDescent="0.3">
      <c r="A34" s="35"/>
      <c r="B34" s="10" t="str">
        <f>CONCATENATE("          ","6005", " - ","TEMPORARY WAGES-HOURLY")</f>
        <v xml:space="preserve">          6005 - TEMPORARY WAGES-HOURLY</v>
      </c>
      <c r="C34" s="14"/>
      <c r="D34" s="2">
        <v>2204.2399999999998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SUM(OSRRefD21_1_4x)+IFERROR(SUM(OSRRefE21_1_4x),0)</f>
        <v>2204.2399999999998</v>
      </c>
    </row>
    <row r="35" spans="1:17" s="34" customFormat="1" hidden="1" outlineLevel="1" x14ac:dyDescent="0.3">
      <c r="A35" s="35"/>
      <c r="B35" s="10" t="str">
        <f>CONCATENATE("          ","6006", " - ","TEMPORARY PART TIME")</f>
        <v xml:space="preserve">          6006 - TEMPORARY PART TIME</v>
      </c>
      <c r="C35" s="14"/>
      <c r="D35" s="2">
        <v>2864.4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SUM(OSRRefD21_1_5x)+IFERROR(SUM(OSRRefE21_1_5x),0)</f>
        <v>2864.4</v>
      </c>
    </row>
    <row r="36" spans="1:17" s="34" customFormat="1" hidden="1" outlineLevel="1" x14ac:dyDescent="0.3">
      <c r="A36" s="35"/>
      <c r="B36" s="10" t="str">
        <f>CONCATENATE("          ","6007", " - ","STUDENT HOURLY")</f>
        <v xml:space="preserve">          6007 - STUDENT HOURLY</v>
      </c>
      <c r="C36" s="14"/>
      <c r="D36" s="2">
        <v>25588.93</v>
      </c>
      <c r="E36" s="2">
        <v>24009.467499999999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16405.566350000001</v>
      </c>
      <c r="P36" s="9"/>
      <c r="Q36" s="2">
        <f>SUM(OSRRefD21_1_6x)+IFERROR(SUM(OSRRefE21_1_6x),0)</f>
        <v>66003.96385</v>
      </c>
    </row>
    <row r="37" spans="1:17" s="34" customFormat="1" hidden="1" outlineLevel="1" x14ac:dyDescent="0.3">
      <c r="A37" s="35"/>
      <c r="B37" s="10" t="str">
        <f>CONCATENATE("          ","6008", " - ","STUDENT HOURLY-FICA EXEMPT")</f>
        <v xml:space="preserve">          6008 - STUDENT HOURLY-FICA EXEMPT</v>
      </c>
      <c r="C37" s="14"/>
      <c r="D37" s="2">
        <v>1966.16</v>
      </c>
      <c r="E37" s="2">
        <v>39913.684999999998</v>
      </c>
      <c r="F37" s="2">
        <v>37209.410000000003</v>
      </c>
      <c r="G37" s="2">
        <v>21494.0625</v>
      </c>
      <c r="H37" s="2">
        <v>16646.0625</v>
      </c>
      <c r="I37" s="2">
        <v>31275.154999999999</v>
      </c>
      <c r="J37" s="2">
        <v>81372.117025</v>
      </c>
      <c r="K37" s="2">
        <v>25418.874524999999</v>
      </c>
      <c r="L37" s="2">
        <v>18141.981075</v>
      </c>
      <c r="M37" s="2">
        <v>23418.498824999999</v>
      </c>
      <c r="N37" s="2">
        <v>23045.657325</v>
      </c>
      <c r="O37" s="2">
        <v>0</v>
      </c>
      <c r="P37" s="9"/>
      <c r="Q37" s="2">
        <f>SUM(OSRRefD21_1_7x)+IFERROR(SUM(OSRRefE21_1_7x),0)</f>
        <v>319901.66377499996</v>
      </c>
    </row>
    <row r="38" spans="1:17" s="34" customFormat="1" hidden="1" outlineLevel="1" x14ac:dyDescent="0.3">
      <c r="A38" s="35"/>
      <c r="B38" s="10" t="str">
        <f>CONCATENATE("          ","6009", " - ","TEMPORARY-SEASONAL")</f>
        <v xml:space="preserve">          6009 - TEMPORARY-SEASONAL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SUM(OSRRefD21_1_8x)+IFERROR(SUM(OSRRefE21_1_8x),0)</f>
        <v>0</v>
      </c>
    </row>
    <row r="39" spans="1:17" s="34" customFormat="1" hidden="1" outlineLevel="1" x14ac:dyDescent="0.3">
      <c r="A39" s="35"/>
      <c r="B39" s="10" t="str">
        <f>CONCATENATE("          ","6010", " - ","GRATUITY")</f>
        <v xml:space="preserve">          6010 - GRATUITY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SUM(OSRRefD21_1_9x)+IFERROR(SUM(OSRRefE21_1_9x),0)</f>
        <v>0</v>
      </c>
    </row>
    <row r="40" spans="1:17" s="34" customFormat="1" collapsed="1" x14ac:dyDescent="0.3">
      <c r="A40" s="35"/>
      <c r="B40" s="14" t="str">
        <f>CONCATENATE("     ","Bad Debts/Over/Short                              ")</f>
        <v xml:space="preserve">     Bad Debts/Over/Short                              </v>
      </c>
      <c r="C40" s="14"/>
      <c r="D40" s="1">
        <f>SUM(OSRRefD21_2x_0)</f>
        <v>0.67</v>
      </c>
      <c r="E40" s="1">
        <f>SUM(OSRRefE21_2x_0)</f>
        <v>200</v>
      </c>
      <c r="F40" s="1">
        <f>SUM(OSRRefE21_2x_1)</f>
        <v>200</v>
      </c>
      <c r="G40" s="1">
        <f>SUM(OSRRefE21_2x_2)</f>
        <v>200</v>
      </c>
      <c r="H40" s="1">
        <f>SUM(OSRRefE21_2x_3)</f>
        <v>200</v>
      </c>
      <c r="I40" s="1">
        <f>SUM(OSRRefE21_2x_4)</f>
        <v>200</v>
      </c>
      <c r="J40" s="1">
        <f>SUM(OSRRefE21_2x_5)</f>
        <v>200</v>
      </c>
      <c r="K40" s="1">
        <f>SUM(OSRRefE21_2x_6)</f>
        <v>200</v>
      </c>
      <c r="L40" s="1">
        <f>SUM(OSRRefE21_2x_7)</f>
        <v>200</v>
      </c>
      <c r="M40" s="1">
        <f>SUM(OSRRefE21_2x_8)</f>
        <v>200</v>
      </c>
      <c r="N40" s="1">
        <f>SUM(OSRRefE21_2x_9)</f>
        <v>200</v>
      </c>
      <c r="O40" s="1">
        <f>SUM(OSRRefE21_2x_10)</f>
        <v>200</v>
      </c>
      <c r="Q40" s="2">
        <f>SUM(OSRRefD20_2x)+IFERROR(SUM(OSRRefE20_2x),0)</f>
        <v>2200.67</v>
      </c>
    </row>
    <row r="41" spans="1:17" s="34" customFormat="1" hidden="1" outlineLevel="1" x14ac:dyDescent="0.3">
      <c r="A41" s="35"/>
      <c r="B41" s="10" t="str">
        <f>CONCATENATE("          ","6272", " - ","CASH (OVER/SHORT)")</f>
        <v xml:space="preserve">          6272 - CASH (OVER/SHORT)</v>
      </c>
      <c r="C41" s="14"/>
      <c r="D41" s="2">
        <v>0.67</v>
      </c>
      <c r="E41" s="2">
        <v>200</v>
      </c>
      <c r="F41" s="2">
        <v>200</v>
      </c>
      <c r="G41" s="2">
        <v>200</v>
      </c>
      <c r="H41" s="2">
        <v>200</v>
      </c>
      <c r="I41" s="2">
        <v>200</v>
      </c>
      <c r="J41" s="2">
        <v>200</v>
      </c>
      <c r="K41" s="2">
        <v>200</v>
      </c>
      <c r="L41" s="2">
        <v>200</v>
      </c>
      <c r="M41" s="2">
        <v>200</v>
      </c>
      <c r="N41" s="2">
        <v>200</v>
      </c>
      <c r="O41" s="2">
        <v>200</v>
      </c>
      <c r="P41" s="9"/>
      <c r="Q41" s="2">
        <f>SUM(OSRRefD21_2_0x)+IFERROR(SUM(OSRRefE21_2_0x),0)</f>
        <v>2200.67</v>
      </c>
    </row>
    <row r="42" spans="1:17" s="34" customFormat="1" collapsed="1" x14ac:dyDescent="0.3">
      <c r="A42" s="35"/>
      <c r="B42" s="14" t="str">
        <f>CONCATENATE("     ","Bank/card Fees                                    ")</f>
        <v xml:space="preserve">     Bank/card Fees                                    </v>
      </c>
      <c r="C42" s="14"/>
      <c r="D42" s="1">
        <f>SUM(OSRRefD21_3x_0)</f>
        <v>3469.56</v>
      </c>
      <c r="E42" s="1">
        <f>SUM(OSRRefE21_3x_0)</f>
        <v>47000</v>
      </c>
      <c r="F42" s="1">
        <f>SUM(OSRRefE21_3x_1)</f>
        <v>15000</v>
      </c>
      <c r="G42" s="1">
        <f>SUM(OSRRefE21_3x_2)</f>
        <v>7300</v>
      </c>
      <c r="H42" s="1">
        <f>SUM(OSRRefE21_3x_3)</f>
        <v>5700</v>
      </c>
      <c r="I42" s="1">
        <f>SUM(OSRRefE21_3x_4)</f>
        <v>6700</v>
      </c>
      <c r="J42" s="1">
        <f>SUM(OSRRefE21_3x_5)</f>
        <v>34000</v>
      </c>
      <c r="K42" s="1">
        <f>SUM(OSRRefE21_3x_6)</f>
        <v>8000</v>
      </c>
      <c r="L42" s="1">
        <f>SUM(OSRRefE21_3x_7)</f>
        <v>6800</v>
      </c>
      <c r="M42" s="1">
        <f>SUM(OSRRefE21_3x_8)</f>
        <v>8000</v>
      </c>
      <c r="N42" s="1">
        <f>SUM(OSRRefE21_3x_9)</f>
        <v>12000</v>
      </c>
      <c r="O42" s="1">
        <f>SUM(OSRRefE21_3x_10)</f>
        <v>6000</v>
      </c>
      <c r="Q42" s="2">
        <f>SUM(OSRRefD20_3x)+IFERROR(SUM(OSRRefE20_3x),0)</f>
        <v>159969.56</v>
      </c>
    </row>
    <row r="43" spans="1:17" s="34" customFormat="1" hidden="1" outlineLevel="1" x14ac:dyDescent="0.3">
      <c r="A43" s="35"/>
      <c r="B43" s="10" t="str">
        <f>CONCATENATE("          ","6381", " - ","BANK/CREDIT CARD FEES")</f>
        <v xml:space="preserve">          6381 - BANK/CREDIT CARD FEES</v>
      </c>
      <c r="C43" s="14"/>
      <c r="D43" s="2">
        <v>3469.56</v>
      </c>
      <c r="E43" s="2">
        <v>47000</v>
      </c>
      <c r="F43" s="2">
        <v>15000</v>
      </c>
      <c r="G43" s="2">
        <v>7300</v>
      </c>
      <c r="H43" s="2">
        <v>5700</v>
      </c>
      <c r="I43" s="2">
        <v>6700</v>
      </c>
      <c r="J43" s="2">
        <v>34000</v>
      </c>
      <c r="K43" s="2">
        <v>8000</v>
      </c>
      <c r="L43" s="2">
        <v>6800</v>
      </c>
      <c r="M43" s="2">
        <v>8000</v>
      </c>
      <c r="N43" s="2">
        <v>12000</v>
      </c>
      <c r="O43" s="2">
        <v>6000</v>
      </c>
      <c r="P43" s="9"/>
      <c r="Q43" s="2">
        <f>SUM(OSRRefD21_3_0x)+IFERROR(SUM(OSRRefE21_3_0x),0)</f>
        <v>159969.56</v>
      </c>
    </row>
    <row r="44" spans="1:17" s="34" customFormat="1" collapsed="1" x14ac:dyDescent="0.3">
      <c r="A44" s="35"/>
      <c r="B44" s="14" t="str">
        <f>CONCATENATE("     ","Depreciation                                      ")</f>
        <v xml:space="preserve">     Depreciation                                      </v>
      </c>
      <c r="C44" s="14"/>
      <c r="D44" s="1">
        <f>SUM(OSRRefD21_4x_0)</f>
        <v>30550.800000000003</v>
      </c>
      <c r="E44" s="1">
        <f>SUM(OSRRefE21_4x_0)</f>
        <v>30430</v>
      </c>
      <c r="F44" s="1">
        <f>SUM(OSRRefE21_4x_1)</f>
        <v>30429</v>
      </c>
      <c r="G44" s="1">
        <f>SUM(OSRRefE21_4x_2)</f>
        <v>30324</v>
      </c>
      <c r="H44" s="1">
        <f>SUM(OSRRefE21_4x_3)</f>
        <v>30324</v>
      </c>
      <c r="I44" s="1">
        <f>SUM(OSRRefE21_4x_4)</f>
        <v>30324</v>
      </c>
      <c r="J44" s="1">
        <f>SUM(OSRRefE21_4x_5)</f>
        <v>28059</v>
      </c>
      <c r="K44" s="1">
        <f>SUM(OSRRefE21_4x_6)</f>
        <v>27249</v>
      </c>
      <c r="L44" s="1">
        <f>SUM(OSRRefE21_4x_7)</f>
        <v>27249</v>
      </c>
      <c r="M44" s="1">
        <f>SUM(OSRRefE21_4x_8)</f>
        <v>16089</v>
      </c>
      <c r="N44" s="1">
        <f>SUM(OSRRefE21_4x_9)</f>
        <v>16089</v>
      </c>
      <c r="O44" s="1">
        <f>SUM(OSRRefE21_4x_10)</f>
        <v>16089</v>
      </c>
      <c r="Q44" s="2">
        <f>SUM(OSRRefD20_4x)+IFERROR(SUM(OSRRefE20_4x),0)</f>
        <v>313205.8</v>
      </c>
    </row>
    <row r="45" spans="1:17" s="34" customFormat="1" hidden="1" outlineLevel="1" x14ac:dyDescent="0.3">
      <c r="A45" s="35"/>
      <c r="B45" s="10" t="str">
        <f>CONCATENATE("          ","6321", " - ","BUILDING DEPRECIATION")</f>
        <v xml:space="preserve">          6321 - BUILDING DEPRECIATION</v>
      </c>
      <c r="C45" s="14"/>
      <c r="D45" s="2">
        <v>16396.52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2">
        <f>SUM(OSRRefD21_4_0x)+IFERROR(SUM(OSRRefE21_4_0x),0)</f>
        <v>16396.52</v>
      </c>
    </row>
    <row r="46" spans="1:17" s="34" customFormat="1" hidden="1" outlineLevel="1" x14ac:dyDescent="0.3">
      <c r="A46" s="35"/>
      <c r="B46" s="10" t="str">
        <f>CONCATENATE("          ","6322", " - ","EQUIPMENT DEPRECIATION EXPENSE")</f>
        <v xml:space="preserve">          6322 - EQUIPMENT DEPRECIATION EXPENSE</v>
      </c>
      <c r="C46" s="14"/>
      <c r="D46" s="2">
        <v>14154.28</v>
      </c>
      <c r="E46" s="2">
        <v>30430</v>
      </c>
      <c r="F46" s="2">
        <v>30429</v>
      </c>
      <c r="G46" s="2">
        <v>30324</v>
      </c>
      <c r="H46" s="2">
        <v>30324</v>
      </c>
      <c r="I46" s="2">
        <v>30324</v>
      </c>
      <c r="J46" s="2">
        <v>28059</v>
      </c>
      <c r="K46" s="2">
        <v>27249</v>
      </c>
      <c r="L46" s="2">
        <v>27249</v>
      </c>
      <c r="M46" s="2">
        <v>16089</v>
      </c>
      <c r="N46" s="2">
        <v>16089</v>
      </c>
      <c r="O46" s="2">
        <v>16089</v>
      </c>
      <c r="P46" s="9"/>
      <c r="Q46" s="2">
        <f>SUM(OSRRefD21_4_1x)+IFERROR(SUM(OSRRefE21_4_1x),0)</f>
        <v>296809.28000000003</v>
      </c>
    </row>
    <row r="47" spans="1:17" s="34" customFormat="1" collapsed="1" x14ac:dyDescent="0.3">
      <c r="A47" s="35"/>
      <c r="B47" s="14" t="str">
        <f>CONCATENATE("     ","Discounts and Markdowns                           ")</f>
        <v xml:space="preserve">     Discounts and Markdowns                           </v>
      </c>
      <c r="C47" s="14"/>
      <c r="D47" s="1">
        <f>SUM(OSRRefD21_5x_0)</f>
        <v>-0.68</v>
      </c>
      <c r="E47" s="1">
        <f>SUM(OSRRefE21_5x_0)</f>
        <v>0</v>
      </c>
      <c r="F47" s="1">
        <f>SUM(OSRRefE21_5x_1)</f>
        <v>0</v>
      </c>
      <c r="G47" s="1">
        <f>SUM(OSRRefE21_5x_2)</f>
        <v>0</v>
      </c>
      <c r="H47" s="1">
        <f>SUM(OSRRefE21_5x_3)</f>
        <v>0</v>
      </c>
      <c r="I47" s="1">
        <f>SUM(OSRRefE21_5x_4)</f>
        <v>0</v>
      </c>
      <c r="J47" s="1">
        <f>SUM(OSRRefE21_5x_5)</f>
        <v>0</v>
      </c>
      <c r="K47" s="1">
        <f>SUM(OSRRefE21_5x_6)</f>
        <v>0</v>
      </c>
      <c r="L47" s="1">
        <f>SUM(OSRRefE21_5x_7)</f>
        <v>0</v>
      </c>
      <c r="M47" s="1">
        <f>SUM(OSRRefE21_5x_8)</f>
        <v>0</v>
      </c>
      <c r="N47" s="1">
        <f>SUM(OSRRefE21_5x_9)</f>
        <v>0</v>
      </c>
      <c r="O47" s="1">
        <f>SUM(OSRRefE21_5x_10)</f>
        <v>0</v>
      </c>
      <c r="Q47" s="2">
        <f>SUM(OSRRefD20_5x)+IFERROR(SUM(OSRRefE20_5x),0)</f>
        <v>-0.68</v>
      </c>
    </row>
    <row r="48" spans="1:17" s="34" customFormat="1" hidden="1" outlineLevel="1" x14ac:dyDescent="0.3">
      <c r="A48" s="35"/>
      <c r="B48" s="10" t="str">
        <f>CONCATENATE("          ","9175", " - ","EARNED DISCOUNTS")</f>
        <v xml:space="preserve">          9175 - EARNED DISCOUNTS</v>
      </c>
      <c r="C48" s="14"/>
      <c r="D48" s="2">
        <v>-0.68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2">
        <f>SUM(OSRRefD21_5_0x)+IFERROR(SUM(OSRRefE21_5_0x),0)</f>
        <v>-0.68</v>
      </c>
    </row>
    <row r="49" spans="1:17" s="34" customFormat="1" collapsed="1" x14ac:dyDescent="0.3">
      <c r="A49" s="35"/>
      <c r="B49" s="14" t="str">
        <f>CONCATENATE("     ","Donations                                         ")</f>
        <v xml:space="preserve">     Donations                                         </v>
      </c>
      <c r="C49" s="14"/>
      <c r="D49" s="1">
        <f>SUM(OSRRefD21_6x_0)</f>
        <v>0</v>
      </c>
      <c r="E49" s="1">
        <f>SUM(OSRRefE21_6x_0)</f>
        <v>1250</v>
      </c>
      <c r="F49" s="1">
        <f>SUM(OSRRefE21_6x_1)</f>
        <v>1250</v>
      </c>
      <c r="G49" s="1">
        <f>SUM(OSRRefE21_6x_2)</f>
        <v>1250</v>
      </c>
      <c r="H49" s="1">
        <f>SUM(OSRRefE21_6x_3)</f>
        <v>1250</v>
      </c>
      <c r="I49" s="1">
        <f>SUM(OSRRefE21_6x_4)</f>
        <v>1250</v>
      </c>
      <c r="J49" s="1">
        <f>SUM(OSRRefE21_6x_5)</f>
        <v>1250</v>
      </c>
      <c r="K49" s="1">
        <f>SUM(OSRRefE21_6x_6)</f>
        <v>1250</v>
      </c>
      <c r="L49" s="1">
        <f>SUM(OSRRefE21_6x_7)</f>
        <v>1250</v>
      </c>
      <c r="M49" s="1">
        <f>SUM(OSRRefE21_6x_8)</f>
        <v>1250</v>
      </c>
      <c r="N49" s="1">
        <f>SUM(OSRRefE21_6x_9)</f>
        <v>1250</v>
      </c>
      <c r="O49" s="1">
        <f>SUM(OSRRefE21_6x_10)</f>
        <v>1250</v>
      </c>
      <c r="Q49" s="2">
        <f>SUM(OSRRefD20_6x)+IFERROR(SUM(OSRRefE20_6x),0)</f>
        <v>13750</v>
      </c>
    </row>
    <row r="50" spans="1:17" s="34" customFormat="1" hidden="1" outlineLevel="1" x14ac:dyDescent="0.3">
      <c r="A50" s="35"/>
      <c r="B50" s="10" t="str">
        <f>CONCATENATE("          ","6399", " - ","DONATION-ON CAMPUS")</f>
        <v xml:space="preserve">          6399 - DONATION-ON CAMPUS</v>
      </c>
      <c r="C50" s="14"/>
      <c r="D50" s="2"/>
      <c r="E50" s="2">
        <v>1250</v>
      </c>
      <c r="F50" s="2">
        <v>1250</v>
      </c>
      <c r="G50" s="2">
        <v>1250</v>
      </c>
      <c r="H50" s="2">
        <v>1250</v>
      </c>
      <c r="I50" s="2">
        <v>1250</v>
      </c>
      <c r="J50" s="2">
        <v>1250</v>
      </c>
      <c r="K50" s="2">
        <v>1250</v>
      </c>
      <c r="L50" s="2">
        <v>1250</v>
      </c>
      <c r="M50" s="2">
        <v>1250</v>
      </c>
      <c r="N50" s="2">
        <v>1250</v>
      </c>
      <c r="O50" s="2">
        <v>1250</v>
      </c>
      <c r="P50" s="9"/>
      <c r="Q50" s="2">
        <f>SUM(OSRRefD21_6_0x)+IFERROR(SUM(OSRRefE21_6_0x),0)</f>
        <v>13750</v>
      </c>
    </row>
    <row r="51" spans="1:17" s="34" customFormat="1" collapsed="1" x14ac:dyDescent="0.3">
      <c r="A51" s="35"/>
      <c r="B51" s="14" t="str">
        <f>CONCATENATE("     ","Employees' Appreciation                           ")</f>
        <v xml:space="preserve">     Employees' Appreciation                           </v>
      </c>
      <c r="C51" s="14"/>
      <c r="D51" s="1">
        <f>SUM(OSRRefD21_7x_0)</f>
        <v>320.92</v>
      </c>
      <c r="E51" s="1">
        <f>SUM(OSRRefE21_7x_0)</f>
        <v>100</v>
      </c>
      <c r="F51" s="1">
        <f>SUM(OSRRefE21_7x_1)</f>
        <v>100</v>
      </c>
      <c r="G51" s="1">
        <f>SUM(OSRRefE21_7x_2)</f>
        <v>100</v>
      </c>
      <c r="H51" s="1">
        <f>SUM(OSRRefE21_7x_3)</f>
        <v>100</v>
      </c>
      <c r="I51" s="1">
        <f>SUM(OSRRefE21_7x_4)</f>
        <v>100</v>
      </c>
      <c r="J51" s="1">
        <f>SUM(OSRRefE21_7x_5)</f>
        <v>100</v>
      </c>
      <c r="K51" s="1">
        <f>SUM(OSRRefE21_7x_6)</f>
        <v>100</v>
      </c>
      <c r="L51" s="1">
        <f>SUM(OSRRefE21_7x_7)</f>
        <v>100</v>
      </c>
      <c r="M51" s="1">
        <f>SUM(OSRRefE21_7x_8)</f>
        <v>100</v>
      </c>
      <c r="N51" s="1">
        <f>SUM(OSRRefE21_7x_9)</f>
        <v>100</v>
      </c>
      <c r="O51" s="1">
        <f>SUM(OSRRefE21_7x_10)</f>
        <v>100</v>
      </c>
      <c r="Q51" s="2">
        <f>SUM(OSRRefD20_7x)+IFERROR(SUM(OSRRefE20_7x),0)</f>
        <v>1420.92</v>
      </c>
    </row>
    <row r="52" spans="1:17" s="34" customFormat="1" hidden="1" outlineLevel="1" x14ac:dyDescent="0.3">
      <c r="A52" s="35"/>
      <c r="B52" s="10" t="str">
        <f>CONCATENATE("          ","6277", " - ","EMPLOYEE APPRECIATION")</f>
        <v xml:space="preserve">          6277 - EMPLOYEE APPRECIATION</v>
      </c>
      <c r="C52" s="14"/>
      <c r="D52" s="2">
        <v>320.92</v>
      </c>
      <c r="E52" s="2">
        <v>100</v>
      </c>
      <c r="F52" s="2">
        <v>100</v>
      </c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100</v>
      </c>
      <c r="M52" s="2">
        <v>100</v>
      </c>
      <c r="N52" s="2">
        <v>100</v>
      </c>
      <c r="O52" s="2">
        <v>100</v>
      </c>
      <c r="P52" s="9"/>
      <c r="Q52" s="2">
        <f>SUM(OSRRefD21_7_0x)+IFERROR(SUM(OSRRefE21_7_0x),0)</f>
        <v>1420.92</v>
      </c>
    </row>
    <row r="53" spans="1:17" s="34" customFormat="1" collapsed="1" x14ac:dyDescent="0.3">
      <c r="A53" s="35"/>
      <c r="B53" s="14" t="str">
        <f>CONCATENATE("     ","Equipment Rental                                  ")</f>
        <v xml:space="preserve">     Equipment Rental                                  </v>
      </c>
      <c r="C53" s="14"/>
      <c r="D53" s="1">
        <f>SUM(OSRRefD21_8x_0)</f>
        <v>91.26</v>
      </c>
      <c r="E53" s="1">
        <f>SUM(OSRRefE21_8x_0)</f>
        <v>300</v>
      </c>
      <c r="F53" s="1">
        <f>SUM(OSRRefE21_8x_1)</f>
        <v>300</v>
      </c>
      <c r="G53" s="1">
        <f>SUM(OSRRefE21_8x_2)</f>
        <v>300</v>
      </c>
      <c r="H53" s="1">
        <f>SUM(OSRRefE21_8x_3)</f>
        <v>300</v>
      </c>
      <c r="I53" s="1">
        <f>SUM(OSRRefE21_8x_4)</f>
        <v>300</v>
      </c>
      <c r="J53" s="1">
        <f>SUM(OSRRefE21_8x_5)</f>
        <v>300</v>
      </c>
      <c r="K53" s="1">
        <f>SUM(OSRRefE21_8x_6)</f>
        <v>300</v>
      </c>
      <c r="L53" s="1">
        <f>SUM(OSRRefE21_8x_7)</f>
        <v>300</v>
      </c>
      <c r="M53" s="1">
        <f>SUM(OSRRefE21_8x_8)</f>
        <v>300</v>
      </c>
      <c r="N53" s="1">
        <f>SUM(OSRRefE21_8x_9)</f>
        <v>300</v>
      </c>
      <c r="O53" s="1">
        <f>SUM(OSRRefE21_8x_10)</f>
        <v>300</v>
      </c>
      <c r="Q53" s="2">
        <f>SUM(OSRRefD20_8x)+IFERROR(SUM(OSRRefE20_8x),0)</f>
        <v>3391.26</v>
      </c>
    </row>
    <row r="54" spans="1:17" s="34" customFormat="1" hidden="1" outlineLevel="1" x14ac:dyDescent="0.3">
      <c r="A54" s="35"/>
      <c r="B54" s="10" t="str">
        <f>CONCATENATE("          ","6351", " - ","EQUIPMENT RENTAL")</f>
        <v xml:space="preserve">          6351 - EQUIPMENT RENTAL</v>
      </c>
      <c r="C54" s="14"/>
      <c r="D54" s="2">
        <v>91.26</v>
      </c>
      <c r="E54" s="2">
        <v>300</v>
      </c>
      <c r="F54" s="2">
        <v>300</v>
      </c>
      <c r="G54" s="2">
        <v>300</v>
      </c>
      <c r="H54" s="2">
        <v>300</v>
      </c>
      <c r="I54" s="2">
        <v>300</v>
      </c>
      <c r="J54" s="2">
        <v>300</v>
      </c>
      <c r="K54" s="2">
        <v>300</v>
      </c>
      <c r="L54" s="2">
        <v>300</v>
      </c>
      <c r="M54" s="2">
        <v>300</v>
      </c>
      <c r="N54" s="2">
        <v>300</v>
      </c>
      <c r="O54" s="2">
        <v>300</v>
      </c>
      <c r="P54" s="9"/>
      <c r="Q54" s="2">
        <f>SUM(OSRRefD21_8_0x)+IFERROR(SUM(OSRRefE21_8_0x),0)</f>
        <v>3391.26</v>
      </c>
    </row>
    <row r="55" spans="1:17" s="34" customFormat="1" collapsed="1" x14ac:dyDescent="0.3">
      <c r="A55" s="35"/>
      <c r="B55" s="14" t="str">
        <f>CONCATENATE("     ","Freight out/Postage                               ")</f>
        <v xml:space="preserve">     Freight out/Postage                               </v>
      </c>
      <c r="C55" s="14"/>
      <c r="D55" s="1">
        <f>SUM(OSRRefD21_9x_0)</f>
        <v>315.95</v>
      </c>
      <c r="E55" s="1">
        <f>SUM(OSRRefE21_9x_0)</f>
        <v>100</v>
      </c>
      <c r="F55" s="1">
        <f>SUM(OSRRefE21_9x_1)</f>
        <v>100</v>
      </c>
      <c r="G55" s="1">
        <f>SUM(OSRRefE21_9x_2)</f>
        <v>100</v>
      </c>
      <c r="H55" s="1">
        <f>SUM(OSRRefE21_9x_3)</f>
        <v>100</v>
      </c>
      <c r="I55" s="1">
        <f>SUM(OSRRefE21_9x_4)</f>
        <v>100</v>
      </c>
      <c r="J55" s="1">
        <f>SUM(OSRRefE21_9x_5)</f>
        <v>100</v>
      </c>
      <c r="K55" s="1">
        <f>SUM(OSRRefE21_9x_6)</f>
        <v>100</v>
      </c>
      <c r="L55" s="1">
        <f>SUM(OSRRefE21_9x_7)</f>
        <v>100</v>
      </c>
      <c r="M55" s="1">
        <f>SUM(OSRRefE21_9x_8)</f>
        <v>100</v>
      </c>
      <c r="N55" s="1">
        <f>SUM(OSRRefE21_9x_9)</f>
        <v>100</v>
      </c>
      <c r="O55" s="1">
        <f>SUM(OSRRefE21_9x_10)</f>
        <v>100</v>
      </c>
      <c r="Q55" s="2">
        <f>SUM(OSRRefD20_9x)+IFERROR(SUM(OSRRefE20_9x),0)</f>
        <v>1415.95</v>
      </c>
    </row>
    <row r="56" spans="1:17" s="34" customFormat="1" hidden="1" outlineLevel="1" x14ac:dyDescent="0.3">
      <c r="A56" s="35"/>
      <c r="B56" s="10" t="str">
        <f>CONCATENATE("          ","6307", " - ","POSTAGE")</f>
        <v xml:space="preserve">          6307 - POSTAGE</v>
      </c>
      <c r="C56" s="14"/>
      <c r="D56" s="2">
        <v>315.95</v>
      </c>
      <c r="E56" s="2">
        <v>100</v>
      </c>
      <c r="F56" s="2">
        <v>100</v>
      </c>
      <c r="G56" s="2">
        <v>100</v>
      </c>
      <c r="H56" s="2">
        <v>100</v>
      </c>
      <c r="I56" s="2">
        <v>100</v>
      </c>
      <c r="J56" s="2">
        <v>100</v>
      </c>
      <c r="K56" s="2">
        <v>100</v>
      </c>
      <c r="L56" s="2">
        <v>100</v>
      </c>
      <c r="M56" s="2">
        <v>100</v>
      </c>
      <c r="N56" s="2">
        <v>100</v>
      </c>
      <c r="O56" s="2">
        <v>100</v>
      </c>
      <c r="P56" s="9"/>
      <c r="Q56" s="2">
        <f>SUM(OSRRefD21_9_0x)+IFERROR(SUM(OSRRefE21_9_0x),0)</f>
        <v>1415.95</v>
      </c>
    </row>
    <row r="57" spans="1:17" s="34" customFormat="1" collapsed="1" x14ac:dyDescent="0.3">
      <c r="A57" s="35"/>
      <c r="B57" s="14" t="str">
        <f>CONCATENATE("     ","General                                           ")</f>
        <v xml:space="preserve">     General                                           </v>
      </c>
      <c r="C57" s="14"/>
      <c r="D57" s="1">
        <f>SUM(OSRRefD21_10x_0)</f>
        <v>778</v>
      </c>
      <c r="E57" s="1">
        <f>SUM(OSRRefE21_10x_0)</f>
        <v>200</v>
      </c>
      <c r="F57" s="1">
        <f>SUM(OSRRefE21_10x_1)</f>
        <v>200</v>
      </c>
      <c r="G57" s="1">
        <f>SUM(OSRRefE21_10x_2)</f>
        <v>200</v>
      </c>
      <c r="H57" s="1">
        <f>SUM(OSRRefE21_10x_3)</f>
        <v>200</v>
      </c>
      <c r="I57" s="1">
        <f>SUM(OSRRefE21_10x_4)</f>
        <v>200</v>
      </c>
      <c r="J57" s="1">
        <f>SUM(OSRRefE21_10x_5)</f>
        <v>200</v>
      </c>
      <c r="K57" s="1">
        <f>SUM(OSRRefE21_10x_6)</f>
        <v>200</v>
      </c>
      <c r="L57" s="1">
        <f>SUM(OSRRefE21_10x_7)</f>
        <v>200</v>
      </c>
      <c r="M57" s="1">
        <f>SUM(OSRRefE21_10x_8)</f>
        <v>200</v>
      </c>
      <c r="N57" s="1">
        <f>SUM(OSRRefE21_10x_9)</f>
        <v>200</v>
      </c>
      <c r="O57" s="1">
        <f>SUM(OSRRefE21_10x_10)</f>
        <v>200</v>
      </c>
      <c r="Q57" s="2">
        <f>SUM(OSRRefD20_10x)+IFERROR(SUM(OSRRefE20_10x),0)</f>
        <v>2978</v>
      </c>
    </row>
    <row r="58" spans="1:17" s="34" customFormat="1" hidden="1" outlineLevel="1" x14ac:dyDescent="0.3">
      <c r="A58" s="35"/>
      <c r="B58" s="10" t="str">
        <f>CONCATENATE("          ","6279", " - ","GENERAL EXPENSE")</f>
        <v xml:space="preserve">          6279 - GENERAL EXPENSE</v>
      </c>
      <c r="C58" s="14"/>
      <c r="D58" s="2">
        <v>778</v>
      </c>
      <c r="E58" s="2">
        <v>200</v>
      </c>
      <c r="F58" s="2">
        <v>200</v>
      </c>
      <c r="G58" s="2">
        <v>200</v>
      </c>
      <c r="H58" s="2">
        <v>200</v>
      </c>
      <c r="I58" s="2">
        <v>200</v>
      </c>
      <c r="J58" s="2">
        <v>200</v>
      </c>
      <c r="K58" s="2">
        <v>200</v>
      </c>
      <c r="L58" s="2">
        <v>200</v>
      </c>
      <c r="M58" s="2">
        <v>200</v>
      </c>
      <c r="N58" s="2">
        <v>200</v>
      </c>
      <c r="O58" s="2">
        <v>200</v>
      </c>
      <c r="P58" s="9"/>
      <c r="Q58" s="2">
        <f>SUM(OSRRefD21_10_0x)+IFERROR(SUM(OSRRefE21_10_0x),0)</f>
        <v>2978</v>
      </c>
    </row>
    <row r="59" spans="1:17" s="34" customFormat="1" collapsed="1" x14ac:dyDescent="0.3">
      <c r="A59" s="35"/>
      <c r="B59" s="14" t="str">
        <f>CONCATENATE("     ","Insurance                                         ")</f>
        <v xml:space="preserve">     Insurance                                         </v>
      </c>
      <c r="C59" s="14"/>
      <c r="D59" s="1">
        <f>SUM(OSRRefD21_11x_0)</f>
        <v>5275.49</v>
      </c>
      <c r="E59" s="1">
        <f>SUM(OSRRefE21_11x_0)</f>
        <v>5200</v>
      </c>
      <c r="F59" s="1">
        <f>SUM(OSRRefE21_11x_1)</f>
        <v>5200</v>
      </c>
      <c r="G59" s="1">
        <f>SUM(OSRRefE21_11x_2)</f>
        <v>5200</v>
      </c>
      <c r="H59" s="1">
        <f>SUM(OSRRefE21_11x_3)</f>
        <v>5200</v>
      </c>
      <c r="I59" s="1">
        <f>SUM(OSRRefE21_11x_4)</f>
        <v>5200</v>
      </c>
      <c r="J59" s="1">
        <f>SUM(OSRRefE21_11x_5)</f>
        <v>5200</v>
      </c>
      <c r="K59" s="1">
        <f>SUM(OSRRefE21_11x_6)</f>
        <v>5200</v>
      </c>
      <c r="L59" s="1">
        <f>SUM(OSRRefE21_11x_7)</f>
        <v>5200</v>
      </c>
      <c r="M59" s="1">
        <f>SUM(OSRRefE21_11x_8)</f>
        <v>5200</v>
      </c>
      <c r="N59" s="1">
        <f>SUM(OSRRefE21_11x_9)</f>
        <v>5200</v>
      </c>
      <c r="O59" s="1">
        <f>SUM(OSRRefE21_11x_10)</f>
        <v>5200</v>
      </c>
      <c r="Q59" s="2">
        <f>SUM(OSRRefD20_11x)+IFERROR(SUM(OSRRefE20_11x),0)</f>
        <v>62475.49</v>
      </c>
    </row>
    <row r="60" spans="1:17" s="34" customFormat="1" hidden="1" outlineLevel="1" x14ac:dyDescent="0.3">
      <c r="A60" s="35"/>
      <c r="B60" s="10" t="str">
        <f>CONCATENATE("          ","6314", " - ","LIABILITY INSURANCE")</f>
        <v xml:space="preserve">          6314 - LIABILITY INSURANCE</v>
      </c>
      <c r="C60" s="14"/>
      <c r="D60" s="2">
        <v>5275.49</v>
      </c>
      <c r="E60" s="2">
        <v>5200</v>
      </c>
      <c r="F60" s="2">
        <v>5200</v>
      </c>
      <c r="G60" s="2">
        <v>5200</v>
      </c>
      <c r="H60" s="2">
        <v>5200</v>
      </c>
      <c r="I60" s="2">
        <v>5200</v>
      </c>
      <c r="J60" s="2">
        <v>5200</v>
      </c>
      <c r="K60" s="2">
        <v>5200</v>
      </c>
      <c r="L60" s="2">
        <v>5200</v>
      </c>
      <c r="M60" s="2">
        <v>5200</v>
      </c>
      <c r="N60" s="2">
        <v>5200</v>
      </c>
      <c r="O60" s="2">
        <v>5200</v>
      </c>
      <c r="P60" s="9"/>
      <c r="Q60" s="2">
        <f>SUM(OSRRefD21_11_0x)+IFERROR(SUM(OSRRefE21_11_0x),0)</f>
        <v>62475.49</v>
      </c>
    </row>
    <row r="61" spans="1:17" s="34" customFormat="1" collapsed="1" x14ac:dyDescent="0.3">
      <c r="A61" s="35"/>
      <c r="B61" s="14" t="str">
        <f>CONCATENATE("     ","Rent                                              ")</f>
        <v xml:space="preserve">     Rent                                              </v>
      </c>
      <c r="C61" s="14"/>
      <c r="D61" s="1">
        <f>SUM(OSRRefD21_12x_0)</f>
        <v>-800</v>
      </c>
      <c r="E61" s="1">
        <f>SUM(OSRRefE21_12x_0)</f>
        <v>-800</v>
      </c>
      <c r="F61" s="1">
        <f>SUM(OSRRefE21_12x_1)</f>
        <v>-800</v>
      </c>
      <c r="G61" s="1">
        <f>SUM(OSRRefE21_12x_2)</f>
        <v>-800</v>
      </c>
      <c r="H61" s="1">
        <f>SUM(OSRRefE21_12x_3)</f>
        <v>-800</v>
      </c>
      <c r="I61" s="1">
        <f>SUM(OSRRefE21_12x_4)</f>
        <v>-800</v>
      </c>
      <c r="J61" s="1">
        <f>SUM(OSRRefE21_12x_5)</f>
        <v>-800</v>
      </c>
      <c r="K61" s="1">
        <f>SUM(OSRRefE21_12x_6)</f>
        <v>-800</v>
      </c>
      <c r="L61" s="1">
        <f>SUM(OSRRefE21_12x_7)</f>
        <v>-800</v>
      </c>
      <c r="M61" s="1">
        <f>SUM(OSRRefE21_12x_8)</f>
        <v>-800</v>
      </c>
      <c r="N61" s="1">
        <f>SUM(OSRRefE21_12x_9)</f>
        <v>-800</v>
      </c>
      <c r="O61" s="1">
        <f>SUM(OSRRefE21_12x_10)</f>
        <v>-800</v>
      </c>
      <c r="Q61" s="2">
        <f>SUM(OSRRefD20_12x)+IFERROR(SUM(OSRRefE20_12x),0)</f>
        <v>-9600</v>
      </c>
    </row>
    <row r="62" spans="1:17" s="34" customFormat="1" hidden="1" outlineLevel="1" x14ac:dyDescent="0.3">
      <c r="A62" s="35"/>
      <c r="B62" s="10" t="str">
        <f>CONCATENATE("          ","6273", " - ","RENT")</f>
        <v xml:space="preserve">          6273 - RENT</v>
      </c>
      <c r="C62" s="14"/>
      <c r="D62" s="2">
        <v>-800</v>
      </c>
      <c r="E62" s="2">
        <v>-800</v>
      </c>
      <c r="F62" s="2">
        <v>-800</v>
      </c>
      <c r="G62" s="2">
        <v>-800</v>
      </c>
      <c r="H62" s="2">
        <v>-800</v>
      </c>
      <c r="I62" s="2">
        <v>-800</v>
      </c>
      <c r="J62" s="2">
        <v>-800</v>
      </c>
      <c r="K62" s="2">
        <v>-800</v>
      </c>
      <c r="L62" s="2">
        <v>-800</v>
      </c>
      <c r="M62" s="2">
        <v>-800</v>
      </c>
      <c r="N62" s="2">
        <v>-800</v>
      </c>
      <c r="O62" s="2">
        <v>-800</v>
      </c>
      <c r="P62" s="9"/>
      <c r="Q62" s="2">
        <f>SUM(OSRRefD21_12_0x)+IFERROR(SUM(OSRRefE21_12_0x),0)</f>
        <v>-9600</v>
      </c>
    </row>
    <row r="63" spans="1:17" s="34" customFormat="1" collapsed="1" x14ac:dyDescent="0.3">
      <c r="A63" s="35"/>
      <c r="B63" s="14" t="str">
        <f>CONCATENATE("     ","Repair and Maintenance                            ")</f>
        <v xml:space="preserve">     Repair and Maintenance                            </v>
      </c>
      <c r="C63" s="14"/>
      <c r="D63" s="1">
        <f>SUM(OSRRefD21_13x_0)</f>
        <v>59516.22</v>
      </c>
      <c r="E63" s="1">
        <f>SUM(OSRRefE21_13x_0)</f>
        <v>4950</v>
      </c>
      <c r="F63" s="1">
        <f>SUM(OSRRefE21_13x_1)</f>
        <v>4950</v>
      </c>
      <c r="G63" s="1">
        <f>SUM(OSRRefE21_13x_2)</f>
        <v>4950</v>
      </c>
      <c r="H63" s="1">
        <f>SUM(OSRRefE21_13x_3)</f>
        <v>4950</v>
      </c>
      <c r="I63" s="1">
        <f>SUM(OSRRefE21_13x_4)</f>
        <v>4950</v>
      </c>
      <c r="J63" s="1">
        <f>SUM(OSRRefE21_13x_5)</f>
        <v>4950</v>
      </c>
      <c r="K63" s="1">
        <f>SUM(OSRRefE21_13x_6)</f>
        <v>20750</v>
      </c>
      <c r="L63" s="1">
        <f>SUM(OSRRefE21_13x_7)</f>
        <v>4950</v>
      </c>
      <c r="M63" s="1">
        <f>SUM(OSRRefE21_13x_8)</f>
        <v>4950</v>
      </c>
      <c r="N63" s="1">
        <f>SUM(OSRRefE21_13x_9)</f>
        <v>4850</v>
      </c>
      <c r="O63" s="1">
        <f>SUM(OSRRefE21_13x_10)</f>
        <v>4950</v>
      </c>
      <c r="Q63" s="2">
        <f>SUM(OSRRefD20_13x)+IFERROR(SUM(OSRRefE20_13x),0)</f>
        <v>129666.22</v>
      </c>
    </row>
    <row r="64" spans="1:17" s="34" customFormat="1" hidden="1" outlineLevel="1" x14ac:dyDescent="0.3">
      <c r="A64" s="35"/>
      <c r="B64" s="10" t="str">
        <f>CONCATENATE("          ","6371", " - ","COMPUTER SOFTWARE MAINTENANCE")</f>
        <v xml:space="preserve">          6371 - COMPUTER SOFTWARE MAINTENANCE</v>
      </c>
      <c r="C64" s="14"/>
      <c r="D64" s="2">
        <v>56736</v>
      </c>
      <c r="E64" s="2">
        <v>1000</v>
      </c>
      <c r="F64" s="2">
        <v>1000</v>
      </c>
      <c r="G64" s="2">
        <v>1000</v>
      </c>
      <c r="H64" s="2">
        <v>1000</v>
      </c>
      <c r="I64" s="2">
        <v>1000</v>
      </c>
      <c r="J64" s="2">
        <v>1000</v>
      </c>
      <c r="K64" s="2">
        <v>1000</v>
      </c>
      <c r="L64" s="2">
        <v>1000</v>
      </c>
      <c r="M64" s="2">
        <v>1000</v>
      </c>
      <c r="N64" s="2">
        <v>1000</v>
      </c>
      <c r="O64" s="2">
        <v>1000</v>
      </c>
      <c r="P64" s="9"/>
      <c r="Q64" s="2">
        <f>SUM(OSRRefD21_13_0x)+IFERROR(SUM(OSRRefE21_13_0x),0)</f>
        <v>67736</v>
      </c>
    </row>
    <row r="65" spans="1:17" s="34" customFormat="1" hidden="1" outlineLevel="1" x14ac:dyDescent="0.3">
      <c r="A65" s="35"/>
      <c r="B65" s="10" t="str">
        <f>CONCATENATE("          ","6372", " - ","COMPUTER HARDWARE MAINTENANCE")</f>
        <v xml:space="preserve">          6372 - COMPUTER HARDWARE MAINTENANCE</v>
      </c>
      <c r="C65" s="14"/>
      <c r="D65" s="2"/>
      <c r="E65" s="2">
        <v>3750</v>
      </c>
      <c r="F65" s="2">
        <v>3750</v>
      </c>
      <c r="G65" s="2">
        <v>3750</v>
      </c>
      <c r="H65" s="2">
        <v>3750</v>
      </c>
      <c r="I65" s="2">
        <v>3750</v>
      </c>
      <c r="J65" s="2">
        <v>3750</v>
      </c>
      <c r="K65" s="2">
        <v>3750</v>
      </c>
      <c r="L65" s="2">
        <v>3750</v>
      </c>
      <c r="M65" s="2">
        <v>3750</v>
      </c>
      <c r="N65" s="2">
        <v>3750</v>
      </c>
      <c r="O65" s="2">
        <v>3750</v>
      </c>
      <c r="P65" s="9"/>
      <c r="Q65" s="2">
        <f>SUM(OSRRefD21_13_1x)+IFERROR(SUM(OSRRefE21_13_1x),0)</f>
        <v>41250</v>
      </c>
    </row>
    <row r="66" spans="1:17" s="34" customFormat="1" hidden="1" outlineLevel="1" x14ac:dyDescent="0.3">
      <c r="A66" s="35"/>
      <c r="B66" s="10" t="str">
        <f>CONCATENATE("          ","6373", " - ","MAINTENANCE CONTRACTS")</f>
        <v xml:space="preserve">          6373 - MAINTENANCE CONTRACTS</v>
      </c>
      <c r="C66" s="14"/>
      <c r="D66" s="2">
        <v>16.260000000000002</v>
      </c>
      <c r="E66" s="2">
        <v>200</v>
      </c>
      <c r="F66" s="2">
        <v>200</v>
      </c>
      <c r="G66" s="2">
        <v>200</v>
      </c>
      <c r="H66" s="2">
        <v>200</v>
      </c>
      <c r="I66" s="2">
        <v>200</v>
      </c>
      <c r="J66" s="2">
        <v>200</v>
      </c>
      <c r="K66" s="2">
        <v>16000</v>
      </c>
      <c r="L66" s="2">
        <v>200</v>
      </c>
      <c r="M66" s="2">
        <v>200</v>
      </c>
      <c r="N66" s="2">
        <v>100</v>
      </c>
      <c r="O66" s="2">
        <v>200</v>
      </c>
      <c r="P66" s="9"/>
      <c r="Q66" s="2">
        <f>SUM(OSRRefD21_13_2x)+IFERROR(SUM(OSRRefE21_13_2x),0)</f>
        <v>17916.259999999998</v>
      </c>
    </row>
    <row r="67" spans="1:17" s="34" customFormat="1" hidden="1" outlineLevel="1" x14ac:dyDescent="0.3">
      <c r="A67" s="35"/>
      <c r="B67" s="10" t="str">
        <f>CONCATENATE("          ","6375", " - ","OUTSIDE REPAIRS &amp; MAINTENANCE")</f>
        <v xml:space="preserve">          6375 - OUTSIDE REPAIRS &amp; MAINTENANCE</v>
      </c>
      <c r="C67" s="14"/>
      <c r="D67" s="2">
        <v>2763.96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2">
        <f>SUM(OSRRefD21_13_3x)+IFERROR(SUM(OSRRefE21_13_3x),0)</f>
        <v>2763.96</v>
      </c>
    </row>
    <row r="68" spans="1:17" s="34" customFormat="1" collapsed="1" x14ac:dyDescent="0.3">
      <c r="A68" s="35"/>
      <c r="B68" s="14" t="str">
        <f>CONCATENATE("     ","Services                                          ")</f>
        <v xml:space="preserve">     Services                                          </v>
      </c>
      <c r="C68" s="14"/>
      <c r="D68" s="1">
        <f>SUM(OSRRefD21_14x_0)</f>
        <v>3850.73</v>
      </c>
      <c r="E68" s="1">
        <f>SUM(OSRRefE21_14x_0)</f>
        <v>4300</v>
      </c>
      <c r="F68" s="1">
        <f>SUM(OSRRefE21_14x_1)</f>
        <v>4300</v>
      </c>
      <c r="G68" s="1">
        <f>SUM(OSRRefE21_14x_2)</f>
        <v>4300</v>
      </c>
      <c r="H68" s="1">
        <f>SUM(OSRRefE21_14x_3)</f>
        <v>4300</v>
      </c>
      <c r="I68" s="1">
        <f>SUM(OSRRefE21_14x_4)</f>
        <v>4300</v>
      </c>
      <c r="J68" s="1">
        <f>SUM(OSRRefE21_14x_5)</f>
        <v>4300</v>
      </c>
      <c r="K68" s="1">
        <f>SUM(OSRRefE21_14x_6)</f>
        <v>4300</v>
      </c>
      <c r="L68" s="1">
        <f>SUM(OSRRefE21_14x_7)</f>
        <v>4300</v>
      </c>
      <c r="M68" s="1">
        <f>SUM(OSRRefE21_14x_8)</f>
        <v>4300</v>
      </c>
      <c r="N68" s="1">
        <f>SUM(OSRRefE21_14x_9)</f>
        <v>4300</v>
      </c>
      <c r="O68" s="1">
        <f>SUM(OSRRefE21_14x_10)</f>
        <v>4300</v>
      </c>
      <c r="Q68" s="2">
        <f>SUM(OSRRefD20_14x)+IFERROR(SUM(OSRRefE20_14x),0)</f>
        <v>51150.73</v>
      </c>
    </row>
    <row r="69" spans="1:17" s="34" customFormat="1" hidden="1" outlineLevel="1" x14ac:dyDescent="0.3">
      <c r="A69" s="35"/>
      <c r="B69" s="10" t="str">
        <f>CONCATENATE("          ","6282", " - ","JANITORIAL/EXTERMINATOR EXPENS")</f>
        <v xml:space="preserve">          6282 - JANITORIAL/EXTERMINATOR EXPENS</v>
      </c>
      <c r="C69" s="14"/>
      <c r="D69" s="2"/>
      <c r="E69" s="2">
        <v>4300</v>
      </c>
      <c r="F69" s="2">
        <v>4300</v>
      </c>
      <c r="G69" s="2">
        <v>4300</v>
      </c>
      <c r="H69" s="2">
        <v>4300</v>
      </c>
      <c r="I69" s="2">
        <v>4300</v>
      </c>
      <c r="J69" s="2">
        <v>4300</v>
      </c>
      <c r="K69" s="2">
        <v>4300</v>
      </c>
      <c r="L69" s="2">
        <v>4300</v>
      </c>
      <c r="M69" s="2">
        <v>4300</v>
      </c>
      <c r="N69" s="2">
        <v>4300</v>
      </c>
      <c r="O69" s="2">
        <v>4300</v>
      </c>
      <c r="P69" s="9"/>
      <c r="Q69" s="2">
        <f>SUM(OSRRefD21_14_0x)+IFERROR(SUM(OSRRefE21_14_0x),0)</f>
        <v>47300</v>
      </c>
    </row>
    <row r="70" spans="1:17" s="34" customFormat="1" hidden="1" outlineLevel="1" x14ac:dyDescent="0.3">
      <c r="A70" s="35"/>
      <c r="B70" s="10" t="str">
        <f>CONCATENATE("          ","6285", " - ","JANITORIAL SERVICES")</f>
        <v xml:space="preserve">          6285 - JANITORIAL SERVICES</v>
      </c>
      <c r="C70" s="14"/>
      <c r="D70" s="2">
        <v>3850.73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2">
        <f>SUM(OSRRefD21_14_1x)+IFERROR(SUM(OSRRefE21_14_1x),0)</f>
        <v>3850.73</v>
      </c>
    </row>
    <row r="71" spans="1:17" s="34" customFormat="1" collapsed="1" x14ac:dyDescent="0.3">
      <c r="A71" s="35"/>
      <c r="B71" s="14" t="str">
        <f>CONCATENATE("     ","Subscriptions &amp; Dues                              ")</f>
        <v xml:space="preserve">     Subscriptions &amp; Dues                              </v>
      </c>
      <c r="C71" s="14"/>
      <c r="D71" s="1">
        <f>SUM(OSRRefD21_15x_0)</f>
        <v>0</v>
      </c>
      <c r="E71" s="1">
        <f>SUM(OSRRefE21_15x_0)</f>
        <v>1000</v>
      </c>
      <c r="F71" s="1">
        <f>SUM(OSRRefE21_15x_1)</f>
        <v>0</v>
      </c>
      <c r="G71" s="1">
        <f>SUM(OSRRefE21_15x_2)</f>
        <v>1000</v>
      </c>
      <c r="H71" s="1">
        <f>SUM(OSRRefE21_15x_3)</f>
        <v>0</v>
      </c>
      <c r="I71" s="1">
        <f>SUM(OSRRefE21_15x_4)</f>
        <v>1000</v>
      </c>
      <c r="J71" s="1">
        <f>SUM(OSRRefE21_15x_5)</f>
        <v>0</v>
      </c>
      <c r="K71" s="1">
        <f>SUM(OSRRefE21_15x_6)</f>
        <v>1000</v>
      </c>
      <c r="L71" s="1">
        <f>SUM(OSRRefE21_15x_7)</f>
        <v>0</v>
      </c>
      <c r="M71" s="1">
        <f>SUM(OSRRefE21_15x_8)</f>
        <v>1000</v>
      </c>
      <c r="N71" s="1">
        <f>SUM(OSRRefE21_15x_9)</f>
        <v>0</v>
      </c>
      <c r="O71" s="1">
        <f>SUM(OSRRefE21_15x_10)</f>
        <v>0</v>
      </c>
      <c r="Q71" s="2">
        <f>SUM(OSRRefD20_15x)+IFERROR(SUM(OSRRefE20_15x),0)</f>
        <v>5000</v>
      </c>
    </row>
    <row r="72" spans="1:17" s="34" customFormat="1" hidden="1" outlineLevel="1" x14ac:dyDescent="0.3">
      <c r="A72" s="35"/>
      <c r="B72" s="10" t="str">
        <f>CONCATENATE("          ","6258", " - ","MEMBERSHIP DUES")</f>
        <v xml:space="preserve">          6258 - MEMBERSHIP DUES</v>
      </c>
      <c r="C72" s="14"/>
      <c r="D72" s="2"/>
      <c r="E72" s="2">
        <v>1000</v>
      </c>
      <c r="F72" s="2"/>
      <c r="G72" s="2">
        <v>1000</v>
      </c>
      <c r="H72" s="2"/>
      <c r="I72" s="2">
        <v>1000</v>
      </c>
      <c r="J72" s="2"/>
      <c r="K72" s="2">
        <v>1000</v>
      </c>
      <c r="L72" s="2"/>
      <c r="M72" s="2">
        <v>1000</v>
      </c>
      <c r="N72" s="2"/>
      <c r="O72" s="2"/>
      <c r="P72" s="9"/>
      <c r="Q72" s="2">
        <f>SUM(OSRRefD21_15_0x)+IFERROR(SUM(OSRRefE21_15_0x),0)</f>
        <v>5000</v>
      </c>
    </row>
    <row r="73" spans="1:17" s="34" customFormat="1" collapsed="1" x14ac:dyDescent="0.3">
      <c r="A73" s="35"/>
      <c r="B73" s="14" t="str">
        <f>CONCATENATE("     ","Supplies                                          ")</f>
        <v xml:space="preserve">     Supplies                                          </v>
      </c>
      <c r="C73" s="14"/>
      <c r="D73" s="1">
        <f>SUM(OSRRefD21_16x_0)</f>
        <v>1080.9100000000001</v>
      </c>
      <c r="E73" s="1">
        <f>SUM(OSRRefE21_16x_0)</f>
        <v>5200</v>
      </c>
      <c r="F73" s="1">
        <f>SUM(OSRRefE21_16x_1)</f>
        <v>5500</v>
      </c>
      <c r="G73" s="1">
        <f>SUM(OSRRefE21_16x_2)</f>
        <v>5500</v>
      </c>
      <c r="H73" s="1">
        <f>SUM(OSRRefE21_16x_3)</f>
        <v>5500</v>
      </c>
      <c r="I73" s="1">
        <f>SUM(OSRRefE21_16x_4)</f>
        <v>5500</v>
      </c>
      <c r="J73" s="1">
        <f>SUM(OSRRefE21_16x_5)</f>
        <v>5500</v>
      </c>
      <c r="K73" s="1">
        <f>SUM(OSRRefE21_16x_6)</f>
        <v>5500</v>
      </c>
      <c r="L73" s="1">
        <f>SUM(OSRRefE21_16x_7)</f>
        <v>5500</v>
      </c>
      <c r="M73" s="1">
        <f>SUM(OSRRefE21_16x_8)</f>
        <v>5500</v>
      </c>
      <c r="N73" s="1">
        <f>SUM(OSRRefE21_16x_9)</f>
        <v>5500</v>
      </c>
      <c r="O73" s="1">
        <f>SUM(OSRRefE21_16x_10)</f>
        <v>5500</v>
      </c>
      <c r="Q73" s="2">
        <f>SUM(OSRRefD20_16x)+IFERROR(SUM(OSRRefE20_16x),0)</f>
        <v>61280.91</v>
      </c>
    </row>
    <row r="74" spans="1:17" s="34" customFormat="1" hidden="1" outlineLevel="1" x14ac:dyDescent="0.3">
      <c r="A74" s="35"/>
      <c r="B74" s="10" t="str">
        <f>CONCATENATE("          ","6234", " - ","EXPENDABLE SUPPLIES &amp; EQUIPMEN")</f>
        <v xml:space="preserve">          6234 - EXPENDABLE SUPPLIES &amp; EQUIPMEN</v>
      </c>
      <c r="C74" s="14"/>
      <c r="D74" s="2"/>
      <c r="E74" s="2"/>
      <c r="F74" s="2">
        <v>300</v>
      </c>
      <c r="G74" s="2">
        <v>300</v>
      </c>
      <c r="H74" s="2">
        <v>300</v>
      </c>
      <c r="I74" s="2">
        <v>300</v>
      </c>
      <c r="J74" s="2">
        <v>300</v>
      </c>
      <c r="K74" s="2">
        <v>300</v>
      </c>
      <c r="L74" s="2">
        <v>300</v>
      </c>
      <c r="M74" s="2">
        <v>300</v>
      </c>
      <c r="N74" s="2">
        <v>300</v>
      </c>
      <c r="O74" s="2">
        <v>300</v>
      </c>
      <c r="P74" s="9"/>
      <c r="Q74" s="2">
        <f>SUM(OSRRefD21_16_0x)+IFERROR(SUM(OSRRefE21_16_0x),0)</f>
        <v>3000</v>
      </c>
    </row>
    <row r="75" spans="1:17" s="34" customFormat="1" hidden="1" outlineLevel="1" x14ac:dyDescent="0.3">
      <c r="A75" s="35"/>
      <c r="B75" s="10" t="str">
        <f>CONCATENATE("          ","6235", " - ","COVID-19 EXPENSES")</f>
        <v xml:space="preserve">          6235 - COVID-19 EXPENSES</v>
      </c>
      <c r="C75" s="14"/>
      <c r="D75" s="2">
        <v>272.22000000000003</v>
      </c>
      <c r="E75" s="2">
        <v>100</v>
      </c>
      <c r="F75" s="2">
        <v>100</v>
      </c>
      <c r="G75" s="2">
        <v>100</v>
      </c>
      <c r="H75" s="2">
        <v>100</v>
      </c>
      <c r="I75" s="2">
        <v>100</v>
      </c>
      <c r="J75" s="2">
        <v>100</v>
      </c>
      <c r="K75" s="2">
        <v>100</v>
      </c>
      <c r="L75" s="2">
        <v>100</v>
      </c>
      <c r="M75" s="2">
        <v>100</v>
      </c>
      <c r="N75" s="2">
        <v>100</v>
      </c>
      <c r="O75" s="2">
        <v>100</v>
      </c>
      <c r="P75" s="9"/>
      <c r="Q75" s="2">
        <f>SUM(OSRRefD21_16_1x)+IFERROR(SUM(OSRRefE21_16_1x),0)</f>
        <v>1372.22</v>
      </c>
    </row>
    <row r="76" spans="1:17" s="34" customFormat="1" hidden="1" outlineLevel="1" x14ac:dyDescent="0.3">
      <c r="A76" s="35"/>
      <c r="B76" s="10" t="str">
        <f>CONCATENATE("          ","6237", " - ","JANITORIAL SUPPLIES")</f>
        <v xml:space="preserve">          6237 - JANITORIAL SUPPLIES</v>
      </c>
      <c r="C76" s="14"/>
      <c r="D76" s="2">
        <v>655.97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2">
        <f>SUM(OSRRefD21_16_2x)+IFERROR(SUM(OSRRefE21_16_2x),0)</f>
        <v>655.97</v>
      </c>
    </row>
    <row r="77" spans="1:17" s="34" customFormat="1" hidden="1" outlineLevel="1" x14ac:dyDescent="0.3">
      <c r="A77" s="35"/>
      <c r="B77" s="10" t="str">
        <f>CONCATENATE("          ","6241", " - ","OFFICE EXPENSE")</f>
        <v xml:space="preserve">          6241 - OFFICE EXPENSE</v>
      </c>
      <c r="C77" s="14"/>
      <c r="D77" s="2">
        <v>5.34</v>
      </c>
      <c r="E77" s="2">
        <v>100</v>
      </c>
      <c r="F77" s="2">
        <v>100</v>
      </c>
      <c r="G77" s="2">
        <v>100</v>
      </c>
      <c r="H77" s="2">
        <v>100</v>
      </c>
      <c r="I77" s="2">
        <v>100</v>
      </c>
      <c r="J77" s="2">
        <v>100</v>
      </c>
      <c r="K77" s="2">
        <v>100</v>
      </c>
      <c r="L77" s="2">
        <v>100</v>
      </c>
      <c r="M77" s="2">
        <v>100</v>
      </c>
      <c r="N77" s="2">
        <v>100</v>
      </c>
      <c r="O77" s="2">
        <v>100</v>
      </c>
      <c r="P77" s="9"/>
      <c r="Q77" s="2">
        <f>SUM(OSRRefD21_16_3x)+IFERROR(SUM(OSRRefE21_16_3x),0)</f>
        <v>1105.3399999999999</v>
      </c>
    </row>
    <row r="78" spans="1:17" s="34" customFormat="1" hidden="1" outlineLevel="1" x14ac:dyDescent="0.3">
      <c r="A78" s="35"/>
      <c r="B78" s="10" t="str">
        <f>CONCATENATE("          ","6247", " - ","STORE SUPPLIES")</f>
        <v xml:space="preserve">          6247 - STORE SUPPLIES</v>
      </c>
      <c r="C78" s="14"/>
      <c r="D78" s="2">
        <v>147.38</v>
      </c>
      <c r="E78" s="2">
        <v>5000</v>
      </c>
      <c r="F78" s="2">
        <v>5000</v>
      </c>
      <c r="G78" s="2">
        <v>5000</v>
      </c>
      <c r="H78" s="2">
        <v>5000</v>
      </c>
      <c r="I78" s="2">
        <v>5000</v>
      </c>
      <c r="J78" s="2">
        <v>5000</v>
      </c>
      <c r="K78" s="2">
        <v>5000</v>
      </c>
      <c r="L78" s="2">
        <v>5000</v>
      </c>
      <c r="M78" s="2">
        <v>5000</v>
      </c>
      <c r="N78" s="2">
        <v>5000</v>
      </c>
      <c r="O78" s="2">
        <v>5000</v>
      </c>
      <c r="P78" s="9"/>
      <c r="Q78" s="2">
        <f>SUM(OSRRefD21_16_4x)+IFERROR(SUM(OSRRefE21_16_4x),0)</f>
        <v>55147.38</v>
      </c>
    </row>
    <row r="79" spans="1:17" s="34" customFormat="1" collapsed="1" x14ac:dyDescent="0.3">
      <c r="A79" s="35"/>
      <c r="B79" s="14" t="str">
        <f>CONCATENATE("     ","Telephone/Data Lines                              ")</f>
        <v xml:space="preserve">     Telephone/Data Lines                              </v>
      </c>
      <c r="C79" s="14"/>
      <c r="D79" s="1">
        <f>SUM(OSRRefD21_17x_0)</f>
        <v>513.35</v>
      </c>
      <c r="E79" s="1">
        <f>SUM(OSRRefE21_17x_0)</f>
        <v>600</v>
      </c>
      <c r="F79" s="1">
        <f>SUM(OSRRefE21_17x_1)</f>
        <v>600</v>
      </c>
      <c r="G79" s="1">
        <f>SUM(OSRRefE21_17x_2)</f>
        <v>600</v>
      </c>
      <c r="H79" s="1">
        <f>SUM(OSRRefE21_17x_3)</f>
        <v>600</v>
      </c>
      <c r="I79" s="1">
        <f>SUM(OSRRefE21_17x_4)</f>
        <v>600</v>
      </c>
      <c r="J79" s="1">
        <f>SUM(OSRRefE21_17x_5)</f>
        <v>600</v>
      </c>
      <c r="K79" s="1">
        <f>SUM(OSRRefE21_17x_6)</f>
        <v>600</v>
      </c>
      <c r="L79" s="1">
        <f>SUM(OSRRefE21_17x_7)</f>
        <v>600</v>
      </c>
      <c r="M79" s="1">
        <f>SUM(OSRRefE21_17x_8)</f>
        <v>600</v>
      </c>
      <c r="N79" s="1">
        <f>SUM(OSRRefE21_17x_9)</f>
        <v>600</v>
      </c>
      <c r="O79" s="1">
        <f>SUM(OSRRefE21_17x_10)</f>
        <v>600</v>
      </c>
      <c r="Q79" s="2">
        <f>SUM(OSRRefD20_17x)+IFERROR(SUM(OSRRefE20_17x),0)</f>
        <v>7113.35</v>
      </c>
    </row>
    <row r="80" spans="1:17" s="34" customFormat="1" hidden="1" outlineLevel="1" x14ac:dyDescent="0.3">
      <c r="A80" s="35"/>
      <c r="B80" s="10" t="str">
        <f>CONCATENATE("          ","6309", " - ","TELEPHONE")</f>
        <v xml:space="preserve">          6309 - TELEPHONE</v>
      </c>
      <c r="C80" s="14"/>
      <c r="D80" s="2">
        <v>513.35</v>
      </c>
      <c r="E80" s="2">
        <v>600</v>
      </c>
      <c r="F80" s="2">
        <v>600</v>
      </c>
      <c r="G80" s="2">
        <v>600</v>
      </c>
      <c r="H80" s="2">
        <v>600</v>
      </c>
      <c r="I80" s="2">
        <v>600</v>
      </c>
      <c r="J80" s="2">
        <v>600</v>
      </c>
      <c r="K80" s="2">
        <v>600</v>
      </c>
      <c r="L80" s="2">
        <v>600</v>
      </c>
      <c r="M80" s="2">
        <v>600</v>
      </c>
      <c r="N80" s="2">
        <v>600</v>
      </c>
      <c r="O80" s="2">
        <v>600</v>
      </c>
      <c r="P80" s="9"/>
      <c r="Q80" s="2">
        <f>SUM(OSRRefD21_17_0x)+IFERROR(SUM(OSRRefE21_17_0x),0)</f>
        <v>7113.35</v>
      </c>
    </row>
    <row r="81" spans="1:17" s="34" customFormat="1" collapsed="1" x14ac:dyDescent="0.3">
      <c r="A81" s="35"/>
      <c r="B81" s="14" t="str">
        <f>CONCATENATE("     ","Training                                          ")</f>
        <v xml:space="preserve">     Training                                          </v>
      </c>
      <c r="C81" s="14"/>
      <c r="D81" s="1">
        <f>SUM(OSRRefD21_18x_0)</f>
        <v>0</v>
      </c>
      <c r="E81" s="1">
        <f>SUM(OSRRefE21_18x_0)</f>
        <v>0</v>
      </c>
      <c r="F81" s="1">
        <f>SUM(OSRRefE21_18x_1)</f>
        <v>0</v>
      </c>
      <c r="G81" s="1">
        <f>SUM(OSRRefE21_18x_2)</f>
        <v>0</v>
      </c>
      <c r="H81" s="1">
        <f>SUM(OSRRefE21_18x_3)</f>
        <v>0</v>
      </c>
      <c r="I81" s="1">
        <f>SUM(OSRRefE21_18x_4)</f>
        <v>0</v>
      </c>
      <c r="J81" s="1">
        <f>SUM(OSRRefE21_18x_5)</f>
        <v>0</v>
      </c>
      <c r="K81" s="1">
        <f>SUM(OSRRefE21_18x_6)</f>
        <v>2000</v>
      </c>
      <c r="L81" s="1">
        <f>SUM(OSRRefE21_18x_7)</f>
        <v>0</v>
      </c>
      <c r="M81" s="1">
        <f>SUM(OSRRefE21_18x_8)</f>
        <v>0</v>
      </c>
      <c r="N81" s="1">
        <f>SUM(OSRRefE21_18x_9)</f>
        <v>0</v>
      </c>
      <c r="O81" s="1">
        <f>SUM(OSRRefE21_18x_10)</f>
        <v>0</v>
      </c>
      <c r="Q81" s="2">
        <f>SUM(OSRRefD20_18x)+IFERROR(SUM(OSRRefE20_18x),0)</f>
        <v>2000</v>
      </c>
    </row>
    <row r="82" spans="1:17" s="34" customFormat="1" hidden="1" outlineLevel="1" x14ac:dyDescent="0.3">
      <c r="A82" s="35"/>
      <c r="B82" s="10" t="str">
        <f>CONCATENATE("          ","6376", " - ","TRAINING")</f>
        <v xml:space="preserve">          6376 - TRAINING</v>
      </c>
      <c r="C82" s="14"/>
      <c r="D82" s="2"/>
      <c r="E82" s="2"/>
      <c r="F82" s="2"/>
      <c r="G82" s="2"/>
      <c r="H82" s="2"/>
      <c r="I82" s="2"/>
      <c r="J82" s="2"/>
      <c r="K82" s="2">
        <v>2000</v>
      </c>
      <c r="L82" s="2"/>
      <c r="M82" s="2"/>
      <c r="N82" s="2"/>
      <c r="O82" s="2"/>
      <c r="P82" s="9"/>
      <c r="Q82" s="2">
        <f>SUM(OSRRefD21_18_0x)+IFERROR(SUM(OSRRefE21_18_0x),0)</f>
        <v>2000</v>
      </c>
    </row>
    <row r="83" spans="1:17" s="34" customFormat="1" collapsed="1" x14ac:dyDescent="0.3">
      <c r="A83" s="35"/>
      <c r="B83" s="14" t="str">
        <f>CONCATENATE("     ","Travel                                            ")</f>
        <v xml:space="preserve">     Travel                                            </v>
      </c>
      <c r="C83" s="14"/>
      <c r="D83" s="1">
        <f>SUM(OSRRefD21_19x_0)</f>
        <v>495</v>
      </c>
      <c r="E83" s="1">
        <f>SUM(OSRRefE21_19x_0)</f>
        <v>125</v>
      </c>
      <c r="F83" s="1">
        <f>SUM(OSRRefE21_19x_1)</f>
        <v>125</v>
      </c>
      <c r="G83" s="1">
        <f>SUM(OSRRefE21_19x_2)</f>
        <v>125</v>
      </c>
      <c r="H83" s="1">
        <f>SUM(OSRRefE21_19x_3)</f>
        <v>125</v>
      </c>
      <c r="I83" s="1">
        <f>SUM(OSRRefE21_19x_4)</f>
        <v>125</v>
      </c>
      <c r="J83" s="1">
        <f>SUM(OSRRefE21_19x_5)</f>
        <v>125</v>
      </c>
      <c r="K83" s="1">
        <f>SUM(OSRRefE21_19x_6)</f>
        <v>125</v>
      </c>
      <c r="L83" s="1">
        <f>SUM(OSRRefE21_19x_7)</f>
        <v>125</v>
      </c>
      <c r="M83" s="1">
        <f>SUM(OSRRefE21_19x_8)</f>
        <v>125</v>
      </c>
      <c r="N83" s="1">
        <f>SUM(OSRRefE21_19x_9)</f>
        <v>125</v>
      </c>
      <c r="O83" s="1">
        <f>SUM(OSRRefE21_19x_10)</f>
        <v>125</v>
      </c>
      <c r="Q83" s="2">
        <f>SUM(OSRRefD20_19x)+IFERROR(SUM(OSRRefE20_19x),0)</f>
        <v>1870</v>
      </c>
    </row>
    <row r="84" spans="1:17" s="34" customFormat="1" hidden="1" outlineLevel="1" x14ac:dyDescent="0.3">
      <c r="A84" s="35"/>
      <c r="B84" s="10" t="str">
        <f>CONCATENATE("          ","6292", " - ","TRAVEL/CONFERENCE")</f>
        <v xml:space="preserve">          6292 - TRAVEL/CONFERENCE</v>
      </c>
      <c r="C84" s="14"/>
      <c r="D84" s="2">
        <v>495</v>
      </c>
      <c r="E84" s="2">
        <v>125</v>
      </c>
      <c r="F84" s="2">
        <v>125</v>
      </c>
      <c r="G84" s="2">
        <v>125</v>
      </c>
      <c r="H84" s="2">
        <v>125</v>
      </c>
      <c r="I84" s="2">
        <v>125</v>
      </c>
      <c r="J84" s="2">
        <v>125</v>
      </c>
      <c r="K84" s="2">
        <v>125</v>
      </c>
      <c r="L84" s="2">
        <v>125</v>
      </c>
      <c r="M84" s="2">
        <v>125</v>
      </c>
      <c r="N84" s="2">
        <v>125</v>
      </c>
      <c r="O84" s="2">
        <v>125</v>
      </c>
      <c r="P84" s="9"/>
      <c r="Q84" s="2">
        <f>SUM(OSRRefD21_19_0x)+IFERROR(SUM(OSRRefE21_19_0x),0)</f>
        <v>1870</v>
      </c>
    </row>
    <row r="85" spans="1:17" s="34" customFormat="1" collapsed="1" x14ac:dyDescent="0.3">
      <c r="A85" s="35"/>
      <c r="B85" s="14" t="str">
        <f>CONCATENATE("     ","Utilities                                         ")</f>
        <v xml:space="preserve">     Utilities                                         </v>
      </c>
      <c r="C85" s="14"/>
      <c r="D85" s="1">
        <f>SUM(OSRRefD21_20x_0)</f>
        <v>6000</v>
      </c>
      <c r="E85" s="1">
        <f>SUM(OSRRefE21_20x_0)</f>
        <v>6000</v>
      </c>
      <c r="F85" s="1">
        <f>SUM(OSRRefE21_20x_1)</f>
        <v>6000</v>
      </c>
      <c r="G85" s="1">
        <f>SUM(OSRRefE21_20x_2)</f>
        <v>6000</v>
      </c>
      <c r="H85" s="1">
        <f>SUM(OSRRefE21_20x_3)</f>
        <v>6000</v>
      </c>
      <c r="I85" s="1">
        <f>SUM(OSRRefE21_20x_4)</f>
        <v>6000</v>
      </c>
      <c r="J85" s="1">
        <f>SUM(OSRRefE21_20x_5)</f>
        <v>6000</v>
      </c>
      <c r="K85" s="1">
        <f>SUM(OSRRefE21_20x_6)</f>
        <v>6000</v>
      </c>
      <c r="L85" s="1">
        <f>SUM(OSRRefE21_20x_7)</f>
        <v>6000</v>
      </c>
      <c r="M85" s="1">
        <f>SUM(OSRRefE21_20x_8)</f>
        <v>6000</v>
      </c>
      <c r="N85" s="1">
        <f>SUM(OSRRefE21_20x_9)</f>
        <v>6000</v>
      </c>
      <c r="O85" s="1">
        <f>SUM(OSRRefE21_20x_10)</f>
        <v>6000</v>
      </c>
      <c r="Q85" s="2">
        <f>SUM(OSRRefD20_20x)+IFERROR(SUM(OSRRefE20_20x),0)</f>
        <v>72000</v>
      </c>
    </row>
    <row r="86" spans="1:17" s="34" customFormat="1" hidden="1" outlineLevel="1" x14ac:dyDescent="0.3">
      <c r="A86" s="35"/>
      <c r="B86" s="10" t="str">
        <f>CONCATENATE("          ","6274", " - ","UTILITIES")</f>
        <v xml:space="preserve">          6274 - UTILITIES</v>
      </c>
      <c r="C86" s="14"/>
      <c r="D86" s="2">
        <v>6000</v>
      </c>
      <c r="E86" s="2">
        <v>6000</v>
      </c>
      <c r="F86" s="2">
        <v>6000</v>
      </c>
      <c r="G86" s="2">
        <v>6000</v>
      </c>
      <c r="H86" s="2">
        <v>6000</v>
      </c>
      <c r="I86" s="2">
        <v>6000</v>
      </c>
      <c r="J86" s="2">
        <v>6000</v>
      </c>
      <c r="K86" s="2">
        <v>6000</v>
      </c>
      <c r="L86" s="2">
        <v>6000</v>
      </c>
      <c r="M86" s="2">
        <v>6000</v>
      </c>
      <c r="N86" s="2">
        <v>6000</v>
      </c>
      <c r="O86" s="2">
        <v>6000</v>
      </c>
      <c r="P86" s="9"/>
      <c r="Q86" s="2">
        <f>SUM(OSRRefD21_20_0x)+IFERROR(SUM(OSRRefE21_20_0x),0)</f>
        <v>72000</v>
      </c>
    </row>
    <row r="87" spans="1:17" s="28" customFormat="1" x14ac:dyDescent="0.3">
      <c r="A87" s="21"/>
      <c r="B87" s="21"/>
      <c r="C87" s="2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"/>
    </row>
    <row r="88" spans="1:17" s="9" customFormat="1" x14ac:dyDescent="0.3">
      <c r="A88" s="22"/>
      <c r="B88" s="16" t="s">
        <v>293</v>
      </c>
      <c r="C88" s="23"/>
      <c r="D88" s="3">
        <f>--3926.89</f>
        <v>3926.89</v>
      </c>
      <c r="E88" s="3">
        <v>44200</v>
      </c>
      <c r="F88" s="3">
        <v>1200</v>
      </c>
      <c r="G88" s="3">
        <v>1200</v>
      </c>
      <c r="H88" s="3">
        <v>44200</v>
      </c>
      <c r="I88" s="3">
        <v>1200</v>
      </c>
      <c r="J88" s="3">
        <v>3300</v>
      </c>
      <c r="K88" s="3">
        <v>46300</v>
      </c>
      <c r="L88" s="3">
        <v>3300</v>
      </c>
      <c r="M88" s="3">
        <v>3300</v>
      </c>
      <c r="N88" s="3">
        <v>46300</v>
      </c>
      <c r="O88" s="3">
        <v>3300</v>
      </c>
      <c r="Q88" s="2">
        <f>SUM(OSRRefD23_0x)+IFERROR(SUM(OSRRefE23_0x),0)</f>
        <v>201726.89</v>
      </c>
    </row>
    <row r="89" spans="1:17" x14ac:dyDescent="0.3">
      <c r="A89" s="5"/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</row>
    <row r="90" spans="1:17" s="15" customFormat="1" x14ac:dyDescent="0.3">
      <c r="A90" s="6"/>
      <c r="B90" s="17" t="s">
        <v>276</v>
      </c>
      <c r="C90" s="17"/>
      <c r="D90" s="8">
        <f t="shared" ref="D90:O90" si="4">IFERROR(+D14-D17+D88, 0)</f>
        <v>-175748.03</v>
      </c>
      <c r="E90" s="8">
        <f t="shared" si="4"/>
        <v>-146401.3911008077</v>
      </c>
      <c r="F90" s="8">
        <f t="shared" si="4"/>
        <v>-126905.76734830769</v>
      </c>
      <c r="G90" s="8">
        <f t="shared" si="4"/>
        <v>-107391.73018538463</v>
      </c>
      <c r="H90" s="8">
        <f t="shared" si="4"/>
        <v>-52966.259773307684</v>
      </c>
      <c r="I90" s="8">
        <f t="shared" si="4"/>
        <v>-113286.25099830769</v>
      </c>
      <c r="J90" s="8">
        <f t="shared" si="4"/>
        <v>-191858.94616613461</v>
      </c>
      <c r="K90" s="8">
        <f t="shared" si="4"/>
        <v>-78419.397569757683</v>
      </c>
      <c r="L90" s="8">
        <f t="shared" si="4"/>
        <v>-93798.833013257681</v>
      </c>
      <c r="M90" s="8">
        <f t="shared" si="4"/>
        <v>-94198.31055213463</v>
      </c>
      <c r="N90" s="8">
        <f t="shared" si="4"/>
        <v>-49874.098725757678</v>
      </c>
      <c r="O90" s="8">
        <f t="shared" si="4"/>
        <v>-81263.498496557688</v>
      </c>
      <c r="Q90" s="8">
        <f>IFERROR(+Q14-Q17+Q88, 0)</f>
        <v>-1312112.5139297154</v>
      </c>
    </row>
    <row r="91" spans="1:17" s="6" customFormat="1" x14ac:dyDescent="0.3">
      <c r="B91" s="16"/>
      <c r="C91" s="16"/>
      <c r="D91" s="4">
        <f t="shared" ref="D91:O91" si="5">IFERROR(D90/D10, 0)</f>
        <v>0</v>
      </c>
      <c r="E91" s="4">
        <f t="shared" si="5"/>
        <v>0</v>
      </c>
      <c r="F91" s="4">
        <f t="shared" si="5"/>
        <v>0</v>
      </c>
      <c r="G91" s="4">
        <f t="shared" si="5"/>
        <v>0</v>
      </c>
      <c r="H91" s="4">
        <f t="shared" si="5"/>
        <v>0</v>
      </c>
      <c r="I91" s="4">
        <f t="shared" si="5"/>
        <v>0</v>
      </c>
      <c r="J91" s="4">
        <f t="shared" si="5"/>
        <v>0</v>
      </c>
      <c r="K91" s="4">
        <f t="shared" si="5"/>
        <v>0</v>
      </c>
      <c r="L91" s="4">
        <f t="shared" si="5"/>
        <v>0</v>
      </c>
      <c r="M91" s="4">
        <f t="shared" si="5"/>
        <v>0</v>
      </c>
      <c r="N91" s="4">
        <f t="shared" si="5"/>
        <v>0</v>
      </c>
      <c r="O91" s="4">
        <f t="shared" si="5"/>
        <v>0</v>
      </c>
      <c r="P91" s="18"/>
      <c r="Q91" s="4">
        <f>IFERROR(Q90/Q10, 0)</f>
        <v>0</v>
      </c>
    </row>
    <row r="92" spans="1:17" x14ac:dyDescent="0.3">
      <c r="A92" s="5"/>
      <c r="B92" s="6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</row>
    <row r="93" spans="1:17" s="15" customFormat="1" x14ac:dyDescent="0.3">
      <c r="A93" s="25"/>
      <c r="B93" s="6" t="s">
        <v>125</v>
      </c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2">
        <f>SUM(OSRRefD28_0x)+IFERROR(SUM(OSRRefE28_0x),0)</f>
        <v>0</v>
      </c>
    </row>
    <row r="94" spans="1:17" x14ac:dyDescent="0.3">
      <c r="A94" s="5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</row>
    <row r="95" spans="1:17" s="15" customFormat="1" ht="15" thickBot="1" x14ac:dyDescent="0.35">
      <c r="A95" s="6"/>
      <c r="B95" s="17" t="s">
        <v>124</v>
      </c>
      <c r="C95" s="17"/>
      <c r="D95" s="7">
        <f t="shared" ref="D95:O95" si="6">IFERROR(+D90-D93, 0)</f>
        <v>-175748.03</v>
      </c>
      <c r="E95" s="7">
        <f t="shared" si="6"/>
        <v>-146401.3911008077</v>
      </c>
      <c r="F95" s="7">
        <f t="shared" si="6"/>
        <v>-126905.76734830769</v>
      </c>
      <c r="G95" s="7">
        <f t="shared" si="6"/>
        <v>-107391.73018538463</v>
      </c>
      <c r="H95" s="7">
        <f t="shared" si="6"/>
        <v>-52966.259773307684</v>
      </c>
      <c r="I95" s="7">
        <f t="shared" si="6"/>
        <v>-113286.25099830769</v>
      </c>
      <c r="J95" s="7">
        <f t="shared" si="6"/>
        <v>-191858.94616613461</v>
      </c>
      <c r="K95" s="7">
        <f t="shared" si="6"/>
        <v>-78419.397569757683</v>
      </c>
      <c r="L95" s="7">
        <f t="shared" si="6"/>
        <v>-93798.833013257681</v>
      </c>
      <c r="M95" s="7">
        <f t="shared" si="6"/>
        <v>-94198.31055213463</v>
      </c>
      <c r="N95" s="7">
        <f t="shared" si="6"/>
        <v>-49874.098725757678</v>
      </c>
      <c r="O95" s="7">
        <f t="shared" si="6"/>
        <v>-81263.498496557688</v>
      </c>
      <c r="Q95" s="7">
        <f>IFERROR(+Q90-Q93, 0)</f>
        <v>-1312112.5139297154</v>
      </c>
    </row>
    <row r="96" spans="1:17" ht="15" thickTop="1" x14ac:dyDescent="0.3">
      <c r="A96" s="5"/>
      <c r="B96" s="5"/>
      <c r="C96" s="5"/>
      <c r="D96" s="4">
        <f t="shared" ref="D96:O96" si="7">IFERROR(D95/D10, 0)</f>
        <v>0</v>
      </c>
      <c r="E96" s="4">
        <f t="shared" si="7"/>
        <v>0</v>
      </c>
      <c r="F96" s="4">
        <f t="shared" si="7"/>
        <v>0</v>
      </c>
      <c r="G96" s="4">
        <f t="shared" si="7"/>
        <v>0</v>
      </c>
      <c r="H96" s="4">
        <f t="shared" si="7"/>
        <v>0</v>
      </c>
      <c r="I96" s="4">
        <f t="shared" si="7"/>
        <v>0</v>
      </c>
      <c r="J96" s="4">
        <f t="shared" si="7"/>
        <v>0</v>
      </c>
      <c r="K96" s="4">
        <f t="shared" si="7"/>
        <v>0</v>
      </c>
      <c r="L96" s="4">
        <f t="shared" si="7"/>
        <v>0</v>
      </c>
      <c r="M96" s="4">
        <f t="shared" si="7"/>
        <v>0</v>
      </c>
      <c r="N96" s="4">
        <f t="shared" si="7"/>
        <v>0</v>
      </c>
      <c r="O96" s="4">
        <f t="shared" si="7"/>
        <v>0</v>
      </c>
      <c r="P96" s="18"/>
      <c r="Q96" s="4">
        <f>IFERROR(Q95/Q10, 0)</f>
        <v>0</v>
      </c>
    </row>
    <row r="97" spans="1:17" x14ac:dyDescent="0.3">
      <c r="A97" s="5"/>
      <c r="B97" s="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</row>
    <row r="98" spans="1:17" x14ac:dyDescent="0.3">
      <c r="A98" s="5"/>
      <c r="B98" s="5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</row>
    <row r="99" spans="1:17" s="15" customFormat="1" ht="15" thickBot="1" x14ac:dyDescent="0.35">
      <c r="A99" s="6"/>
      <c r="B99" s="17" t="s">
        <v>294</v>
      </c>
      <c r="C99" s="17"/>
      <c r="D99" s="7">
        <f t="shared" ref="D99:O99" si="8">IFERROR(SUM(D95:D98), 0)</f>
        <v>-175748.03</v>
      </c>
      <c r="E99" s="7">
        <f t="shared" si="8"/>
        <v>-146401.3911008077</v>
      </c>
      <c r="F99" s="7">
        <f t="shared" si="8"/>
        <v>-126905.76734830769</v>
      </c>
      <c r="G99" s="7">
        <f t="shared" si="8"/>
        <v>-107391.73018538463</v>
      </c>
      <c r="H99" s="7">
        <f t="shared" si="8"/>
        <v>-52966.259773307684</v>
      </c>
      <c r="I99" s="7">
        <f t="shared" si="8"/>
        <v>-113286.25099830769</v>
      </c>
      <c r="J99" s="7">
        <f t="shared" si="8"/>
        <v>-191858.94616613461</v>
      </c>
      <c r="K99" s="7">
        <f t="shared" si="8"/>
        <v>-78419.397569757683</v>
      </c>
      <c r="L99" s="7">
        <f t="shared" si="8"/>
        <v>-93798.833013257681</v>
      </c>
      <c r="M99" s="7">
        <f t="shared" si="8"/>
        <v>-94198.31055213463</v>
      </c>
      <c r="N99" s="7">
        <f t="shared" si="8"/>
        <v>-49874.098725757678</v>
      </c>
      <c r="O99" s="7">
        <f t="shared" si="8"/>
        <v>-81263.498496557688</v>
      </c>
      <c r="Q99" s="7">
        <f>IFERROR(SUM(Q95:Q98), 0)</f>
        <v>-1312112.5139297154</v>
      </c>
    </row>
    <row r="100" spans="1:17" ht="15" thickTop="1" x14ac:dyDescent="0.3">
      <c r="A100" s="5"/>
      <c r="C100" s="5"/>
      <c r="D100" s="4">
        <f t="shared" ref="D100:O100" si="9">IFERROR(D99/D10, 0)</f>
        <v>0</v>
      </c>
      <c r="E100" s="4">
        <f t="shared" si="9"/>
        <v>0</v>
      </c>
      <c r="F100" s="4">
        <f t="shared" si="9"/>
        <v>0</v>
      </c>
      <c r="G100" s="4">
        <f t="shared" si="9"/>
        <v>0</v>
      </c>
      <c r="H100" s="4">
        <f t="shared" si="9"/>
        <v>0</v>
      </c>
      <c r="I100" s="4">
        <f t="shared" si="9"/>
        <v>0</v>
      </c>
      <c r="J100" s="4">
        <f t="shared" si="9"/>
        <v>0</v>
      </c>
      <c r="K100" s="4">
        <f t="shared" si="9"/>
        <v>0</v>
      </c>
      <c r="L100" s="4">
        <f t="shared" si="9"/>
        <v>0</v>
      </c>
      <c r="M100" s="4">
        <f t="shared" si="9"/>
        <v>0</v>
      </c>
      <c r="N100" s="4">
        <f t="shared" si="9"/>
        <v>0</v>
      </c>
      <c r="O100" s="4">
        <f t="shared" si="9"/>
        <v>0</v>
      </c>
      <c r="P100" s="18"/>
      <c r="Q100" s="4">
        <f>IFERROR(Q99/Q10, 0)</f>
        <v>0</v>
      </c>
    </row>
    <row r="101" spans="1:17" x14ac:dyDescent="0.3">
      <c r="A101" s="5"/>
      <c r="B101" s="30">
        <v>44462.678423958336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Q101" s="11"/>
    </row>
    <row r="102" spans="1:17" x14ac:dyDescent="0.3">
      <c r="A102" s="5"/>
      <c r="B102" s="31" t="s">
        <v>54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Q102" s="11"/>
    </row>
    <row r="103" spans="1:17" x14ac:dyDescent="0.3">
      <c r="A103" s="5"/>
      <c r="B103" s="2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Q103" s="11"/>
    </row>
    <row r="104" spans="1:17" x14ac:dyDescent="0.3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Q104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outlinePr summaryBelow="0" summaryRight="0"/>
    <pageSetUpPr fitToPage="1"/>
  </sheetPr>
  <dimension ref="A2:R76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78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51976</v>
      </c>
      <c r="F10" s="3">
        <f>SUM(OSRRefE11x_1)</f>
        <v>75205</v>
      </c>
      <c r="G10" s="3">
        <f>SUM(OSRRefE11x_2)</f>
        <v>72050</v>
      </c>
      <c r="H10" s="3">
        <f>SUM(OSRRefE11x_3)</f>
        <v>48211</v>
      </c>
      <c r="I10" s="3">
        <f>SUM(OSRRefE11x_4)</f>
        <v>22166</v>
      </c>
      <c r="J10" s="3">
        <f>SUM(OSRRefE11x_5)</f>
        <v>50869</v>
      </c>
      <c r="K10" s="3">
        <f>SUM(OSRRefE11x_6)</f>
        <v>64532</v>
      </c>
      <c r="L10" s="3">
        <f>SUM(OSRRefE11x_7)</f>
        <v>37273</v>
      </c>
      <c r="M10" s="3">
        <f>SUM(OSRRefE11x_8)</f>
        <v>38546</v>
      </c>
      <c r="N10" s="3">
        <f>SUM(OSRRefE11x_9)</f>
        <v>13349</v>
      </c>
      <c r="O10" s="3">
        <f>SUM(OSRRefE11x_10)</f>
        <v>1274</v>
      </c>
      <c r="P10" s="24"/>
      <c r="Q10" s="3">
        <f>SUM(OSRRefG11x)</f>
        <v>475451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46162</v>
      </c>
      <c r="F11" s="2">
        <v>50461</v>
      </c>
      <c r="G11" s="2">
        <v>42591</v>
      </c>
      <c r="H11" s="2">
        <v>29226</v>
      </c>
      <c r="I11" s="2">
        <v>12827</v>
      </c>
      <c r="J11" s="2">
        <v>41593</v>
      </c>
      <c r="K11" s="2">
        <v>41299</v>
      </c>
      <c r="L11" s="2">
        <v>16932</v>
      </c>
      <c r="M11" s="2">
        <v>18353</v>
      </c>
      <c r="N11" s="2">
        <v>6188</v>
      </c>
      <c r="O11" s="2">
        <v>1274</v>
      </c>
      <c r="Q11" s="2">
        <f>SUM(OSRRefD11_0x)+IFERROR(SUM(OSRRefE11_0x),0)</f>
        <v>306906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5814</v>
      </c>
      <c r="F12" s="2">
        <v>24744</v>
      </c>
      <c r="G12" s="2">
        <v>29459</v>
      </c>
      <c r="H12" s="2">
        <v>18985</v>
      </c>
      <c r="I12" s="2">
        <v>9339</v>
      </c>
      <c r="J12" s="2">
        <v>9276</v>
      </c>
      <c r="K12" s="2">
        <v>23233</v>
      </c>
      <c r="L12" s="2">
        <v>20341</v>
      </c>
      <c r="M12" s="2">
        <v>20193</v>
      </c>
      <c r="N12" s="2">
        <v>7161</v>
      </c>
      <c r="O12" s="2">
        <v>0</v>
      </c>
      <c r="Q12" s="2">
        <f>SUM(OSRRefD11_1x)+IFERROR(SUM(OSRRefE11_1x),0)</f>
        <v>168545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31602</v>
      </c>
      <c r="F14" s="3">
        <f>SUM(OSRRefE14x_1)</f>
        <v>42088</v>
      </c>
      <c r="G14" s="3">
        <f>SUM(OSRRefE14x_2)</f>
        <v>39169</v>
      </c>
      <c r="H14" s="3">
        <f>SUM(OSRRefE14x_3)</f>
        <v>26289</v>
      </c>
      <c r="I14" s="3">
        <f>SUM(OSRRefE14x_4)</f>
        <v>12089</v>
      </c>
      <c r="J14" s="3">
        <f>SUM(OSRRefE14x_5)</f>
        <v>30632</v>
      </c>
      <c r="K14" s="3">
        <f>SUM(OSRRefE14x_6)</f>
        <v>35964</v>
      </c>
      <c r="L14" s="3">
        <f>SUM(OSRRefE14x_7)</f>
        <v>19274</v>
      </c>
      <c r="M14" s="3">
        <f>SUM(OSRRefE14x_8)</f>
        <v>19985</v>
      </c>
      <c r="N14" s="3">
        <f>SUM(OSRRefE14x_9)</f>
        <v>7003</v>
      </c>
      <c r="O14" s="3">
        <f>SUM(OSRRefE14x_10)</f>
        <v>836</v>
      </c>
      <c r="Q14" s="3">
        <f>SUM(OSRRefG14x)</f>
        <v>264931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31602</v>
      </c>
      <c r="F15" s="2">
        <v>42088</v>
      </c>
      <c r="G15" s="2">
        <v>39169</v>
      </c>
      <c r="H15" s="2">
        <v>26289</v>
      </c>
      <c r="I15" s="2">
        <v>12089</v>
      </c>
      <c r="J15" s="2">
        <v>30632</v>
      </c>
      <c r="K15" s="2">
        <v>35964</v>
      </c>
      <c r="L15" s="2">
        <v>19274</v>
      </c>
      <c r="M15" s="2">
        <v>19985</v>
      </c>
      <c r="N15" s="2">
        <v>7003</v>
      </c>
      <c r="O15" s="2">
        <v>836</v>
      </c>
      <c r="Q15" s="2">
        <f>SUM(OSRRefD14_0x)+IFERROR(SUM(OSRRefE14_0x),0)</f>
        <v>264931</v>
      </c>
    </row>
    <row r="16" spans="1:18" x14ac:dyDescent="0.3">
      <c r="A16" s="5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15" customFormat="1" x14ac:dyDescent="0.3">
      <c r="A17" s="6"/>
      <c r="B17" s="17" t="s">
        <v>105</v>
      </c>
      <c r="C17" s="17"/>
      <c r="D17" s="8">
        <f t="shared" ref="D17:O17" si="1">IFERROR(+D10-D14, 0)</f>
        <v>0</v>
      </c>
      <c r="E17" s="8">
        <f t="shared" si="1"/>
        <v>20374</v>
      </c>
      <c r="F17" s="8">
        <f t="shared" si="1"/>
        <v>33117</v>
      </c>
      <c r="G17" s="8">
        <f t="shared" si="1"/>
        <v>32881</v>
      </c>
      <c r="H17" s="8">
        <f t="shared" si="1"/>
        <v>21922</v>
      </c>
      <c r="I17" s="8">
        <f t="shared" si="1"/>
        <v>10077</v>
      </c>
      <c r="J17" s="8">
        <f t="shared" si="1"/>
        <v>20237</v>
      </c>
      <c r="K17" s="8">
        <f t="shared" si="1"/>
        <v>28568</v>
      </c>
      <c r="L17" s="8">
        <f t="shared" si="1"/>
        <v>17999</v>
      </c>
      <c r="M17" s="8">
        <f t="shared" si="1"/>
        <v>18561</v>
      </c>
      <c r="N17" s="8">
        <f t="shared" si="1"/>
        <v>6346</v>
      </c>
      <c r="O17" s="8">
        <f t="shared" si="1"/>
        <v>438</v>
      </c>
      <c r="Q17" s="8">
        <f>IFERROR(+Q10-Q14, 0)</f>
        <v>210520</v>
      </c>
    </row>
    <row r="18" spans="1:17" s="6" customFormat="1" x14ac:dyDescent="0.3">
      <c r="B18" s="16"/>
      <c r="C18" s="16"/>
      <c r="D18" s="4">
        <f t="shared" ref="D18:O18" si="2">IFERROR(D17/D10, 0)</f>
        <v>0</v>
      </c>
      <c r="E18" s="4">
        <f t="shared" si="2"/>
        <v>0.39198861012775127</v>
      </c>
      <c r="F18" s="4">
        <f t="shared" si="2"/>
        <v>0.44035635928462202</v>
      </c>
      <c r="G18" s="4">
        <f t="shared" si="2"/>
        <v>0.45636363636363636</v>
      </c>
      <c r="H18" s="4">
        <f t="shared" si="2"/>
        <v>0.45470950612930661</v>
      </c>
      <c r="I18" s="4">
        <f t="shared" si="2"/>
        <v>0.45461517639628257</v>
      </c>
      <c r="J18" s="4">
        <f t="shared" si="2"/>
        <v>0.39782578780789873</v>
      </c>
      <c r="K18" s="4">
        <f t="shared" si="2"/>
        <v>0.44269509700613652</v>
      </c>
      <c r="L18" s="4">
        <f t="shared" si="2"/>
        <v>0.48289646661121993</v>
      </c>
      <c r="M18" s="4">
        <f t="shared" si="2"/>
        <v>0.481528563275048</v>
      </c>
      <c r="N18" s="4">
        <f t="shared" si="2"/>
        <v>0.47539141508727245</v>
      </c>
      <c r="O18" s="4">
        <f t="shared" si="2"/>
        <v>0.34379905808477235</v>
      </c>
      <c r="P18" s="18"/>
      <c r="Q18" s="4">
        <f>IFERROR(Q17/Q10, 0)</f>
        <v>0.4427795924290831</v>
      </c>
    </row>
    <row r="19" spans="1:17" x14ac:dyDescent="0.3">
      <c r="A19" s="5"/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s="15" customFormat="1" x14ac:dyDescent="0.3">
      <c r="A20" s="6"/>
      <c r="B20" s="16" t="s">
        <v>255</v>
      </c>
      <c r="C20" s="6"/>
      <c r="D20" s="13">
        <f>SUM(OSRRefD20x_0)</f>
        <v>763</v>
      </c>
      <c r="E20" s="13">
        <f>SUM(OSRRefE20x_0)</f>
        <v>10960.6322</v>
      </c>
      <c r="F20" s="13">
        <f>SUM(OSRRefE20x_1)</f>
        <v>10872.615600000001</v>
      </c>
      <c r="G20" s="13">
        <f>SUM(OSRRefE20x_2)</f>
        <v>12951.0195</v>
      </c>
      <c r="H20" s="13">
        <f>SUM(OSRRefE20x_3)</f>
        <v>10360.615600000001</v>
      </c>
      <c r="I20" s="13">
        <f>SUM(OSRRefE20x_4)</f>
        <v>9885.615600000001</v>
      </c>
      <c r="J20" s="13">
        <f>SUM(OSRRefE20x_5)</f>
        <v>13374.060864999999</v>
      </c>
      <c r="K20" s="13">
        <f>SUM(OSRRefE20x_6)</f>
        <v>11279.848692</v>
      </c>
      <c r="L20" s="13">
        <f>SUM(OSRRefE20x_7)</f>
        <v>10748.848692</v>
      </c>
      <c r="M20" s="13">
        <f>SUM(OSRRefE20x_8)</f>
        <v>13075.060864999999</v>
      </c>
      <c r="N20" s="13">
        <f>SUM(OSRRefE20x_9)</f>
        <v>10322.848692</v>
      </c>
      <c r="O20" s="13">
        <f>SUM(OSRRefE20x_10)</f>
        <v>10616.186454000001</v>
      </c>
      <c r="Q20" s="13">
        <f>SUM(OSRRefG20x)</f>
        <v>125210.35276000001</v>
      </c>
    </row>
    <row r="21" spans="1:17" s="34" customFormat="1" collapsed="1" x14ac:dyDescent="0.3">
      <c r="A21" s="35"/>
      <c r="B21" s="14" t="str">
        <f>CONCATENATE("     ","*Benefits                                         ")</f>
        <v xml:space="preserve">     *Benefits                                         </v>
      </c>
      <c r="C21" s="14"/>
      <c r="D21" s="1">
        <f>SUM(OSRRefD21_0x_0)</f>
        <v>0</v>
      </c>
      <c r="E21" s="1">
        <f>SUM(OSRRefE21_0x_0)</f>
        <v>1049.6322</v>
      </c>
      <c r="F21" s="1">
        <f>SUM(OSRRefE21_0x_1)</f>
        <v>573.61560000000009</v>
      </c>
      <c r="G21" s="1">
        <f>SUM(OSRRefE21_0x_2)</f>
        <v>717.01949999999999</v>
      </c>
      <c r="H21" s="1">
        <f>SUM(OSRRefE21_0x_3)</f>
        <v>573.61560000000009</v>
      </c>
      <c r="I21" s="1">
        <f>SUM(OSRRefE21_0x_4)</f>
        <v>573.61560000000009</v>
      </c>
      <c r="J21" s="1">
        <f>SUM(OSRRefE21_0x_5)</f>
        <v>767.21086500000001</v>
      </c>
      <c r="K21" s="1">
        <f>SUM(OSRRefE21_0x_6)</f>
        <v>613.76869199999999</v>
      </c>
      <c r="L21" s="1">
        <f>SUM(OSRRefE21_0x_7)</f>
        <v>613.76869199999999</v>
      </c>
      <c r="M21" s="1">
        <f>SUM(OSRRefE21_0x_8)</f>
        <v>767.21086500000001</v>
      </c>
      <c r="N21" s="1">
        <f>SUM(OSRRefE21_0x_9)</f>
        <v>613.76869199999999</v>
      </c>
      <c r="O21" s="1">
        <f>SUM(OSRRefE21_0x_10)</f>
        <v>1123.106454</v>
      </c>
      <c r="Q21" s="2">
        <f>SUM(OSRRefD20_0x)+IFERROR(SUM(OSRRefE20_0x),0)</f>
        <v>7986.3327599999993</v>
      </c>
    </row>
    <row r="22" spans="1:17" s="34" customFormat="1" hidden="1" outlineLevel="1" x14ac:dyDescent="0.3">
      <c r="A22" s="35"/>
      <c r="B22" s="10" t="str">
        <f>CONCATENATE("          ","6111", " - ","F.I.C.A.")</f>
        <v xml:space="preserve">          6111 - F.I.C.A.</v>
      </c>
      <c r="C22" s="14"/>
      <c r="D22" s="2"/>
      <c r="E22" s="2">
        <v>622.95420000000001</v>
      </c>
      <c r="F22" s="2">
        <v>146.9376</v>
      </c>
      <c r="G22" s="2">
        <v>183.672</v>
      </c>
      <c r="H22" s="2">
        <v>146.9376</v>
      </c>
      <c r="I22" s="2">
        <v>146.9376</v>
      </c>
      <c r="J22" s="2">
        <v>196.52904000000001</v>
      </c>
      <c r="K22" s="2">
        <v>157.223232</v>
      </c>
      <c r="L22" s="2">
        <v>157.223232</v>
      </c>
      <c r="M22" s="2">
        <v>196.52904000000001</v>
      </c>
      <c r="N22" s="2">
        <v>157.223232</v>
      </c>
      <c r="O22" s="2">
        <v>666.56099400000005</v>
      </c>
      <c r="P22" s="9"/>
      <c r="Q22" s="2">
        <f>SUM(OSRRefD21_0_0x)+IFERROR(SUM(OSRRefE21_0_0x),0)</f>
        <v>2778.72777</v>
      </c>
    </row>
    <row r="23" spans="1:17" s="34" customFormat="1" hidden="1" outlineLevel="1" x14ac:dyDescent="0.3">
      <c r="A23" s="35"/>
      <c r="B23" s="10" t="str">
        <f>CONCATENATE("          ","6112", " - ","COMPENSATION INSURANCE")</f>
        <v xml:space="preserve">          6112 - COMPENSATION INSURANCE</v>
      </c>
      <c r="C23" s="14"/>
      <c r="D23" s="2"/>
      <c r="E23" s="2">
        <v>126.98399999999999</v>
      </c>
      <c r="F23" s="2">
        <v>126.98399999999999</v>
      </c>
      <c r="G23" s="2">
        <v>158.72999999999999</v>
      </c>
      <c r="H23" s="2">
        <v>126.98399999999999</v>
      </c>
      <c r="I23" s="2">
        <v>126.98399999999999</v>
      </c>
      <c r="J23" s="2">
        <v>169.84110000000001</v>
      </c>
      <c r="K23" s="2">
        <v>135.87288000000001</v>
      </c>
      <c r="L23" s="2">
        <v>135.87288000000001</v>
      </c>
      <c r="M23" s="2">
        <v>169.84110000000001</v>
      </c>
      <c r="N23" s="2">
        <v>135.87288000000001</v>
      </c>
      <c r="O23" s="2">
        <v>135.87288000000001</v>
      </c>
      <c r="P23" s="9"/>
      <c r="Q23" s="2">
        <f>SUM(OSRRefD21_0_1x)+IFERROR(SUM(OSRRefE21_0_1x),0)</f>
        <v>1549.8397199999999</v>
      </c>
    </row>
    <row r="24" spans="1:17" s="34" customFormat="1" hidden="1" outlineLevel="1" x14ac:dyDescent="0.3">
      <c r="A24" s="35"/>
      <c r="B24" s="10" t="str">
        <f>CONCATENATE("          ","6113", " - ","GROUP INSURANCE")</f>
        <v xml:space="preserve">          6113 - GROUP INSURANCE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SUM(OSRRefD21_0_2x)+IFERROR(SUM(OSRRefE21_0_2x),0)</f>
        <v>0</v>
      </c>
    </row>
    <row r="25" spans="1:17" s="34" customFormat="1" hidden="1" outlineLevel="1" x14ac:dyDescent="0.3">
      <c r="A25" s="35"/>
      <c r="B25" s="10" t="str">
        <f>CONCATENATE("          ","6114", " - ","STATE UNEMPLOYMENT INSURANCE")</f>
        <v xml:space="preserve">          6114 - STATE UNEMPLOYMENT INSURANCE</v>
      </c>
      <c r="C25" s="14"/>
      <c r="D25" s="2"/>
      <c r="E25" s="2">
        <v>17.094000000000001</v>
      </c>
      <c r="F25" s="2">
        <v>17.094000000000001</v>
      </c>
      <c r="G25" s="2">
        <v>21.3675</v>
      </c>
      <c r="H25" s="2">
        <v>17.094000000000001</v>
      </c>
      <c r="I25" s="2">
        <v>17.094000000000001</v>
      </c>
      <c r="J25" s="2">
        <v>22.863225</v>
      </c>
      <c r="K25" s="2">
        <v>18.290579999999999</v>
      </c>
      <c r="L25" s="2">
        <v>18.290579999999999</v>
      </c>
      <c r="M25" s="2">
        <v>22.863225</v>
      </c>
      <c r="N25" s="2">
        <v>18.290579999999999</v>
      </c>
      <c r="O25" s="2">
        <v>18.290579999999999</v>
      </c>
      <c r="P25" s="9"/>
      <c r="Q25" s="2">
        <f>SUM(OSRRefD21_0_3x)+IFERROR(SUM(OSRRefE21_0_3x),0)</f>
        <v>208.63227000000003</v>
      </c>
    </row>
    <row r="26" spans="1:17" s="34" customFormat="1" hidden="1" outlineLevel="1" x14ac:dyDescent="0.3">
      <c r="A26" s="35"/>
      <c r="B26" s="10" t="str">
        <f>CONCATENATE("          ","6115", " - ","P.E.R.S.")</f>
        <v xml:space="preserve">          6115 - P.E.R.S.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9"/>
      <c r="Q26" s="2">
        <f>SUM(OSRRefD21_0_4x)+IFERROR(SUM(OSRRefE21_0_4x),0)</f>
        <v>0</v>
      </c>
    </row>
    <row r="27" spans="1:17" s="34" customFormat="1" hidden="1" outlineLevel="1" x14ac:dyDescent="0.3">
      <c r="A27" s="35"/>
      <c r="B27" s="10" t="str">
        <f>CONCATENATE("          ","6116", " - ","EDUCATIONAL BENEFITS")</f>
        <v xml:space="preserve">          6116 - EDUCATIONAL BENEFITS</v>
      </c>
      <c r="C27" s="14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9"/>
      <c r="Q27" s="2">
        <f>SUM(OSRRefD21_0_5x)+IFERROR(SUM(OSRRefE21_0_5x),0)</f>
        <v>0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SUM(OSRRefD21_0_6x)+IFERROR(SUM(OSRRefE21_0_6x),0)</f>
        <v>0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/>
      <c r="E29" s="2">
        <v>282.60000000000002</v>
      </c>
      <c r="F29" s="2">
        <v>282.60000000000002</v>
      </c>
      <c r="G29" s="2">
        <v>353.25</v>
      </c>
      <c r="H29" s="2">
        <v>282.60000000000002</v>
      </c>
      <c r="I29" s="2">
        <v>282.60000000000002</v>
      </c>
      <c r="J29" s="2">
        <v>377.97750000000002</v>
      </c>
      <c r="K29" s="2">
        <v>302.38200000000001</v>
      </c>
      <c r="L29" s="2">
        <v>302.38200000000001</v>
      </c>
      <c r="M29" s="2">
        <v>377.97750000000002</v>
      </c>
      <c r="N29" s="2">
        <v>302.38200000000001</v>
      </c>
      <c r="O29" s="2">
        <v>302.38200000000001</v>
      </c>
      <c r="P29" s="9"/>
      <c r="Q29" s="2">
        <f>SUM(OSRRefD21_0_7x)+IFERROR(SUM(OSRRefE21_0_7x),0)</f>
        <v>3449.1330000000003</v>
      </c>
    </row>
    <row r="30" spans="1:17" s="34" customFormat="1" collapsed="1" x14ac:dyDescent="0.3">
      <c r="A30" s="35"/>
      <c r="B30" s="14" t="str">
        <f>CONCATENATE("     ","*Payroll                                          ")</f>
        <v xml:space="preserve">     *Payroll                                          </v>
      </c>
      <c r="C30" s="14"/>
      <c r="D30" s="1">
        <f>SUM(OSRRefD21_1x_0)</f>
        <v>0</v>
      </c>
      <c r="E30" s="1">
        <f>SUM(OSRRefE21_1x_0)</f>
        <v>8044</v>
      </c>
      <c r="F30" s="1">
        <f>SUM(OSRRefE21_1x_1)</f>
        <v>8044</v>
      </c>
      <c r="G30" s="1">
        <f>SUM(OSRRefE21_1x_2)</f>
        <v>10055</v>
      </c>
      <c r="H30" s="1">
        <f>SUM(OSRRefE21_1x_3)</f>
        <v>8044</v>
      </c>
      <c r="I30" s="1">
        <f>SUM(OSRRefE21_1x_4)</f>
        <v>8044</v>
      </c>
      <c r="J30" s="1">
        <f>SUM(OSRRefE21_1x_5)</f>
        <v>10758.85</v>
      </c>
      <c r="K30" s="1">
        <f>SUM(OSRRefE21_1x_6)</f>
        <v>8607.08</v>
      </c>
      <c r="L30" s="1">
        <f>SUM(OSRRefE21_1x_7)</f>
        <v>8607.08</v>
      </c>
      <c r="M30" s="1">
        <f>SUM(OSRRefE21_1x_8)</f>
        <v>10758.85</v>
      </c>
      <c r="N30" s="1">
        <f>SUM(OSRRefE21_1x_9)</f>
        <v>8607.08</v>
      </c>
      <c r="O30" s="1">
        <f>SUM(OSRRefE21_1x_10)</f>
        <v>8607.08</v>
      </c>
      <c r="Q30" s="2">
        <f>SUM(OSRRefD20_1x)+IFERROR(SUM(OSRRefE20_1x),0)</f>
        <v>98177.02</v>
      </c>
    </row>
    <row r="31" spans="1:17" s="34" customFormat="1" hidden="1" outlineLevel="1" x14ac:dyDescent="0.3">
      <c r="A31" s="35"/>
      <c r="B31" s="10" t="str">
        <f>CONCATENATE("          ","6001", " - ","ADMINISTRATIVE SALARIES")</f>
        <v xml:space="preserve">          6001 - ADMINISTRATIVE SALARIES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SUM(OSRRefD21_1_0x)+IFERROR(SUM(OSRRefE21_1_0x),0)</f>
        <v>0</v>
      </c>
    </row>
    <row r="32" spans="1:17" s="34" customFormat="1" hidden="1" outlineLevel="1" x14ac:dyDescent="0.3">
      <c r="A32" s="35"/>
      <c r="B32" s="10" t="str">
        <f>CONCATENATE("          ","6002", " - ","STAFF SALARIES")</f>
        <v xml:space="preserve">          6002 - STAFF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SUM(OSRRefD21_1_1x)+IFERROR(SUM(OSRRefE21_1_1x),0)</f>
        <v>0</v>
      </c>
    </row>
    <row r="33" spans="1:17" s="34" customFormat="1" hidden="1" outlineLevel="1" x14ac:dyDescent="0.3">
      <c r="A33" s="35"/>
      <c r="B33" s="10" t="str">
        <f>CONCATENATE("          ","6003", " - ","STAFF HOURLY-9 MONTH")</f>
        <v xml:space="preserve">          6003 - STAFF HOURLY-9 MONTH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SUM(OSRRefD21_1_2x)+IFERROR(SUM(OSRRefE21_1_2x),0)</f>
        <v>0</v>
      </c>
    </row>
    <row r="34" spans="1:17" s="34" customFormat="1" hidden="1" outlineLevel="1" x14ac:dyDescent="0.3">
      <c r="A34" s="35"/>
      <c r="B34" s="10" t="str">
        <f>CONCATENATE("          ","6004", " - ","STAFF HOURLY")</f>
        <v xml:space="preserve">          6004 - STAFF HOURLY</v>
      </c>
      <c r="C34" s="14"/>
      <c r="D34" s="2"/>
      <c r="E34" s="2">
        <v>1824</v>
      </c>
      <c r="F34" s="2">
        <v>1824</v>
      </c>
      <c r="G34" s="2">
        <v>2280</v>
      </c>
      <c r="H34" s="2">
        <v>1824</v>
      </c>
      <c r="I34" s="2">
        <v>1824</v>
      </c>
      <c r="J34" s="2">
        <v>2439.6</v>
      </c>
      <c r="K34" s="2">
        <v>1951.68</v>
      </c>
      <c r="L34" s="2">
        <v>1951.68</v>
      </c>
      <c r="M34" s="2">
        <v>2439.6</v>
      </c>
      <c r="N34" s="2">
        <v>1951.68</v>
      </c>
      <c r="O34" s="2">
        <v>1951.68</v>
      </c>
      <c r="P34" s="9"/>
      <c r="Q34" s="2">
        <f>SUM(OSRRefD21_1_3x)+IFERROR(SUM(OSRRefE21_1_3x),0)</f>
        <v>22261.920000000002</v>
      </c>
    </row>
    <row r="35" spans="1:17" s="34" customFormat="1" hidden="1" outlineLevel="1" x14ac:dyDescent="0.3">
      <c r="A35" s="35"/>
      <c r="B35" s="10" t="str">
        <f>CONCATENATE("          ","6005", " - ","TEMPORARY WAGES-HOURLY")</f>
        <v xml:space="preserve">          6005 - TEMPORARY WAGES-HOURLY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SUM(OSRRefD21_1_4x)+IFERROR(SUM(OSRRefE21_1_4x),0)</f>
        <v>0</v>
      </c>
    </row>
    <row r="36" spans="1:17" s="34" customFormat="1" hidden="1" outlineLevel="1" x14ac:dyDescent="0.3">
      <c r="A36" s="35"/>
      <c r="B36" s="10" t="str">
        <f>CONCATENATE("          ","6006", " - ","TEMPORARY PART TIME")</f>
        <v xml:space="preserve">          6006 - TEMPORARY PART TIME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SUM(OSRRefD21_1_5x)+IFERROR(SUM(OSRRefE21_1_5x),0)</f>
        <v>0</v>
      </c>
    </row>
    <row r="37" spans="1:17" s="34" customFormat="1" hidden="1" outlineLevel="1" x14ac:dyDescent="0.3">
      <c r="A37" s="35"/>
      <c r="B37" s="10" t="str">
        <f>CONCATENATE("          ","6007", " - ","STUDENT HOURLY")</f>
        <v xml:space="preserve">          6007 - STUDENT HOURLY</v>
      </c>
      <c r="C37" s="14"/>
      <c r="D37" s="2"/>
      <c r="E37" s="2">
        <v>6220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6655.4</v>
      </c>
      <c r="P37" s="9"/>
      <c r="Q37" s="2">
        <f>SUM(OSRRefD21_1_6x)+IFERROR(SUM(OSRRefE21_1_6x),0)</f>
        <v>12875.4</v>
      </c>
    </row>
    <row r="38" spans="1:17" s="34" customFormat="1" hidden="1" outlineLevel="1" x14ac:dyDescent="0.3">
      <c r="A38" s="35"/>
      <c r="B38" s="10" t="str">
        <f>CONCATENATE("          ","6008", " - ","STUDENT HOURLY-FICA EXEMPT")</f>
        <v xml:space="preserve">          6008 - STUDENT HOURLY-FICA EXEMPT</v>
      </c>
      <c r="C38" s="14"/>
      <c r="D38" s="2"/>
      <c r="E38" s="2">
        <v>0</v>
      </c>
      <c r="F38" s="2">
        <v>6220</v>
      </c>
      <c r="G38" s="2">
        <v>7775</v>
      </c>
      <c r="H38" s="2">
        <v>6220</v>
      </c>
      <c r="I38" s="2">
        <v>6220</v>
      </c>
      <c r="J38" s="2">
        <v>8319.25</v>
      </c>
      <c r="K38" s="2">
        <v>6655.4</v>
      </c>
      <c r="L38" s="2">
        <v>6655.4</v>
      </c>
      <c r="M38" s="2">
        <v>8319.25</v>
      </c>
      <c r="N38" s="2">
        <v>6655.4</v>
      </c>
      <c r="O38" s="2">
        <v>0</v>
      </c>
      <c r="P38" s="9"/>
      <c r="Q38" s="2">
        <f>SUM(OSRRefD21_1_7x)+IFERROR(SUM(OSRRefE21_1_7x),0)</f>
        <v>63039.700000000004</v>
      </c>
    </row>
    <row r="39" spans="1:17" s="34" customFormat="1" hidden="1" outlineLevel="1" x14ac:dyDescent="0.3">
      <c r="A39" s="35"/>
      <c r="B39" s="10" t="str">
        <f>CONCATENATE("          ","6009", " - ","TEMPORARY-SEASONAL")</f>
        <v xml:space="preserve">          6009 - TEMPORARY-SEASONAL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SUM(OSRRefD21_1_8x)+IFERROR(SUM(OSRRefE21_1_8x),0)</f>
        <v>0</v>
      </c>
    </row>
    <row r="40" spans="1:17" s="34" customFormat="1" hidden="1" outlineLevel="1" x14ac:dyDescent="0.3">
      <c r="A40" s="35"/>
      <c r="B40" s="10" t="str">
        <f>CONCATENATE("          ","6010", " - ","GRATUITY")</f>
        <v xml:space="preserve">          6010 - GRATUITY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SUM(OSRRefD21_1_9x)+IFERROR(SUM(OSRRefE21_1_9x),0)</f>
        <v>0</v>
      </c>
    </row>
    <row r="41" spans="1:17" s="34" customFormat="1" collapsed="1" x14ac:dyDescent="0.3">
      <c r="A41" s="35"/>
      <c r="B41" s="14" t="str">
        <f>CONCATENATE("     ","Advertising/Promo                                 ")</f>
        <v xml:space="preserve">     Advertising/Promo                                 </v>
      </c>
      <c r="C41" s="14"/>
      <c r="D41" s="1">
        <f>SUM(OSRRefD21_2x_0)</f>
        <v>100</v>
      </c>
      <c r="E41" s="1">
        <f>SUM(OSRRefE21_2x_0)</f>
        <v>50</v>
      </c>
      <c r="F41" s="1">
        <f>SUM(OSRRefE21_2x_1)</f>
        <v>50</v>
      </c>
      <c r="G41" s="1">
        <f>SUM(OSRRefE21_2x_2)</f>
        <v>50</v>
      </c>
      <c r="H41" s="1">
        <f>SUM(OSRRefE21_2x_3)</f>
        <v>50</v>
      </c>
      <c r="I41" s="1">
        <f>SUM(OSRRefE21_2x_4)</f>
        <v>50</v>
      </c>
      <c r="J41" s="1">
        <f>SUM(OSRRefE21_2x_5)</f>
        <v>50</v>
      </c>
      <c r="K41" s="1">
        <f>SUM(OSRRefE21_2x_6)</f>
        <v>50</v>
      </c>
      <c r="L41" s="1">
        <f>SUM(OSRRefE21_2x_7)</f>
        <v>50</v>
      </c>
      <c r="M41" s="1">
        <f>SUM(OSRRefE21_2x_8)</f>
        <v>50</v>
      </c>
      <c r="N41" s="1">
        <f>SUM(OSRRefE21_2x_9)</f>
        <v>50</v>
      </c>
      <c r="O41" s="1">
        <f>SUM(OSRRefE21_2x_10)</f>
        <v>50</v>
      </c>
      <c r="Q41" s="2">
        <f>SUM(OSRRefD20_2x)+IFERROR(SUM(OSRRefE20_2x),0)</f>
        <v>650</v>
      </c>
    </row>
    <row r="42" spans="1:17" s="34" customFormat="1" hidden="1" outlineLevel="1" x14ac:dyDescent="0.3">
      <c r="A42" s="35"/>
      <c r="B42" s="10" t="str">
        <f>CONCATENATE("          ","6362", " - ","ADVERTISING EXPENSE")</f>
        <v xml:space="preserve">          6362 - ADVERTISING EXPENSE</v>
      </c>
      <c r="C42" s="14"/>
      <c r="D42" s="2">
        <v>100</v>
      </c>
      <c r="E42" s="2">
        <v>50</v>
      </c>
      <c r="F42" s="2">
        <v>50</v>
      </c>
      <c r="G42" s="2">
        <v>50</v>
      </c>
      <c r="H42" s="2">
        <v>50</v>
      </c>
      <c r="I42" s="2">
        <v>50</v>
      </c>
      <c r="J42" s="2">
        <v>50</v>
      </c>
      <c r="K42" s="2">
        <v>50</v>
      </c>
      <c r="L42" s="2">
        <v>50</v>
      </c>
      <c r="M42" s="2">
        <v>50</v>
      </c>
      <c r="N42" s="2">
        <v>50</v>
      </c>
      <c r="O42" s="2">
        <v>50</v>
      </c>
      <c r="P42" s="9"/>
      <c r="Q42" s="2">
        <f>SUM(OSRRefD21_2_0x)+IFERROR(SUM(OSRRefE21_2_0x),0)</f>
        <v>650</v>
      </c>
    </row>
    <row r="43" spans="1:17" s="34" customFormat="1" collapsed="1" x14ac:dyDescent="0.3">
      <c r="A43" s="35"/>
      <c r="B43" s="14" t="str">
        <f>CONCATENATE("     ","Bad Debts/Over/Short                              ")</f>
        <v xml:space="preserve">     Bad Debts/Over/Short                              </v>
      </c>
      <c r="C43" s="14"/>
      <c r="D43" s="1">
        <f>SUM(OSRRefD21_3x_0)</f>
        <v>0</v>
      </c>
      <c r="E43" s="1">
        <f>SUM(OSRRefE21_3x_0)</f>
        <v>25</v>
      </c>
      <c r="F43" s="1">
        <f>SUM(OSRRefE21_3x_1)</f>
        <v>25</v>
      </c>
      <c r="G43" s="1">
        <f>SUM(OSRRefE21_3x_2)</f>
        <v>25</v>
      </c>
      <c r="H43" s="1">
        <f>SUM(OSRRefE21_3x_3)</f>
        <v>25</v>
      </c>
      <c r="I43" s="1">
        <f>SUM(OSRRefE21_3x_4)</f>
        <v>25</v>
      </c>
      <c r="J43" s="1">
        <f>SUM(OSRRefE21_3x_5)</f>
        <v>25</v>
      </c>
      <c r="K43" s="1">
        <f>SUM(OSRRefE21_3x_6)</f>
        <v>25</v>
      </c>
      <c r="L43" s="1">
        <f>SUM(OSRRefE21_3x_7)</f>
        <v>25</v>
      </c>
      <c r="M43" s="1">
        <f>SUM(OSRRefE21_3x_8)</f>
        <v>25</v>
      </c>
      <c r="N43" s="1">
        <f>SUM(OSRRefE21_3x_9)</f>
        <v>25</v>
      </c>
      <c r="O43" s="1">
        <f>SUM(OSRRefE21_3x_10)</f>
        <v>25</v>
      </c>
      <c r="Q43" s="2">
        <f>SUM(OSRRefD20_3x)+IFERROR(SUM(OSRRefE20_3x),0)</f>
        <v>275</v>
      </c>
    </row>
    <row r="44" spans="1:17" s="34" customFormat="1" hidden="1" outlineLevel="1" x14ac:dyDescent="0.3">
      <c r="A44" s="35"/>
      <c r="B44" s="10" t="str">
        <f>CONCATENATE("          ","6272", " - ","CASH (OVER/SHORT)")</f>
        <v xml:space="preserve">          6272 - CASH (OVER/SHORT)</v>
      </c>
      <c r="C44" s="14"/>
      <c r="D44" s="2"/>
      <c r="E44" s="2">
        <v>25</v>
      </c>
      <c r="F44" s="2">
        <v>25</v>
      </c>
      <c r="G44" s="2">
        <v>25</v>
      </c>
      <c r="H44" s="2">
        <v>25</v>
      </c>
      <c r="I44" s="2">
        <v>25</v>
      </c>
      <c r="J44" s="2">
        <v>25</v>
      </c>
      <c r="K44" s="2">
        <v>25</v>
      </c>
      <c r="L44" s="2">
        <v>25</v>
      </c>
      <c r="M44" s="2">
        <v>25</v>
      </c>
      <c r="N44" s="2">
        <v>25</v>
      </c>
      <c r="O44" s="2">
        <v>25</v>
      </c>
      <c r="P44" s="9"/>
      <c r="Q44" s="2">
        <f>SUM(OSRRefD21_3_0x)+IFERROR(SUM(OSRRefE21_3_0x),0)</f>
        <v>275</v>
      </c>
    </row>
    <row r="45" spans="1:17" s="34" customFormat="1" collapsed="1" x14ac:dyDescent="0.3">
      <c r="A45" s="35"/>
      <c r="B45" s="14" t="str">
        <f>CONCATENATE("     ","Bank/card Fees                                    ")</f>
        <v xml:space="preserve">     Bank/card Fees                                    </v>
      </c>
      <c r="C45" s="14"/>
      <c r="D45" s="1">
        <f>SUM(OSRRefD21_4x_0)</f>
        <v>0</v>
      </c>
      <c r="E45" s="1">
        <f>SUM(OSRRefE21_4x_0)</f>
        <v>1007</v>
      </c>
      <c r="F45" s="1">
        <f>SUM(OSRRefE21_4x_1)</f>
        <v>1395</v>
      </c>
      <c r="G45" s="1">
        <f>SUM(OSRRefE21_4x_2)</f>
        <v>1319</v>
      </c>
      <c r="H45" s="1">
        <f>SUM(OSRRefE21_4x_3)</f>
        <v>883</v>
      </c>
      <c r="I45" s="1">
        <f>SUM(OSRRefE21_4x_4)</f>
        <v>408</v>
      </c>
      <c r="J45" s="1">
        <f>SUM(OSRRefE21_4x_5)</f>
        <v>988</v>
      </c>
      <c r="K45" s="1">
        <f>SUM(OSRRefE21_4x_6)</f>
        <v>1199</v>
      </c>
      <c r="L45" s="1">
        <f>SUM(OSRRefE21_4x_7)</f>
        <v>668</v>
      </c>
      <c r="M45" s="1">
        <f>SUM(OSRRefE21_4x_8)</f>
        <v>689</v>
      </c>
      <c r="N45" s="1">
        <f>SUM(OSRRefE21_4x_9)</f>
        <v>242</v>
      </c>
      <c r="O45" s="1">
        <f>SUM(OSRRefE21_4x_10)</f>
        <v>26</v>
      </c>
      <c r="Q45" s="2">
        <f>SUM(OSRRefD20_4x)+IFERROR(SUM(OSRRefE20_4x),0)</f>
        <v>8824</v>
      </c>
    </row>
    <row r="46" spans="1:17" s="34" customFormat="1" hidden="1" outlineLevel="1" x14ac:dyDescent="0.3">
      <c r="A46" s="35"/>
      <c r="B46" s="10" t="str">
        <f>CONCATENATE("          ","6381", " - ","BANK/CREDIT CARD FEES")</f>
        <v xml:space="preserve">          6381 - BANK/CREDIT CARD FEES</v>
      </c>
      <c r="C46" s="14"/>
      <c r="D46" s="2"/>
      <c r="E46" s="2">
        <v>1007</v>
      </c>
      <c r="F46" s="2">
        <v>1395</v>
      </c>
      <c r="G46" s="2">
        <v>1319</v>
      </c>
      <c r="H46" s="2">
        <v>883</v>
      </c>
      <c r="I46" s="2">
        <v>408</v>
      </c>
      <c r="J46" s="2">
        <v>988</v>
      </c>
      <c r="K46" s="2">
        <v>1199</v>
      </c>
      <c r="L46" s="2">
        <v>668</v>
      </c>
      <c r="M46" s="2">
        <v>689</v>
      </c>
      <c r="N46" s="2">
        <v>242</v>
      </c>
      <c r="O46" s="2">
        <v>26</v>
      </c>
      <c r="P46" s="9"/>
      <c r="Q46" s="2">
        <f>SUM(OSRRefD21_4_0x)+IFERROR(SUM(OSRRefE21_4_0x),0)</f>
        <v>8824</v>
      </c>
    </row>
    <row r="47" spans="1:17" s="34" customFormat="1" collapsed="1" x14ac:dyDescent="0.3">
      <c r="A47" s="35"/>
      <c r="B47" s="14" t="str">
        <f>CONCATENATE("     ","Discounts and Markdowns                           ")</f>
        <v xml:space="preserve">     Discounts and Markdowns                           </v>
      </c>
      <c r="C47" s="14"/>
      <c r="D47" s="1">
        <f>SUM(OSRRefD21_5x_0)</f>
        <v>0</v>
      </c>
      <c r="E47" s="1">
        <f>SUM(OSRRefE21_5x_0)</f>
        <v>0</v>
      </c>
      <c r="F47" s="1">
        <f>SUM(OSRRefE21_5x_1)</f>
        <v>0</v>
      </c>
      <c r="G47" s="1">
        <f>SUM(OSRRefE21_5x_2)</f>
        <v>0</v>
      </c>
      <c r="H47" s="1">
        <f>SUM(OSRRefE21_5x_3)</f>
        <v>0</v>
      </c>
      <c r="I47" s="1">
        <f>SUM(OSRRefE21_5x_4)</f>
        <v>0</v>
      </c>
      <c r="J47" s="1">
        <f>SUM(OSRRefE21_5x_5)</f>
        <v>0</v>
      </c>
      <c r="K47" s="1">
        <f>SUM(OSRRefE21_5x_6)</f>
        <v>0</v>
      </c>
      <c r="L47" s="1">
        <f>SUM(OSRRefE21_5x_7)</f>
        <v>0</v>
      </c>
      <c r="M47" s="1">
        <f>SUM(OSRRefE21_5x_8)</f>
        <v>0</v>
      </c>
      <c r="N47" s="1">
        <f>SUM(OSRRefE21_5x_9)</f>
        <v>0</v>
      </c>
      <c r="O47" s="1">
        <f>SUM(OSRRefE21_5x_10)</f>
        <v>0</v>
      </c>
      <c r="Q47" s="2">
        <f>SUM(OSRRefD20_5x)+IFERROR(SUM(OSRRefE20_5x),0)</f>
        <v>0</v>
      </c>
    </row>
    <row r="48" spans="1:17" s="34" customFormat="1" hidden="1" outlineLevel="1" x14ac:dyDescent="0.3">
      <c r="A48" s="35"/>
      <c r="B48" s="10" t="str">
        <f>CONCATENATE("          ","6382", " - ","DISCOUNTS/MARK DOWNS")</f>
        <v xml:space="preserve">          6382 - DISCOUNTS/MARK DOWNS</v>
      </c>
      <c r="C48" s="14"/>
      <c r="D48" s="2"/>
      <c r="E48" s="2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2">
        <f>SUM(OSRRefD21_5_0x)+IFERROR(SUM(OSRRefE21_5_0x),0)</f>
        <v>0</v>
      </c>
    </row>
    <row r="49" spans="1:17" s="34" customFormat="1" collapsed="1" x14ac:dyDescent="0.3">
      <c r="A49" s="35"/>
      <c r="B49" s="14" t="str">
        <f>CONCATENATE("     ","General                                           ")</f>
        <v xml:space="preserve">     General                                           </v>
      </c>
      <c r="C49" s="14"/>
      <c r="D49" s="1">
        <f>SUM(OSRRefD21_6x_0)</f>
        <v>0</v>
      </c>
      <c r="E49" s="1">
        <f>SUM(OSRRefE21_6x_0)</f>
        <v>0</v>
      </c>
      <c r="F49" s="1">
        <f>SUM(OSRRefE21_6x_1)</f>
        <v>0</v>
      </c>
      <c r="G49" s="1">
        <f>SUM(OSRRefE21_6x_2)</f>
        <v>0</v>
      </c>
      <c r="H49" s="1">
        <f>SUM(OSRRefE21_6x_3)</f>
        <v>0</v>
      </c>
      <c r="I49" s="1">
        <f>SUM(OSRRefE21_6x_4)</f>
        <v>0</v>
      </c>
      <c r="J49" s="1">
        <f>SUM(OSRRefE21_6x_5)</f>
        <v>0</v>
      </c>
      <c r="K49" s="1">
        <f>SUM(OSRRefE21_6x_6)</f>
        <v>0</v>
      </c>
      <c r="L49" s="1">
        <f>SUM(OSRRefE21_6x_7)</f>
        <v>0</v>
      </c>
      <c r="M49" s="1">
        <f>SUM(OSRRefE21_6x_8)</f>
        <v>0</v>
      </c>
      <c r="N49" s="1">
        <f>SUM(OSRRefE21_6x_9)</f>
        <v>0</v>
      </c>
      <c r="O49" s="1">
        <f>SUM(OSRRefE21_6x_10)</f>
        <v>0</v>
      </c>
      <c r="Q49" s="2">
        <f>SUM(OSRRefD20_6x)+IFERROR(SUM(OSRRefE20_6x),0)</f>
        <v>0</v>
      </c>
    </row>
    <row r="50" spans="1:17" s="34" customFormat="1" hidden="1" outlineLevel="1" x14ac:dyDescent="0.3">
      <c r="A50" s="35"/>
      <c r="B50" s="10" t="str">
        <f>CONCATENATE("          ","6279", " - ","GENERAL EXPENSE")</f>
        <v xml:space="preserve">          6279 - GENERAL EXPENSE</v>
      </c>
      <c r="C50" s="14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9"/>
      <c r="Q50" s="2">
        <f>SUM(OSRRefD21_6_0x)+IFERROR(SUM(OSRRefE21_6_0x),0)</f>
        <v>0</v>
      </c>
    </row>
    <row r="51" spans="1:17" s="34" customFormat="1" collapsed="1" x14ac:dyDescent="0.3">
      <c r="A51" s="35"/>
      <c r="B51" s="14" t="str">
        <f>CONCATENATE("     ","Inventory Adjustment                              ")</f>
        <v xml:space="preserve">     Inventory Adjustment                              </v>
      </c>
      <c r="C51" s="14"/>
      <c r="D51" s="1">
        <f>SUM(OSRRefD21_7x_0)</f>
        <v>650</v>
      </c>
      <c r="E51" s="1">
        <f>SUM(OSRRefE21_7x_0)</f>
        <v>650</v>
      </c>
      <c r="F51" s="1">
        <f>SUM(OSRRefE21_7x_1)</f>
        <v>650</v>
      </c>
      <c r="G51" s="1">
        <f>SUM(OSRRefE21_7x_2)</f>
        <v>650</v>
      </c>
      <c r="H51" s="1">
        <f>SUM(OSRRefE21_7x_3)</f>
        <v>650</v>
      </c>
      <c r="I51" s="1">
        <f>SUM(OSRRefE21_7x_4)</f>
        <v>650</v>
      </c>
      <c r="J51" s="1">
        <f>SUM(OSRRefE21_7x_5)</f>
        <v>650</v>
      </c>
      <c r="K51" s="1">
        <f>SUM(OSRRefE21_7x_6)</f>
        <v>650</v>
      </c>
      <c r="L51" s="1">
        <f>SUM(OSRRefE21_7x_7)</f>
        <v>650</v>
      </c>
      <c r="M51" s="1">
        <f>SUM(OSRRefE21_7x_8)</f>
        <v>650</v>
      </c>
      <c r="N51" s="1">
        <f>SUM(OSRRefE21_7x_9)</f>
        <v>650</v>
      </c>
      <c r="O51" s="1">
        <f>SUM(OSRRefE21_7x_10)</f>
        <v>650</v>
      </c>
      <c r="Q51" s="2">
        <f>SUM(OSRRefD20_7x)+IFERROR(SUM(OSRRefE20_7x),0)</f>
        <v>7800</v>
      </c>
    </row>
    <row r="52" spans="1:17" s="34" customFormat="1" hidden="1" outlineLevel="1" x14ac:dyDescent="0.3">
      <c r="A52" s="35"/>
      <c r="B52" s="10" t="str">
        <f>CONCATENATE("          ","6408", " - ","INVENTORY ADJUSTMENT")</f>
        <v xml:space="preserve">          6408 - INVENTORY ADJUSTMENT</v>
      </c>
      <c r="C52" s="14"/>
      <c r="D52" s="2">
        <v>650</v>
      </c>
      <c r="E52" s="2">
        <v>650</v>
      </c>
      <c r="F52" s="2">
        <v>650</v>
      </c>
      <c r="G52" s="2">
        <v>650</v>
      </c>
      <c r="H52" s="2">
        <v>650</v>
      </c>
      <c r="I52" s="2">
        <v>650</v>
      </c>
      <c r="J52" s="2">
        <v>650</v>
      </c>
      <c r="K52" s="2">
        <v>650</v>
      </c>
      <c r="L52" s="2">
        <v>650</v>
      </c>
      <c r="M52" s="2">
        <v>650</v>
      </c>
      <c r="N52" s="2">
        <v>650</v>
      </c>
      <c r="O52" s="2">
        <v>650</v>
      </c>
      <c r="P52" s="9"/>
      <c r="Q52" s="2">
        <f>SUM(OSRRefD21_7_0x)+IFERROR(SUM(OSRRefE21_7_0x),0)</f>
        <v>7800</v>
      </c>
    </row>
    <row r="53" spans="1:17" s="34" customFormat="1" collapsed="1" x14ac:dyDescent="0.3">
      <c r="A53" s="35"/>
      <c r="B53" s="14" t="str">
        <f>CONCATENATE("     ","Supplies                                          ")</f>
        <v xml:space="preserve">     Supplies                                          </v>
      </c>
      <c r="C53" s="14"/>
      <c r="D53" s="1">
        <f>SUM(OSRRefD21_8x_0)</f>
        <v>0</v>
      </c>
      <c r="E53" s="1">
        <f>SUM(OSRRefE21_8x_0)</f>
        <v>75</v>
      </c>
      <c r="F53" s="1">
        <f>SUM(OSRRefE21_8x_1)</f>
        <v>75</v>
      </c>
      <c r="G53" s="1">
        <f>SUM(OSRRefE21_8x_2)</f>
        <v>75</v>
      </c>
      <c r="H53" s="1">
        <f>SUM(OSRRefE21_8x_3)</f>
        <v>75</v>
      </c>
      <c r="I53" s="1">
        <f>SUM(OSRRefE21_8x_4)</f>
        <v>75</v>
      </c>
      <c r="J53" s="1">
        <f>SUM(OSRRefE21_8x_5)</f>
        <v>75</v>
      </c>
      <c r="K53" s="1">
        <f>SUM(OSRRefE21_8x_6)</f>
        <v>75</v>
      </c>
      <c r="L53" s="1">
        <f>SUM(OSRRefE21_8x_7)</f>
        <v>75</v>
      </c>
      <c r="M53" s="1">
        <f>SUM(OSRRefE21_8x_8)</f>
        <v>75</v>
      </c>
      <c r="N53" s="1">
        <f>SUM(OSRRefE21_8x_9)</f>
        <v>75</v>
      </c>
      <c r="O53" s="1">
        <f>SUM(OSRRefE21_8x_10)</f>
        <v>75</v>
      </c>
      <c r="Q53" s="2">
        <f>SUM(OSRRefD20_8x)+IFERROR(SUM(OSRRefE20_8x),0)</f>
        <v>825</v>
      </c>
    </row>
    <row r="54" spans="1:17" s="34" customFormat="1" hidden="1" outlineLevel="1" x14ac:dyDescent="0.3">
      <c r="A54" s="35"/>
      <c r="B54" s="10" t="str">
        <f>CONCATENATE("          ","6235", " - ","COVID-19 EXPENSES")</f>
        <v xml:space="preserve">          6235 - COVID-19 EXPENSES</v>
      </c>
      <c r="C54" s="14"/>
      <c r="D54" s="2"/>
      <c r="E54" s="2">
        <v>25</v>
      </c>
      <c r="F54" s="2">
        <v>25</v>
      </c>
      <c r="G54" s="2">
        <v>25</v>
      </c>
      <c r="H54" s="2">
        <v>25</v>
      </c>
      <c r="I54" s="2">
        <v>25</v>
      </c>
      <c r="J54" s="2">
        <v>25</v>
      </c>
      <c r="K54" s="2">
        <v>25</v>
      </c>
      <c r="L54" s="2">
        <v>25</v>
      </c>
      <c r="M54" s="2">
        <v>25</v>
      </c>
      <c r="N54" s="2">
        <v>25</v>
      </c>
      <c r="O54" s="2">
        <v>25</v>
      </c>
      <c r="P54" s="9"/>
      <c r="Q54" s="2">
        <f>SUM(OSRRefD21_8_0x)+IFERROR(SUM(OSRRefE21_8_0x),0)</f>
        <v>275</v>
      </c>
    </row>
    <row r="55" spans="1:17" s="34" customFormat="1" hidden="1" outlineLevel="1" x14ac:dyDescent="0.3">
      <c r="A55" s="35"/>
      <c r="B55" s="10" t="str">
        <f>CONCATENATE("          ","6241", " - ","OFFICE EXPENSE")</f>
        <v xml:space="preserve">          6241 - OFFICE EXPENSE</v>
      </c>
      <c r="C55" s="14"/>
      <c r="D55" s="2"/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v>25</v>
      </c>
      <c r="O55" s="2">
        <v>25</v>
      </c>
      <c r="P55" s="9"/>
      <c r="Q55" s="2">
        <f>SUM(OSRRefD21_8_1x)+IFERROR(SUM(OSRRefE21_8_1x),0)</f>
        <v>275</v>
      </c>
    </row>
    <row r="56" spans="1:17" s="34" customFormat="1" hidden="1" outlineLevel="1" x14ac:dyDescent="0.3">
      <c r="A56" s="35"/>
      <c r="B56" s="10" t="str">
        <f>CONCATENATE("          ","6247", " - ","STORE SUPPLIES")</f>
        <v xml:space="preserve">          6247 - STORE SUPPLIES</v>
      </c>
      <c r="C56" s="14"/>
      <c r="D56" s="2"/>
      <c r="E56" s="2">
        <v>25</v>
      </c>
      <c r="F56" s="2">
        <v>25</v>
      </c>
      <c r="G56" s="2">
        <v>25</v>
      </c>
      <c r="H56" s="2">
        <v>25</v>
      </c>
      <c r="I56" s="2">
        <v>25</v>
      </c>
      <c r="J56" s="2">
        <v>25</v>
      </c>
      <c r="K56" s="2">
        <v>25</v>
      </c>
      <c r="L56" s="2">
        <v>25</v>
      </c>
      <c r="M56" s="2">
        <v>25</v>
      </c>
      <c r="N56" s="2">
        <v>25</v>
      </c>
      <c r="O56" s="2">
        <v>25</v>
      </c>
      <c r="P56" s="9"/>
      <c r="Q56" s="2">
        <f>SUM(OSRRefD21_8_2x)+IFERROR(SUM(OSRRefE21_8_2x),0)</f>
        <v>275</v>
      </c>
    </row>
    <row r="57" spans="1:17" s="34" customFormat="1" collapsed="1" x14ac:dyDescent="0.3">
      <c r="A57" s="35"/>
      <c r="B57" s="14" t="str">
        <f>CONCATENATE("     ","Telephone/Data Lines                              ")</f>
        <v xml:space="preserve">     Telephone/Data Lines                              </v>
      </c>
      <c r="C57" s="14"/>
      <c r="D57" s="1">
        <f>SUM(OSRRefD21_9x_0)</f>
        <v>13</v>
      </c>
      <c r="E57" s="1">
        <f>SUM(OSRRefE21_9x_0)</f>
        <v>60</v>
      </c>
      <c r="F57" s="1">
        <f>SUM(OSRRefE21_9x_1)</f>
        <v>60</v>
      </c>
      <c r="G57" s="1">
        <f>SUM(OSRRefE21_9x_2)</f>
        <v>60</v>
      </c>
      <c r="H57" s="1">
        <f>SUM(OSRRefE21_9x_3)</f>
        <v>60</v>
      </c>
      <c r="I57" s="1">
        <f>SUM(OSRRefE21_9x_4)</f>
        <v>60</v>
      </c>
      <c r="J57" s="1">
        <f>SUM(OSRRefE21_9x_5)</f>
        <v>60</v>
      </c>
      <c r="K57" s="1">
        <f>SUM(OSRRefE21_9x_6)</f>
        <v>60</v>
      </c>
      <c r="L57" s="1">
        <f>SUM(OSRRefE21_9x_7)</f>
        <v>60</v>
      </c>
      <c r="M57" s="1">
        <f>SUM(OSRRefE21_9x_8)</f>
        <v>60</v>
      </c>
      <c r="N57" s="1">
        <f>SUM(OSRRefE21_9x_9)</f>
        <v>60</v>
      </c>
      <c r="O57" s="1">
        <f>SUM(OSRRefE21_9x_10)</f>
        <v>60</v>
      </c>
      <c r="Q57" s="2">
        <f>SUM(OSRRefD20_9x)+IFERROR(SUM(OSRRefE20_9x),0)</f>
        <v>673</v>
      </c>
    </row>
    <row r="58" spans="1:17" s="34" customFormat="1" hidden="1" outlineLevel="1" x14ac:dyDescent="0.3">
      <c r="A58" s="35"/>
      <c r="B58" s="10" t="str">
        <f>CONCATENATE("          ","6309", " - ","TELEPHONE")</f>
        <v xml:space="preserve">          6309 - TELEPHONE</v>
      </c>
      <c r="C58" s="14"/>
      <c r="D58" s="2">
        <v>13</v>
      </c>
      <c r="E58" s="2">
        <v>60</v>
      </c>
      <c r="F58" s="2">
        <v>60</v>
      </c>
      <c r="G58" s="2">
        <v>60</v>
      </c>
      <c r="H58" s="2">
        <v>60</v>
      </c>
      <c r="I58" s="2">
        <v>60</v>
      </c>
      <c r="J58" s="2">
        <v>60</v>
      </c>
      <c r="K58" s="2">
        <v>60</v>
      </c>
      <c r="L58" s="2">
        <v>60</v>
      </c>
      <c r="M58" s="2">
        <v>60</v>
      </c>
      <c r="N58" s="2">
        <v>60</v>
      </c>
      <c r="O58" s="2">
        <v>60</v>
      </c>
      <c r="P58" s="9"/>
      <c r="Q58" s="2">
        <f>SUM(OSRRefD21_9_0x)+IFERROR(SUM(OSRRefE21_9_0x),0)</f>
        <v>673</v>
      </c>
    </row>
    <row r="59" spans="1:17" s="28" customFormat="1" x14ac:dyDescent="0.3">
      <c r="A59" s="21"/>
      <c r="B59" s="21"/>
      <c r="C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</row>
    <row r="60" spans="1:17" s="9" customFormat="1" x14ac:dyDescent="0.3">
      <c r="A60" s="22"/>
      <c r="B60" s="16" t="s">
        <v>293</v>
      </c>
      <c r="C60" s="23"/>
      <c r="D60" s="3">
        <f>0</f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2">
        <f>SUM(OSRRefD23_0x)+IFERROR(SUM(OSRRefE23_0x),0)</f>
        <v>0</v>
      </c>
    </row>
    <row r="61" spans="1:17" x14ac:dyDescent="0.3">
      <c r="A61" s="5"/>
      <c r="B61" s="6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</row>
    <row r="62" spans="1:17" s="15" customFormat="1" x14ac:dyDescent="0.3">
      <c r="A62" s="6"/>
      <c r="B62" s="17" t="s">
        <v>276</v>
      </c>
      <c r="C62" s="17"/>
      <c r="D62" s="8">
        <f t="shared" ref="D62:O62" si="3">IFERROR(+D17-D20+D60, 0)</f>
        <v>-763</v>
      </c>
      <c r="E62" s="8">
        <f t="shared" si="3"/>
        <v>9413.3678</v>
      </c>
      <c r="F62" s="8">
        <f t="shared" si="3"/>
        <v>22244.384399999999</v>
      </c>
      <c r="G62" s="8">
        <f t="shared" si="3"/>
        <v>19929.980499999998</v>
      </c>
      <c r="H62" s="8">
        <f t="shared" si="3"/>
        <v>11561.384399999999</v>
      </c>
      <c r="I62" s="8">
        <f t="shared" si="3"/>
        <v>191.384399999999</v>
      </c>
      <c r="J62" s="8">
        <f t="shared" si="3"/>
        <v>6862.9391350000005</v>
      </c>
      <c r="K62" s="8">
        <f t="shared" si="3"/>
        <v>17288.151308</v>
      </c>
      <c r="L62" s="8">
        <f t="shared" si="3"/>
        <v>7250.1513080000004</v>
      </c>
      <c r="M62" s="8">
        <f t="shared" si="3"/>
        <v>5485.9391350000005</v>
      </c>
      <c r="N62" s="8">
        <f t="shared" si="3"/>
        <v>-3976.8486919999996</v>
      </c>
      <c r="O62" s="8">
        <f t="shared" si="3"/>
        <v>-10178.186454000001</v>
      </c>
      <c r="Q62" s="8">
        <f>IFERROR(+Q17-Q20+Q60, 0)</f>
        <v>85309.647239999991</v>
      </c>
    </row>
    <row r="63" spans="1:17" s="6" customFormat="1" x14ac:dyDescent="0.3">
      <c r="B63" s="16"/>
      <c r="C63" s="16"/>
      <c r="D63" s="4">
        <f t="shared" ref="D63:O63" si="4">IFERROR(D62/D10, 0)</f>
        <v>0</v>
      </c>
      <c r="E63" s="4">
        <f t="shared" si="4"/>
        <v>0.18110989302755118</v>
      </c>
      <c r="F63" s="4">
        <f t="shared" si="4"/>
        <v>0.29578331759856391</v>
      </c>
      <c r="G63" s="4">
        <f t="shared" si="4"/>
        <v>0.27661319222761965</v>
      </c>
      <c r="H63" s="4">
        <f t="shared" si="4"/>
        <v>0.2398080189168447</v>
      </c>
      <c r="I63" s="4">
        <f t="shared" si="4"/>
        <v>8.6341423802219174E-3</v>
      </c>
      <c r="J63" s="4">
        <f t="shared" si="4"/>
        <v>0.13491397776641964</v>
      </c>
      <c r="K63" s="4">
        <f t="shared" si="4"/>
        <v>0.26790044176532574</v>
      </c>
      <c r="L63" s="4">
        <f t="shared" si="4"/>
        <v>0.19451483132562447</v>
      </c>
      <c r="M63" s="4">
        <f t="shared" si="4"/>
        <v>0.14232187866445287</v>
      </c>
      <c r="N63" s="4">
        <f t="shared" si="4"/>
        <v>-0.29791360341598616</v>
      </c>
      <c r="O63" s="4">
        <f t="shared" si="4"/>
        <v>-7.9891573422292002</v>
      </c>
      <c r="P63" s="18"/>
      <c r="Q63" s="4">
        <f>IFERROR(Q62/Q10, 0)</f>
        <v>0.17942889433401127</v>
      </c>
    </row>
    <row r="64" spans="1:17" x14ac:dyDescent="0.3">
      <c r="A64" s="5"/>
      <c r="B64" s="6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</row>
    <row r="65" spans="1:17" s="15" customFormat="1" x14ac:dyDescent="0.3">
      <c r="A65" s="25"/>
      <c r="B65" s="6" t="s">
        <v>125</v>
      </c>
      <c r="C65" s="6"/>
      <c r="D65" s="3"/>
      <c r="E65" s="3">
        <v>5229</v>
      </c>
      <c r="F65" s="3">
        <v>7981</v>
      </c>
      <c r="G65" s="3">
        <v>9115</v>
      </c>
      <c r="H65" s="3">
        <v>8047</v>
      </c>
      <c r="I65" s="3">
        <v>3984</v>
      </c>
      <c r="J65" s="3">
        <v>5238</v>
      </c>
      <c r="K65" s="3">
        <v>6905</v>
      </c>
      <c r="L65" s="3">
        <v>4359</v>
      </c>
      <c r="M65" s="3">
        <v>5265</v>
      </c>
      <c r="N65" s="3">
        <v>2094</v>
      </c>
      <c r="O65" s="3">
        <v>-4892</v>
      </c>
      <c r="Q65" s="2">
        <f>SUM(OSRRefD28_0x)+IFERROR(SUM(OSRRefE28_0x),0)</f>
        <v>53325</v>
      </c>
    </row>
    <row r="66" spans="1:17" x14ac:dyDescent="0.3">
      <c r="A66" s="5"/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</row>
    <row r="67" spans="1:17" s="15" customFormat="1" ht="15" thickBot="1" x14ac:dyDescent="0.35">
      <c r="A67" s="6"/>
      <c r="B67" s="17" t="s">
        <v>124</v>
      </c>
      <c r="C67" s="17"/>
      <c r="D67" s="7">
        <f t="shared" ref="D67:O67" si="5">IFERROR(+D62-D65, 0)</f>
        <v>-763</v>
      </c>
      <c r="E67" s="7">
        <f t="shared" si="5"/>
        <v>4184.3678</v>
      </c>
      <c r="F67" s="7">
        <f t="shared" si="5"/>
        <v>14263.384399999999</v>
      </c>
      <c r="G67" s="7">
        <f t="shared" si="5"/>
        <v>10814.980499999998</v>
      </c>
      <c r="H67" s="7">
        <f t="shared" si="5"/>
        <v>3514.384399999999</v>
      </c>
      <c r="I67" s="7">
        <f t="shared" si="5"/>
        <v>-3792.615600000001</v>
      </c>
      <c r="J67" s="7">
        <f t="shared" si="5"/>
        <v>1624.9391350000005</v>
      </c>
      <c r="K67" s="7">
        <f t="shared" si="5"/>
        <v>10383.151308</v>
      </c>
      <c r="L67" s="7">
        <f t="shared" si="5"/>
        <v>2891.1513080000004</v>
      </c>
      <c r="M67" s="7">
        <f t="shared" si="5"/>
        <v>220.93913500000053</v>
      </c>
      <c r="N67" s="7">
        <f t="shared" si="5"/>
        <v>-6070.8486919999996</v>
      </c>
      <c r="O67" s="7">
        <f t="shared" si="5"/>
        <v>-5286.1864540000006</v>
      </c>
      <c r="Q67" s="7">
        <f>IFERROR(+Q62-Q65, 0)</f>
        <v>31984.647239999991</v>
      </c>
    </row>
    <row r="68" spans="1:17" ht="15" thickTop="1" x14ac:dyDescent="0.3">
      <c r="A68" s="5"/>
      <c r="B68" s="5"/>
      <c r="C68" s="5"/>
      <c r="D68" s="4">
        <f t="shared" ref="D68:O68" si="6">IFERROR(D67/D10, 0)</f>
        <v>0</v>
      </c>
      <c r="E68" s="4">
        <f t="shared" si="6"/>
        <v>8.0505768046790827E-2</v>
      </c>
      <c r="F68" s="4">
        <f t="shared" si="6"/>
        <v>0.18966005451765175</v>
      </c>
      <c r="G68" s="4">
        <f t="shared" si="6"/>
        <v>0.15010382373351835</v>
      </c>
      <c r="H68" s="4">
        <f t="shared" si="6"/>
        <v>7.2895903424529646E-2</v>
      </c>
      <c r="I68" s="4">
        <f t="shared" si="6"/>
        <v>-0.17110058648380408</v>
      </c>
      <c r="J68" s="4">
        <f t="shared" si="6"/>
        <v>3.1943602881912371E-2</v>
      </c>
      <c r="K68" s="4">
        <f t="shared" si="6"/>
        <v>0.16089926405504246</v>
      </c>
      <c r="L68" s="4">
        <f t="shared" si="6"/>
        <v>7.7566906554342299E-2</v>
      </c>
      <c r="M68" s="4">
        <f t="shared" si="6"/>
        <v>5.731830410418734E-3</v>
      </c>
      <c r="N68" s="4">
        <f t="shared" si="6"/>
        <v>-0.45477928623866953</v>
      </c>
      <c r="O68" s="4">
        <f t="shared" si="6"/>
        <v>-4.1492829309262174</v>
      </c>
      <c r="P68" s="18"/>
      <c r="Q68" s="4">
        <f>IFERROR(Q67/Q10, 0)</f>
        <v>6.7272226244134495E-2</v>
      </c>
    </row>
    <row r="69" spans="1:17" x14ac:dyDescent="0.3">
      <c r="A69" s="5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</row>
    <row r="70" spans="1:17" x14ac:dyDescent="0.3">
      <c r="A70" s="5"/>
      <c r="B70" s="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1:17" s="15" customFormat="1" ht="15" thickBot="1" x14ac:dyDescent="0.35">
      <c r="A71" s="6"/>
      <c r="B71" s="17" t="s">
        <v>294</v>
      </c>
      <c r="C71" s="17"/>
      <c r="D71" s="7">
        <f t="shared" ref="D71:O71" si="7">IFERROR(SUM(D67:D70), 0)</f>
        <v>-763</v>
      </c>
      <c r="E71" s="7">
        <f t="shared" si="7"/>
        <v>4184.4483057680463</v>
      </c>
      <c r="F71" s="7">
        <f t="shared" si="7"/>
        <v>14263.574060054516</v>
      </c>
      <c r="G71" s="7">
        <f t="shared" si="7"/>
        <v>10815.130603823731</v>
      </c>
      <c r="H71" s="7">
        <f t="shared" si="7"/>
        <v>3514.4572959034235</v>
      </c>
      <c r="I71" s="7">
        <f t="shared" si="7"/>
        <v>-3792.7867005864846</v>
      </c>
      <c r="J71" s="7">
        <f t="shared" si="7"/>
        <v>1624.9710786028825</v>
      </c>
      <c r="K71" s="7">
        <f t="shared" si="7"/>
        <v>10383.312207264056</v>
      </c>
      <c r="L71" s="7">
        <f t="shared" si="7"/>
        <v>2891.2288749065547</v>
      </c>
      <c r="M71" s="7">
        <f t="shared" si="7"/>
        <v>220.94486683041094</v>
      </c>
      <c r="N71" s="7">
        <f t="shared" si="7"/>
        <v>-6071.3034712862382</v>
      </c>
      <c r="O71" s="7">
        <f t="shared" si="7"/>
        <v>-5290.3357369309269</v>
      </c>
      <c r="Q71" s="7">
        <f>IFERROR(SUM(Q67:Q70), 0)</f>
        <v>31984.714512226234</v>
      </c>
    </row>
    <row r="72" spans="1:17" ht="15" thickTop="1" x14ac:dyDescent="0.3">
      <c r="A72" s="5"/>
      <c r="C72" s="5"/>
      <c r="D72" s="4">
        <f t="shared" ref="D72:O72" si="8">IFERROR(D71/D10, 0)</f>
        <v>0</v>
      </c>
      <c r="E72" s="4">
        <f t="shared" si="8"/>
        <v>8.0507316949516058E-2</v>
      </c>
      <c r="F72" s="4">
        <f t="shared" si="8"/>
        <v>0.18966257642516476</v>
      </c>
      <c r="G72" s="4">
        <f t="shared" si="8"/>
        <v>0.15010590706209204</v>
      </c>
      <c r="H72" s="4">
        <f t="shared" si="8"/>
        <v>7.2897415442604876E-2</v>
      </c>
      <c r="I72" s="4">
        <f t="shared" si="8"/>
        <v>-0.17110830553940651</v>
      </c>
      <c r="J72" s="4">
        <f t="shared" si="8"/>
        <v>3.1944230840057451E-2</v>
      </c>
      <c r="K72" s="4">
        <f t="shared" si="8"/>
        <v>0.16090175738027732</v>
      </c>
      <c r="L72" s="4">
        <f t="shared" si="8"/>
        <v>7.7568987602461698E-2</v>
      </c>
      <c r="M72" s="4">
        <f t="shared" si="8"/>
        <v>5.7319791114619142E-3</v>
      </c>
      <c r="N72" s="4">
        <f t="shared" si="8"/>
        <v>-0.45481335465474854</v>
      </c>
      <c r="O72" s="4">
        <f t="shared" si="8"/>
        <v>-4.1525398249065359</v>
      </c>
      <c r="P72" s="18"/>
      <c r="Q72" s="4">
        <f>IFERROR(Q71/Q10, 0)</f>
        <v>6.7272367735531594E-2</v>
      </c>
    </row>
    <row r="73" spans="1:17" x14ac:dyDescent="0.3">
      <c r="A73" s="5"/>
      <c r="B73" s="30">
        <v>44462.678403437501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Q73" s="11"/>
    </row>
    <row r="74" spans="1:17" x14ac:dyDescent="0.3">
      <c r="A74" s="5"/>
      <c r="B74" s="31" t="s">
        <v>54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Q74" s="11"/>
    </row>
    <row r="75" spans="1:17" x14ac:dyDescent="0.3">
      <c r="A75" s="5"/>
      <c r="B75" s="2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 s="11"/>
    </row>
    <row r="76" spans="1:17" x14ac:dyDescent="0.3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Q7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  <outlinePr summaryBelow="0" summaryRight="0"/>
    <pageSetUpPr fitToPage="1"/>
  </sheetPr>
  <dimension ref="A2:R76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","307", " - ", "Art Store")</f>
        <v>Department 307 - Art Store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51976</v>
      </c>
      <c r="F10" s="3">
        <f>SUM(OSRRefE11x_1)</f>
        <v>75205</v>
      </c>
      <c r="G10" s="3">
        <f>SUM(OSRRefE11x_2)</f>
        <v>72050</v>
      </c>
      <c r="H10" s="3">
        <f>SUM(OSRRefE11x_3)</f>
        <v>48211</v>
      </c>
      <c r="I10" s="3">
        <f>SUM(OSRRefE11x_4)</f>
        <v>22166</v>
      </c>
      <c r="J10" s="3">
        <f>SUM(OSRRefE11x_5)</f>
        <v>50869</v>
      </c>
      <c r="K10" s="3">
        <f>SUM(OSRRefE11x_6)</f>
        <v>64532</v>
      </c>
      <c r="L10" s="3">
        <f>SUM(OSRRefE11x_7)</f>
        <v>37273</v>
      </c>
      <c r="M10" s="3">
        <f>SUM(OSRRefE11x_8)</f>
        <v>38546</v>
      </c>
      <c r="N10" s="3">
        <f>SUM(OSRRefE11x_9)</f>
        <v>13349</v>
      </c>
      <c r="O10" s="3">
        <f>SUM(OSRRefE11x_10)</f>
        <v>1274</v>
      </c>
      <c r="P10" s="24"/>
      <c r="Q10" s="3">
        <f>SUM(OSRRefG11x)</f>
        <v>475451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46162</v>
      </c>
      <c r="F11" s="2">
        <v>50461</v>
      </c>
      <c r="G11" s="2">
        <v>42591</v>
      </c>
      <c r="H11" s="2">
        <v>29226</v>
      </c>
      <c r="I11" s="2">
        <v>12827</v>
      </c>
      <c r="J11" s="2">
        <v>41593</v>
      </c>
      <c r="K11" s="2">
        <v>41299</v>
      </c>
      <c r="L11" s="2">
        <v>16932</v>
      </c>
      <c r="M11" s="2">
        <v>18353</v>
      </c>
      <c r="N11" s="2">
        <v>6188</v>
      </c>
      <c r="O11" s="2">
        <v>1274</v>
      </c>
      <c r="Q11" s="2">
        <f>SUM(OSRRefD11_0x)+IFERROR(SUM(OSRRefE11_0x),0)</f>
        <v>306906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5814</v>
      </c>
      <c r="F12" s="2">
        <v>24744</v>
      </c>
      <c r="G12" s="2">
        <v>29459</v>
      </c>
      <c r="H12" s="2">
        <v>18985</v>
      </c>
      <c r="I12" s="2">
        <v>9339</v>
      </c>
      <c r="J12" s="2">
        <v>9276</v>
      </c>
      <c r="K12" s="2">
        <v>23233</v>
      </c>
      <c r="L12" s="2">
        <v>20341</v>
      </c>
      <c r="M12" s="2">
        <v>20193</v>
      </c>
      <c r="N12" s="2">
        <v>7161</v>
      </c>
      <c r="O12" s="2">
        <v>0</v>
      </c>
      <c r="Q12" s="2">
        <f>SUM(OSRRefD11_1x)+IFERROR(SUM(OSRRefE11_1x),0)</f>
        <v>168545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31602</v>
      </c>
      <c r="F14" s="3">
        <f>SUM(OSRRefE14x_1)</f>
        <v>42088</v>
      </c>
      <c r="G14" s="3">
        <f>SUM(OSRRefE14x_2)</f>
        <v>39169</v>
      </c>
      <c r="H14" s="3">
        <f>SUM(OSRRefE14x_3)</f>
        <v>26289</v>
      </c>
      <c r="I14" s="3">
        <f>SUM(OSRRefE14x_4)</f>
        <v>12089</v>
      </c>
      <c r="J14" s="3">
        <f>SUM(OSRRefE14x_5)</f>
        <v>30632</v>
      </c>
      <c r="K14" s="3">
        <f>SUM(OSRRefE14x_6)</f>
        <v>35964</v>
      </c>
      <c r="L14" s="3">
        <f>SUM(OSRRefE14x_7)</f>
        <v>19274</v>
      </c>
      <c r="M14" s="3">
        <f>SUM(OSRRefE14x_8)</f>
        <v>19985</v>
      </c>
      <c r="N14" s="3">
        <f>SUM(OSRRefE14x_9)</f>
        <v>7003</v>
      </c>
      <c r="O14" s="3">
        <f>SUM(OSRRefE14x_10)</f>
        <v>836</v>
      </c>
      <c r="Q14" s="3">
        <f>SUM(OSRRefG14x)</f>
        <v>264931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31602</v>
      </c>
      <c r="F15" s="2">
        <v>42088</v>
      </c>
      <c r="G15" s="2">
        <v>39169</v>
      </c>
      <c r="H15" s="2">
        <v>26289</v>
      </c>
      <c r="I15" s="2">
        <v>12089</v>
      </c>
      <c r="J15" s="2">
        <v>30632</v>
      </c>
      <c r="K15" s="2">
        <v>35964</v>
      </c>
      <c r="L15" s="2">
        <v>19274</v>
      </c>
      <c r="M15" s="2">
        <v>19985</v>
      </c>
      <c r="N15" s="2">
        <v>7003</v>
      </c>
      <c r="O15" s="2">
        <v>836</v>
      </c>
      <c r="Q15" s="2">
        <f>SUM(OSRRefD14_0x)+IFERROR(SUM(OSRRefE14_0x),0)</f>
        <v>264931</v>
      </c>
    </row>
    <row r="16" spans="1:18" x14ac:dyDescent="0.3">
      <c r="A16" s="5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15" customFormat="1" x14ac:dyDescent="0.3">
      <c r="A17" s="6"/>
      <c r="B17" s="17" t="s">
        <v>105</v>
      </c>
      <c r="C17" s="17"/>
      <c r="D17" s="8">
        <f t="shared" ref="D17:O17" si="1">IFERROR(+D10-D14, 0)</f>
        <v>0</v>
      </c>
      <c r="E17" s="8">
        <f t="shared" si="1"/>
        <v>20374</v>
      </c>
      <c r="F17" s="8">
        <f t="shared" si="1"/>
        <v>33117</v>
      </c>
      <c r="G17" s="8">
        <f t="shared" si="1"/>
        <v>32881</v>
      </c>
      <c r="H17" s="8">
        <f t="shared" si="1"/>
        <v>21922</v>
      </c>
      <c r="I17" s="8">
        <f t="shared" si="1"/>
        <v>10077</v>
      </c>
      <c r="J17" s="8">
        <f t="shared" si="1"/>
        <v>20237</v>
      </c>
      <c r="K17" s="8">
        <f t="shared" si="1"/>
        <v>28568</v>
      </c>
      <c r="L17" s="8">
        <f t="shared" si="1"/>
        <v>17999</v>
      </c>
      <c r="M17" s="8">
        <f t="shared" si="1"/>
        <v>18561</v>
      </c>
      <c r="N17" s="8">
        <f t="shared" si="1"/>
        <v>6346</v>
      </c>
      <c r="O17" s="8">
        <f t="shared" si="1"/>
        <v>438</v>
      </c>
      <c r="Q17" s="8">
        <f>IFERROR(+Q10-Q14, 0)</f>
        <v>210520</v>
      </c>
    </row>
    <row r="18" spans="1:17" s="6" customFormat="1" x14ac:dyDescent="0.3">
      <c r="B18" s="16"/>
      <c r="C18" s="16"/>
      <c r="D18" s="4">
        <f t="shared" ref="D18:O18" si="2">IFERROR(D17/D10, 0)</f>
        <v>0</v>
      </c>
      <c r="E18" s="4">
        <f t="shared" si="2"/>
        <v>0.39198861012775127</v>
      </c>
      <c r="F18" s="4">
        <f t="shared" si="2"/>
        <v>0.44035635928462202</v>
      </c>
      <c r="G18" s="4">
        <f t="shared" si="2"/>
        <v>0.45636363636363636</v>
      </c>
      <c r="H18" s="4">
        <f t="shared" si="2"/>
        <v>0.45470950612930661</v>
      </c>
      <c r="I18" s="4">
        <f t="shared" si="2"/>
        <v>0.45461517639628257</v>
      </c>
      <c r="J18" s="4">
        <f t="shared" si="2"/>
        <v>0.39782578780789873</v>
      </c>
      <c r="K18" s="4">
        <f t="shared" si="2"/>
        <v>0.44269509700613652</v>
      </c>
      <c r="L18" s="4">
        <f t="shared" si="2"/>
        <v>0.48289646661121993</v>
      </c>
      <c r="M18" s="4">
        <f t="shared" si="2"/>
        <v>0.481528563275048</v>
      </c>
      <c r="N18" s="4">
        <f t="shared" si="2"/>
        <v>0.47539141508727245</v>
      </c>
      <c r="O18" s="4">
        <f t="shared" si="2"/>
        <v>0.34379905808477235</v>
      </c>
      <c r="P18" s="18"/>
      <c r="Q18" s="4">
        <f>IFERROR(Q17/Q10, 0)</f>
        <v>0.4427795924290831</v>
      </c>
    </row>
    <row r="19" spans="1:17" x14ac:dyDescent="0.3">
      <c r="A19" s="5"/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s="15" customFormat="1" x14ac:dyDescent="0.3">
      <c r="A20" s="6"/>
      <c r="B20" s="16" t="s">
        <v>255</v>
      </c>
      <c r="C20" s="6"/>
      <c r="D20" s="13">
        <f>SUM(OSRRefD20x_0)</f>
        <v>763</v>
      </c>
      <c r="E20" s="13">
        <f>SUM(OSRRefE20x_0)</f>
        <v>10960.6322</v>
      </c>
      <c r="F20" s="13">
        <f>SUM(OSRRefE20x_1)</f>
        <v>10872.615600000001</v>
      </c>
      <c r="G20" s="13">
        <f>SUM(OSRRefE20x_2)</f>
        <v>12951.0195</v>
      </c>
      <c r="H20" s="13">
        <f>SUM(OSRRefE20x_3)</f>
        <v>10360.615600000001</v>
      </c>
      <c r="I20" s="13">
        <f>SUM(OSRRefE20x_4)</f>
        <v>9885.615600000001</v>
      </c>
      <c r="J20" s="13">
        <f>SUM(OSRRefE20x_5)</f>
        <v>13374.060864999999</v>
      </c>
      <c r="K20" s="13">
        <f>SUM(OSRRefE20x_6)</f>
        <v>11279.848692</v>
      </c>
      <c r="L20" s="13">
        <f>SUM(OSRRefE20x_7)</f>
        <v>10748.848692</v>
      </c>
      <c r="M20" s="13">
        <f>SUM(OSRRefE20x_8)</f>
        <v>13075.060864999999</v>
      </c>
      <c r="N20" s="13">
        <f>SUM(OSRRefE20x_9)</f>
        <v>10322.848692</v>
      </c>
      <c r="O20" s="13">
        <f>SUM(OSRRefE20x_10)</f>
        <v>10616.186454000001</v>
      </c>
      <c r="Q20" s="13">
        <f>SUM(OSRRefG20x)</f>
        <v>125210.35276000001</v>
      </c>
    </row>
    <row r="21" spans="1:17" s="34" customFormat="1" collapsed="1" x14ac:dyDescent="0.3">
      <c r="A21" s="35"/>
      <c r="B21" s="14" t="str">
        <f>CONCATENATE("     ","*Benefits                                         ")</f>
        <v xml:space="preserve">     *Benefits                                         </v>
      </c>
      <c r="C21" s="14"/>
      <c r="D21" s="1">
        <f>SUM(OSRRefD21_0x_0)</f>
        <v>0</v>
      </c>
      <c r="E21" s="1">
        <f>SUM(OSRRefE21_0x_0)</f>
        <v>1049.6322</v>
      </c>
      <c r="F21" s="1">
        <f>SUM(OSRRefE21_0x_1)</f>
        <v>573.61560000000009</v>
      </c>
      <c r="G21" s="1">
        <f>SUM(OSRRefE21_0x_2)</f>
        <v>717.01949999999999</v>
      </c>
      <c r="H21" s="1">
        <f>SUM(OSRRefE21_0x_3)</f>
        <v>573.61560000000009</v>
      </c>
      <c r="I21" s="1">
        <f>SUM(OSRRefE21_0x_4)</f>
        <v>573.61560000000009</v>
      </c>
      <c r="J21" s="1">
        <f>SUM(OSRRefE21_0x_5)</f>
        <v>767.21086500000001</v>
      </c>
      <c r="K21" s="1">
        <f>SUM(OSRRefE21_0x_6)</f>
        <v>613.76869199999999</v>
      </c>
      <c r="L21" s="1">
        <f>SUM(OSRRefE21_0x_7)</f>
        <v>613.76869199999999</v>
      </c>
      <c r="M21" s="1">
        <f>SUM(OSRRefE21_0x_8)</f>
        <v>767.21086500000001</v>
      </c>
      <c r="N21" s="1">
        <f>SUM(OSRRefE21_0x_9)</f>
        <v>613.76869199999999</v>
      </c>
      <c r="O21" s="1">
        <f>SUM(OSRRefE21_0x_10)</f>
        <v>1123.106454</v>
      </c>
      <c r="Q21" s="2">
        <f>SUM(OSRRefD20_0x)+IFERROR(SUM(OSRRefE20_0x),0)</f>
        <v>7986.3327599999993</v>
      </c>
    </row>
    <row r="22" spans="1:17" s="34" customFormat="1" hidden="1" outlineLevel="1" x14ac:dyDescent="0.3">
      <c r="A22" s="35"/>
      <c r="B22" s="10" t="str">
        <f>CONCATENATE("          ","6111", " - ","F.I.C.A.")</f>
        <v xml:space="preserve">          6111 - F.I.C.A.</v>
      </c>
      <c r="C22" s="14"/>
      <c r="D22" s="2"/>
      <c r="E22" s="2">
        <v>622.95420000000001</v>
      </c>
      <c r="F22" s="2">
        <v>146.9376</v>
      </c>
      <c r="G22" s="2">
        <v>183.672</v>
      </c>
      <c r="H22" s="2">
        <v>146.9376</v>
      </c>
      <c r="I22" s="2">
        <v>146.9376</v>
      </c>
      <c r="J22" s="2">
        <v>196.52904000000001</v>
      </c>
      <c r="K22" s="2">
        <v>157.223232</v>
      </c>
      <c r="L22" s="2">
        <v>157.223232</v>
      </c>
      <c r="M22" s="2">
        <v>196.52904000000001</v>
      </c>
      <c r="N22" s="2">
        <v>157.223232</v>
      </c>
      <c r="O22" s="2">
        <v>666.56099400000005</v>
      </c>
      <c r="P22" s="9"/>
      <c r="Q22" s="2">
        <f>SUM(OSRRefD21_0_0x)+IFERROR(SUM(OSRRefE21_0_0x),0)</f>
        <v>2778.72777</v>
      </c>
    </row>
    <row r="23" spans="1:17" s="34" customFormat="1" hidden="1" outlineLevel="1" x14ac:dyDescent="0.3">
      <c r="A23" s="35"/>
      <c r="B23" s="10" t="str">
        <f>CONCATENATE("          ","6112", " - ","COMPENSATION INSURANCE")</f>
        <v xml:space="preserve">          6112 - COMPENSATION INSURANCE</v>
      </c>
      <c r="C23" s="14"/>
      <c r="D23" s="2"/>
      <c r="E23" s="2">
        <v>126.98399999999999</v>
      </c>
      <c r="F23" s="2">
        <v>126.98399999999999</v>
      </c>
      <c r="G23" s="2">
        <v>158.72999999999999</v>
      </c>
      <c r="H23" s="2">
        <v>126.98399999999999</v>
      </c>
      <c r="I23" s="2">
        <v>126.98399999999999</v>
      </c>
      <c r="J23" s="2">
        <v>169.84110000000001</v>
      </c>
      <c r="K23" s="2">
        <v>135.87288000000001</v>
      </c>
      <c r="L23" s="2">
        <v>135.87288000000001</v>
      </c>
      <c r="M23" s="2">
        <v>169.84110000000001</v>
      </c>
      <c r="N23" s="2">
        <v>135.87288000000001</v>
      </c>
      <c r="O23" s="2">
        <v>135.87288000000001</v>
      </c>
      <c r="P23" s="9"/>
      <c r="Q23" s="2">
        <f>SUM(OSRRefD21_0_1x)+IFERROR(SUM(OSRRefE21_0_1x),0)</f>
        <v>1549.8397199999999</v>
      </c>
    </row>
    <row r="24" spans="1:17" s="34" customFormat="1" hidden="1" outlineLevel="1" x14ac:dyDescent="0.3">
      <c r="A24" s="35"/>
      <c r="B24" s="10" t="str">
        <f>CONCATENATE("          ","6113", " - ","GROUP INSURANCE")</f>
        <v xml:space="preserve">          6113 - GROUP INSURANCE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SUM(OSRRefD21_0_2x)+IFERROR(SUM(OSRRefE21_0_2x),0)</f>
        <v>0</v>
      </c>
    </row>
    <row r="25" spans="1:17" s="34" customFormat="1" hidden="1" outlineLevel="1" x14ac:dyDescent="0.3">
      <c r="A25" s="35"/>
      <c r="B25" s="10" t="str">
        <f>CONCATENATE("          ","6114", " - ","STATE UNEMPLOYMENT INSURANCE")</f>
        <v xml:space="preserve">          6114 - STATE UNEMPLOYMENT INSURANCE</v>
      </c>
      <c r="C25" s="14"/>
      <c r="D25" s="2"/>
      <c r="E25" s="2">
        <v>17.094000000000001</v>
      </c>
      <c r="F25" s="2">
        <v>17.094000000000001</v>
      </c>
      <c r="G25" s="2">
        <v>21.3675</v>
      </c>
      <c r="H25" s="2">
        <v>17.094000000000001</v>
      </c>
      <c r="I25" s="2">
        <v>17.094000000000001</v>
      </c>
      <c r="J25" s="2">
        <v>22.863225</v>
      </c>
      <c r="K25" s="2">
        <v>18.290579999999999</v>
      </c>
      <c r="L25" s="2">
        <v>18.290579999999999</v>
      </c>
      <c r="M25" s="2">
        <v>22.863225</v>
      </c>
      <c r="N25" s="2">
        <v>18.290579999999999</v>
      </c>
      <c r="O25" s="2">
        <v>18.290579999999999</v>
      </c>
      <c r="P25" s="9"/>
      <c r="Q25" s="2">
        <f>SUM(OSRRefD21_0_3x)+IFERROR(SUM(OSRRefE21_0_3x),0)</f>
        <v>208.63227000000003</v>
      </c>
    </row>
    <row r="26" spans="1:17" s="34" customFormat="1" hidden="1" outlineLevel="1" x14ac:dyDescent="0.3">
      <c r="A26" s="35"/>
      <c r="B26" s="10" t="str">
        <f>CONCATENATE("          ","6115", " - ","P.E.R.S.")</f>
        <v xml:space="preserve">          6115 - P.E.R.S.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9"/>
      <c r="Q26" s="2">
        <f>SUM(OSRRefD21_0_4x)+IFERROR(SUM(OSRRefE21_0_4x),0)</f>
        <v>0</v>
      </c>
    </row>
    <row r="27" spans="1:17" s="34" customFormat="1" hidden="1" outlineLevel="1" x14ac:dyDescent="0.3">
      <c r="A27" s="35"/>
      <c r="B27" s="10" t="str">
        <f>CONCATENATE("          ","6116", " - ","EDUCATIONAL BENEFITS")</f>
        <v xml:space="preserve">          6116 - EDUCATIONAL BENEFITS</v>
      </c>
      <c r="C27" s="14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9"/>
      <c r="Q27" s="2">
        <f>SUM(OSRRefD21_0_5x)+IFERROR(SUM(OSRRefE21_0_5x),0)</f>
        <v>0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SUM(OSRRefD21_0_6x)+IFERROR(SUM(OSRRefE21_0_6x),0)</f>
        <v>0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/>
      <c r="E29" s="2">
        <v>282.60000000000002</v>
      </c>
      <c r="F29" s="2">
        <v>282.60000000000002</v>
      </c>
      <c r="G29" s="2">
        <v>353.25</v>
      </c>
      <c r="H29" s="2">
        <v>282.60000000000002</v>
      </c>
      <c r="I29" s="2">
        <v>282.60000000000002</v>
      </c>
      <c r="J29" s="2">
        <v>377.97750000000002</v>
      </c>
      <c r="K29" s="2">
        <v>302.38200000000001</v>
      </c>
      <c r="L29" s="2">
        <v>302.38200000000001</v>
      </c>
      <c r="M29" s="2">
        <v>377.97750000000002</v>
      </c>
      <c r="N29" s="2">
        <v>302.38200000000001</v>
      </c>
      <c r="O29" s="2">
        <v>302.38200000000001</v>
      </c>
      <c r="P29" s="9"/>
      <c r="Q29" s="2">
        <f>SUM(OSRRefD21_0_7x)+IFERROR(SUM(OSRRefE21_0_7x),0)</f>
        <v>3449.1330000000003</v>
      </c>
    </row>
    <row r="30" spans="1:17" s="34" customFormat="1" collapsed="1" x14ac:dyDescent="0.3">
      <c r="A30" s="35"/>
      <c r="B30" s="14" t="str">
        <f>CONCATENATE("     ","*Payroll                                          ")</f>
        <v xml:space="preserve">     *Payroll                                          </v>
      </c>
      <c r="C30" s="14"/>
      <c r="D30" s="1">
        <f>SUM(OSRRefD21_1x_0)</f>
        <v>0</v>
      </c>
      <c r="E30" s="1">
        <f>SUM(OSRRefE21_1x_0)</f>
        <v>8044</v>
      </c>
      <c r="F30" s="1">
        <f>SUM(OSRRefE21_1x_1)</f>
        <v>8044</v>
      </c>
      <c r="G30" s="1">
        <f>SUM(OSRRefE21_1x_2)</f>
        <v>10055</v>
      </c>
      <c r="H30" s="1">
        <f>SUM(OSRRefE21_1x_3)</f>
        <v>8044</v>
      </c>
      <c r="I30" s="1">
        <f>SUM(OSRRefE21_1x_4)</f>
        <v>8044</v>
      </c>
      <c r="J30" s="1">
        <f>SUM(OSRRefE21_1x_5)</f>
        <v>10758.85</v>
      </c>
      <c r="K30" s="1">
        <f>SUM(OSRRefE21_1x_6)</f>
        <v>8607.08</v>
      </c>
      <c r="L30" s="1">
        <f>SUM(OSRRefE21_1x_7)</f>
        <v>8607.08</v>
      </c>
      <c r="M30" s="1">
        <f>SUM(OSRRefE21_1x_8)</f>
        <v>10758.85</v>
      </c>
      <c r="N30" s="1">
        <f>SUM(OSRRefE21_1x_9)</f>
        <v>8607.08</v>
      </c>
      <c r="O30" s="1">
        <f>SUM(OSRRefE21_1x_10)</f>
        <v>8607.08</v>
      </c>
      <c r="Q30" s="2">
        <f>SUM(OSRRefD20_1x)+IFERROR(SUM(OSRRefE20_1x),0)</f>
        <v>98177.02</v>
      </c>
    </row>
    <row r="31" spans="1:17" s="34" customFormat="1" hidden="1" outlineLevel="1" x14ac:dyDescent="0.3">
      <c r="A31" s="35"/>
      <c r="B31" s="10" t="str">
        <f>CONCATENATE("          ","6001", " - ","ADMINISTRATIVE SALARIES")</f>
        <v xml:space="preserve">          6001 - ADMINISTRATIVE SALARIES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SUM(OSRRefD21_1_0x)+IFERROR(SUM(OSRRefE21_1_0x),0)</f>
        <v>0</v>
      </c>
    </row>
    <row r="32" spans="1:17" s="34" customFormat="1" hidden="1" outlineLevel="1" x14ac:dyDescent="0.3">
      <c r="A32" s="35"/>
      <c r="B32" s="10" t="str">
        <f>CONCATENATE("          ","6002", " - ","STAFF SALARIES")</f>
        <v xml:space="preserve">          6002 - STAFF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SUM(OSRRefD21_1_1x)+IFERROR(SUM(OSRRefE21_1_1x),0)</f>
        <v>0</v>
      </c>
    </row>
    <row r="33" spans="1:17" s="34" customFormat="1" hidden="1" outlineLevel="1" x14ac:dyDescent="0.3">
      <c r="A33" s="35"/>
      <c r="B33" s="10" t="str">
        <f>CONCATENATE("          ","6003", " - ","STAFF HOURLY-9 MONTH")</f>
        <v xml:space="preserve">          6003 - STAFF HOURLY-9 MONTH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SUM(OSRRefD21_1_2x)+IFERROR(SUM(OSRRefE21_1_2x),0)</f>
        <v>0</v>
      </c>
    </row>
    <row r="34" spans="1:17" s="34" customFormat="1" hidden="1" outlineLevel="1" x14ac:dyDescent="0.3">
      <c r="A34" s="35"/>
      <c r="B34" s="10" t="str">
        <f>CONCATENATE("          ","6004", " - ","STAFF HOURLY")</f>
        <v xml:space="preserve">          6004 - STAFF HOURLY</v>
      </c>
      <c r="C34" s="14"/>
      <c r="D34" s="2"/>
      <c r="E34" s="2">
        <v>1824</v>
      </c>
      <c r="F34" s="2">
        <v>1824</v>
      </c>
      <c r="G34" s="2">
        <v>2280</v>
      </c>
      <c r="H34" s="2">
        <v>1824</v>
      </c>
      <c r="I34" s="2">
        <v>1824</v>
      </c>
      <c r="J34" s="2">
        <v>2439.6</v>
      </c>
      <c r="K34" s="2">
        <v>1951.68</v>
      </c>
      <c r="L34" s="2">
        <v>1951.68</v>
      </c>
      <c r="M34" s="2">
        <v>2439.6</v>
      </c>
      <c r="N34" s="2">
        <v>1951.68</v>
      </c>
      <c r="O34" s="2">
        <v>1951.68</v>
      </c>
      <c r="P34" s="9"/>
      <c r="Q34" s="2">
        <f>SUM(OSRRefD21_1_3x)+IFERROR(SUM(OSRRefE21_1_3x),0)</f>
        <v>22261.920000000002</v>
      </c>
    </row>
    <row r="35" spans="1:17" s="34" customFormat="1" hidden="1" outlineLevel="1" x14ac:dyDescent="0.3">
      <c r="A35" s="35"/>
      <c r="B35" s="10" t="str">
        <f>CONCATENATE("          ","6005", " - ","TEMPORARY WAGES-HOURLY")</f>
        <v xml:space="preserve">          6005 - TEMPORARY WAGES-HOURLY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SUM(OSRRefD21_1_4x)+IFERROR(SUM(OSRRefE21_1_4x),0)</f>
        <v>0</v>
      </c>
    </row>
    <row r="36" spans="1:17" s="34" customFormat="1" hidden="1" outlineLevel="1" x14ac:dyDescent="0.3">
      <c r="A36" s="35"/>
      <c r="B36" s="10" t="str">
        <f>CONCATENATE("          ","6006", " - ","TEMPORARY PART TIME")</f>
        <v xml:space="preserve">          6006 - TEMPORARY PART TIME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SUM(OSRRefD21_1_5x)+IFERROR(SUM(OSRRefE21_1_5x),0)</f>
        <v>0</v>
      </c>
    </row>
    <row r="37" spans="1:17" s="34" customFormat="1" hidden="1" outlineLevel="1" x14ac:dyDescent="0.3">
      <c r="A37" s="35"/>
      <c r="B37" s="10" t="str">
        <f>CONCATENATE("          ","6007", " - ","STUDENT HOURLY")</f>
        <v xml:space="preserve">          6007 - STUDENT HOURLY</v>
      </c>
      <c r="C37" s="14"/>
      <c r="D37" s="2"/>
      <c r="E37" s="2">
        <v>6220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6655.4</v>
      </c>
      <c r="P37" s="9"/>
      <c r="Q37" s="2">
        <f>SUM(OSRRefD21_1_6x)+IFERROR(SUM(OSRRefE21_1_6x),0)</f>
        <v>12875.4</v>
      </c>
    </row>
    <row r="38" spans="1:17" s="34" customFormat="1" hidden="1" outlineLevel="1" x14ac:dyDescent="0.3">
      <c r="A38" s="35"/>
      <c r="B38" s="10" t="str">
        <f>CONCATENATE("          ","6008", " - ","STUDENT HOURLY-FICA EXEMPT")</f>
        <v xml:space="preserve">          6008 - STUDENT HOURLY-FICA EXEMPT</v>
      </c>
      <c r="C38" s="14"/>
      <c r="D38" s="2"/>
      <c r="E38" s="2">
        <v>0</v>
      </c>
      <c r="F38" s="2">
        <v>6220</v>
      </c>
      <c r="G38" s="2">
        <v>7775</v>
      </c>
      <c r="H38" s="2">
        <v>6220</v>
      </c>
      <c r="I38" s="2">
        <v>6220</v>
      </c>
      <c r="J38" s="2">
        <v>8319.25</v>
      </c>
      <c r="K38" s="2">
        <v>6655.4</v>
      </c>
      <c r="L38" s="2">
        <v>6655.4</v>
      </c>
      <c r="M38" s="2">
        <v>8319.25</v>
      </c>
      <c r="N38" s="2">
        <v>6655.4</v>
      </c>
      <c r="O38" s="2">
        <v>0</v>
      </c>
      <c r="P38" s="9"/>
      <c r="Q38" s="2">
        <f>SUM(OSRRefD21_1_7x)+IFERROR(SUM(OSRRefE21_1_7x),0)</f>
        <v>63039.700000000004</v>
      </c>
    </row>
    <row r="39" spans="1:17" s="34" customFormat="1" hidden="1" outlineLevel="1" x14ac:dyDescent="0.3">
      <c r="A39" s="35"/>
      <c r="B39" s="10" t="str">
        <f>CONCATENATE("          ","6009", " - ","TEMPORARY-SEASONAL")</f>
        <v xml:space="preserve">          6009 - TEMPORARY-SEASONAL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SUM(OSRRefD21_1_8x)+IFERROR(SUM(OSRRefE21_1_8x),0)</f>
        <v>0</v>
      </c>
    </row>
    <row r="40" spans="1:17" s="34" customFormat="1" hidden="1" outlineLevel="1" x14ac:dyDescent="0.3">
      <c r="A40" s="35"/>
      <c r="B40" s="10" t="str">
        <f>CONCATENATE("          ","6010", " - ","GRATUITY")</f>
        <v xml:space="preserve">          6010 - GRATUITY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SUM(OSRRefD21_1_9x)+IFERROR(SUM(OSRRefE21_1_9x),0)</f>
        <v>0</v>
      </c>
    </row>
    <row r="41" spans="1:17" s="34" customFormat="1" collapsed="1" x14ac:dyDescent="0.3">
      <c r="A41" s="35"/>
      <c r="B41" s="14" t="str">
        <f>CONCATENATE("     ","Advertising/Promo                                 ")</f>
        <v xml:space="preserve">     Advertising/Promo                                 </v>
      </c>
      <c r="C41" s="14"/>
      <c r="D41" s="1">
        <f>SUM(OSRRefD21_2x_0)</f>
        <v>100</v>
      </c>
      <c r="E41" s="1">
        <f>SUM(OSRRefE21_2x_0)</f>
        <v>50</v>
      </c>
      <c r="F41" s="1">
        <f>SUM(OSRRefE21_2x_1)</f>
        <v>50</v>
      </c>
      <c r="G41" s="1">
        <f>SUM(OSRRefE21_2x_2)</f>
        <v>50</v>
      </c>
      <c r="H41" s="1">
        <f>SUM(OSRRefE21_2x_3)</f>
        <v>50</v>
      </c>
      <c r="I41" s="1">
        <f>SUM(OSRRefE21_2x_4)</f>
        <v>50</v>
      </c>
      <c r="J41" s="1">
        <f>SUM(OSRRefE21_2x_5)</f>
        <v>50</v>
      </c>
      <c r="K41" s="1">
        <f>SUM(OSRRefE21_2x_6)</f>
        <v>50</v>
      </c>
      <c r="L41" s="1">
        <f>SUM(OSRRefE21_2x_7)</f>
        <v>50</v>
      </c>
      <c r="M41" s="1">
        <f>SUM(OSRRefE21_2x_8)</f>
        <v>50</v>
      </c>
      <c r="N41" s="1">
        <f>SUM(OSRRefE21_2x_9)</f>
        <v>50</v>
      </c>
      <c r="O41" s="1">
        <f>SUM(OSRRefE21_2x_10)</f>
        <v>50</v>
      </c>
      <c r="Q41" s="2">
        <f>SUM(OSRRefD20_2x)+IFERROR(SUM(OSRRefE20_2x),0)</f>
        <v>650</v>
      </c>
    </row>
    <row r="42" spans="1:17" s="34" customFormat="1" hidden="1" outlineLevel="1" x14ac:dyDescent="0.3">
      <c r="A42" s="35"/>
      <c r="B42" s="10" t="str">
        <f>CONCATENATE("          ","6362", " - ","ADVERTISING EXPENSE")</f>
        <v xml:space="preserve">          6362 - ADVERTISING EXPENSE</v>
      </c>
      <c r="C42" s="14"/>
      <c r="D42" s="2">
        <v>100</v>
      </c>
      <c r="E42" s="2">
        <v>50</v>
      </c>
      <c r="F42" s="2">
        <v>50</v>
      </c>
      <c r="G42" s="2">
        <v>50</v>
      </c>
      <c r="H42" s="2">
        <v>50</v>
      </c>
      <c r="I42" s="2">
        <v>50</v>
      </c>
      <c r="J42" s="2">
        <v>50</v>
      </c>
      <c r="K42" s="2">
        <v>50</v>
      </c>
      <c r="L42" s="2">
        <v>50</v>
      </c>
      <c r="M42" s="2">
        <v>50</v>
      </c>
      <c r="N42" s="2">
        <v>50</v>
      </c>
      <c r="O42" s="2">
        <v>50</v>
      </c>
      <c r="P42" s="9"/>
      <c r="Q42" s="2">
        <f>SUM(OSRRefD21_2_0x)+IFERROR(SUM(OSRRefE21_2_0x),0)</f>
        <v>650</v>
      </c>
    </row>
    <row r="43" spans="1:17" s="34" customFormat="1" collapsed="1" x14ac:dyDescent="0.3">
      <c r="A43" s="35"/>
      <c r="B43" s="14" t="str">
        <f>CONCATENATE("     ","Bad Debts/Over/Short                              ")</f>
        <v xml:space="preserve">     Bad Debts/Over/Short                              </v>
      </c>
      <c r="C43" s="14"/>
      <c r="D43" s="1">
        <f>SUM(OSRRefD21_3x_0)</f>
        <v>0</v>
      </c>
      <c r="E43" s="1">
        <f>SUM(OSRRefE21_3x_0)</f>
        <v>25</v>
      </c>
      <c r="F43" s="1">
        <f>SUM(OSRRefE21_3x_1)</f>
        <v>25</v>
      </c>
      <c r="G43" s="1">
        <f>SUM(OSRRefE21_3x_2)</f>
        <v>25</v>
      </c>
      <c r="H43" s="1">
        <f>SUM(OSRRefE21_3x_3)</f>
        <v>25</v>
      </c>
      <c r="I43" s="1">
        <f>SUM(OSRRefE21_3x_4)</f>
        <v>25</v>
      </c>
      <c r="J43" s="1">
        <f>SUM(OSRRefE21_3x_5)</f>
        <v>25</v>
      </c>
      <c r="K43" s="1">
        <f>SUM(OSRRefE21_3x_6)</f>
        <v>25</v>
      </c>
      <c r="L43" s="1">
        <f>SUM(OSRRefE21_3x_7)</f>
        <v>25</v>
      </c>
      <c r="M43" s="1">
        <f>SUM(OSRRefE21_3x_8)</f>
        <v>25</v>
      </c>
      <c r="N43" s="1">
        <f>SUM(OSRRefE21_3x_9)</f>
        <v>25</v>
      </c>
      <c r="O43" s="1">
        <f>SUM(OSRRefE21_3x_10)</f>
        <v>25</v>
      </c>
      <c r="Q43" s="2">
        <f>SUM(OSRRefD20_3x)+IFERROR(SUM(OSRRefE20_3x),0)</f>
        <v>275</v>
      </c>
    </row>
    <row r="44" spans="1:17" s="34" customFormat="1" hidden="1" outlineLevel="1" x14ac:dyDescent="0.3">
      <c r="A44" s="35"/>
      <c r="B44" s="10" t="str">
        <f>CONCATENATE("          ","6272", " - ","CASH (OVER/SHORT)")</f>
        <v xml:space="preserve">          6272 - CASH (OVER/SHORT)</v>
      </c>
      <c r="C44" s="14"/>
      <c r="D44" s="2"/>
      <c r="E44" s="2">
        <v>25</v>
      </c>
      <c r="F44" s="2">
        <v>25</v>
      </c>
      <c r="G44" s="2">
        <v>25</v>
      </c>
      <c r="H44" s="2">
        <v>25</v>
      </c>
      <c r="I44" s="2">
        <v>25</v>
      </c>
      <c r="J44" s="2">
        <v>25</v>
      </c>
      <c r="K44" s="2">
        <v>25</v>
      </c>
      <c r="L44" s="2">
        <v>25</v>
      </c>
      <c r="M44" s="2">
        <v>25</v>
      </c>
      <c r="N44" s="2">
        <v>25</v>
      </c>
      <c r="O44" s="2">
        <v>25</v>
      </c>
      <c r="P44" s="9"/>
      <c r="Q44" s="2">
        <f>SUM(OSRRefD21_3_0x)+IFERROR(SUM(OSRRefE21_3_0x),0)</f>
        <v>275</v>
      </c>
    </row>
    <row r="45" spans="1:17" s="34" customFormat="1" collapsed="1" x14ac:dyDescent="0.3">
      <c r="A45" s="35"/>
      <c r="B45" s="14" t="str">
        <f>CONCATENATE("     ","Bank/card Fees                                    ")</f>
        <v xml:space="preserve">     Bank/card Fees                                    </v>
      </c>
      <c r="C45" s="14"/>
      <c r="D45" s="1">
        <f>SUM(OSRRefD21_4x_0)</f>
        <v>0</v>
      </c>
      <c r="E45" s="1">
        <f>SUM(OSRRefE21_4x_0)</f>
        <v>1007</v>
      </c>
      <c r="F45" s="1">
        <f>SUM(OSRRefE21_4x_1)</f>
        <v>1395</v>
      </c>
      <c r="G45" s="1">
        <f>SUM(OSRRefE21_4x_2)</f>
        <v>1319</v>
      </c>
      <c r="H45" s="1">
        <f>SUM(OSRRefE21_4x_3)</f>
        <v>883</v>
      </c>
      <c r="I45" s="1">
        <f>SUM(OSRRefE21_4x_4)</f>
        <v>408</v>
      </c>
      <c r="J45" s="1">
        <f>SUM(OSRRefE21_4x_5)</f>
        <v>988</v>
      </c>
      <c r="K45" s="1">
        <f>SUM(OSRRefE21_4x_6)</f>
        <v>1199</v>
      </c>
      <c r="L45" s="1">
        <f>SUM(OSRRefE21_4x_7)</f>
        <v>668</v>
      </c>
      <c r="M45" s="1">
        <f>SUM(OSRRefE21_4x_8)</f>
        <v>689</v>
      </c>
      <c r="N45" s="1">
        <f>SUM(OSRRefE21_4x_9)</f>
        <v>242</v>
      </c>
      <c r="O45" s="1">
        <f>SUM(OSRRefE21_4x_10)</f>
        <v>26</v>
      </c>
      <c r="Q45" s="2">
        <f>SUM(OSRRefD20_4x)+IFERROR(SUM(OSRRefE20_4x),0)</f>
        <v>8824</v>
      </c>
    </row>
    <row r="46" spans="1:17" s="34" customFormat="1" hidden="1" outlineLevel="1" x14ac:dyDescent="0.3">
      <c r="A46" s="35"/>
      <c r="B46" s="10" t="str">
        <f>CONCATENATE("          ","6381", " - ","BANK/CREDIT CARD FEES")</f>
        <v xml:space="preserve">          6381 - BANK/CREDIT CARD FEES</v>
      </c>
      <c r="C46" s="14"/>
      <c r="D46" s="2"/>
      <c r="E46" s="2">
        <v>1007</v>
      </c>
      <c r="F46" s="2">
        <v>1395</v>
      </c>
      <c r="G46" s="2">
        <v>1319</v>
      </c>
      <c r="H46" s="2">
        <v>883</v>
      </c>
      <c r="I46" s="2">
        <v>408</v>
      </c>
      <c r="J46" s="2">
        <v>988</v>
      </c>
      <c r="K46" s="2">
        <v>1199</v>
      </c>
      <c r="L46" s="2">
        <v>668</v>
      </c>
      <c r="M46" s="2">
        <v>689</v>
      </c>
      <c r="N46" s="2">
        <v>242</v>
      </c>
      <c r="O46" s="2">
        <v>26</v>
      </c>
      <c r="P46" s="9"/>
      <c r="Q46" s="2">
        <f>SUM(OSRRefD21_4_0x)+IFERROR(SUM(OSRRefE21_4_0x),0)</f>
        <v>8824</v>
      </c>
    </row>
    <row r="47" spans="1:17" s="34" customFormat="1" collapsed="1" x14ac:dyDescent="0.3">
      <c r="A47" s="35"/>
      <c r="B47" s="14" t="str">
        <f>CONCATENATE("     ","Discounts and Markdowns                           ")</f>
        <v xml:space="preserve">     Discounts and Markdowns                           </v>
      </c>
      <c r="C47" s="14"/>
      <c r="D47" s="1">
        <f>SUM(OSRRefD21_5x_0)</f>
        <v>0</v>
      </c>
      <c r="E47" s="1">
        <f>SUM(OSRRefE21_5x_0)</f>
        <v>0</v>
      </c>
      <c r="F47" s="1">
        <f>SUM(OSRRefE21_5x_1)</f>
        <v>0</v>
      </c>
      <c r="G47" s="1">
        <f>SUM(OSRRefE21_5x_2)</f>
        <v>0</v>
      </c>
      <c r="H47" s="1">
        <f>SUM(OSRRefE21_5x_3)</f>
        <v>0</v>
      </c>
      <c r="I47" s="1">
        <f>SUM(OSRRefE21_5x_4)</f>
        <v>0</v>
      </c>
      <c r="J47" s="1">
        <f>SUM(OSRRefE21_5x_5)</f>
        <v>0</v>
      </c>
      <c r="K47" s="1">
        <f>SUM(OSRRefE21_5x_6)</f>
        <v>0</v>
      </c>
      <c r="L47" s="1">
        <f>SUM(OSRRefE21_5x_7)</f>
        <v>0</v>
      </c>
      <c r="M47" s="1">
        <f>SUM(OSRRefE21_5x_8)</f>
        <v>0</v>
      </c>
      <c r="N47" s="1">
        <f>SUM(OSRRefE21_5x_9)</f>
        <v>0</v>
      </c>
      <c r="O47" s="1">
        <f>SUM(OSRRefE21_5x_10)</f>
        <v>0</v>
      </c>
      <c r="Q47" s="2">
        <f>SUM(OSRRefD20_5x)+IFERROR(SUM(OSRRefE20_5x),0)</f>
        <v>0</v>
      </c>
    </row>
    <row r="48" spans="1:17" s="34" customFormat="1" hidden="1" outlineLevel="1" x14ac:dyDescent="0.3">
      <c r="A48" s="35"/>
      <c r="B48" s="10" t="str">
        <f>CONCATENATE("          ","6382", " - ","DISCOUNTS/MARK DOWNS")</f>
        <v xml:space="preserve">          6382 - DISCOUNTS/MARK DOWNS</v>
      </c>
      <c r="C48" s="14"/>
      <c r="D48" s="2"/>
      <c r="E48" s="2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2">
        <f>SUM(OSRRefD21_5_0x)+IFERROR(SUM(OSRRefE21_5_0x),0)</f>
        <v>0</v>
      </c>
    </row>
    <row r="49" spans="1:17" s="34" customFormat="1" collapsed="1" x14ac:dyDescent="0.3">
      <c r="A49" s="35"/>
      <c r="B49" s="14" t="str">
        <f>CONCATENATE("     ","General                                           ")</f>
        <v xml:space="preserve">     General                                           </v>
      </c>
      <c r="C49" s="14"/>
      <c r="D49" s="1">
        <f>SUM(OSRRefD21_6x_0)</f>
        <v>0</v>
      </c>
      <c r="E49" s="1">
        <f>SUM(OSRRefE21_6x_0)</f>
        <v>0</v>
      </c>
      <c r="F49" s="1">
        <f>SUM(OSRRefE21_6x_1)</f>
        <v>0</v>
      </c>
      <c r="G49" s="1">
        <f>SUM(OSRRefE21_6x_2)</f>
        <v>0</v>
      </c>
      <c r="H49" s="1">
        <f>SUM(OSRRefE21_6x_3)</f>
        <v>0</v>
      </c>
      <c r="I49" s="1">
        <f>SUM(OSRRefE21_6x_4)</f>
        <v>0</v>
      </c>
      <c r="J49" s="1">
        <f>SUM(OSRRefE21_6x_5)</f>
        <v>0</v>
      </c>
      <c r="K49" s="1">
        <f>SUM(OSRRefE21_6x_6)</f>
        <v>0</v>
      </c>
      <c r="L49" s="1">
        <f>SUM(OSRRefE21_6x_7)</f>
        <v>0</v>
      </c>
      <c r="M49" s="1">
        <f>SUM(OSRRefE21_6x_8)</f>
        <v>0</v>
      </c>
      <c r="N49" s="1">
        <f>SUM(OSRRefE21_6x_9)</f>
        <v>0</v>
      </c>
      <c r="O49" s="1">
        <f>SUM(OSRRefE21_6x_10)</f>
        <v>0</v>
      </c>
      <c r="Q49" s="2">
        <f>SUM(OSRRefD20_6x)+IFERROR(SUM(OSRRefE20_6x),0)</f>
        <v>0</v>
      </c>
    </row>
    <row r="50" spans="1:17" s="34" customFormat="1" hidden="1" outlineLevel="1" x14ac:dyDescent="0.3">
      <c r="A50" s="35"/>
      <c r="B50" s="10" t="str">
        <f>CONCATENATE("          ","6279", " - ","GENERAL EXPENSE")</f>
        <v xml:space="preserve">          6279 - GENERAL EXPENSE</v>
      </c>
      <c r="C50" s="14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9"/>
      <c r="Q50" s="2">
        <f>SUM(OSRRefD21_6_0x)+IFERROR(SUM(OSRRefE21_6_0x),0)</f>
        <v>0</v>
      </c>
    </row>
    <row r="51" spans="1:17" s="34" customFormat="1" collapsed="1" x14ac:dyDescent="0.3">
      <c r="A51" s="35"/>
      <c r="B51" s="14" t="str">
        <f>CONCATENATE("     ","Inventory Adjustment                              ")</f>
        <v xml:space="preserve">     Inventory Adjustment                              </v>
      </c>
      <c r="C51" s="14"/>
      <c r="D51" s="1">
        <f>SUM(OSRRefD21_7x_0)</f>
        <v>650</v>
      </c>
      <c r="E51" s="1">
        <f>SUM(OSRRefE21_7x_0)</f>
        <v>650</v>
      </c>
      <c r="F51" s="1">
        <f>SUM(OSRRefE21_7x_1)</f>
        <v>650</v>
      </c>
      <c r="G51" s="1">
        <f>SUM(OSRRefE21_7x_2)</f>
        <v>650</v>
      </c>
      <c r="H51" s="1">
        <f>SUM(OSRRefE21_7x_3)</f>
        <v>650</v>
      </c>
      <c r="I51" s="1">
        <f>SUM(OSRRefE21_7x_4)</f>
        <v>650</v>
      </c>
      <c r="J51" s="1">
        <f>SUM(OSRRefE21_7x_5)</f>
        <v>650</v>
      </c>
      <c r="K51" s="1">
        <f>SUM(OSRRefE21_7x_6)</f>
        <v>650</v>
      </c>
      <c r="L51" s="1">
        <f>SUM(OSRRefE21_7x_7)</f>
        <v>650</v>
      </c>
      <c r="M51" s="1">
        <f>SUM(OSRRefE21_7x_8)</f>
        <v>650</v>
      </c>
      <c r="N51" s="1">
        <f>SUM(OSRRefE21_7x_9)</f>
        <v>650</v>
      </c>
      <c r="O51" s="1">
        <f>SUM(OSRRefE21_7x_10)</f>
        <v>650</v>
      </c>
      <c r="Q51" s="2">
        <f>SUM(OSRRefD20_7x)+IFERROR(SUM(OSRRefE20_7x),0)</f>
        <v>7800</v>
      </c>
    </row>
    <row r="52" spans="1:17" s="34" customFormat="1" hidden="1" outlineLevel="1" x14ac:dyDescent="0.3">
      <c r="A52" s="35"/>
      <c r="B52" s="10" t="str">
        <f>CONCATENATE("          ","6408", " - ","INVENTORY ADJUSTMENT")</f>
        <v xml:space="preserve">          6408 - INVENTORY ADJUSTMENT</v>
      </c>
      <c r="C52" s="14"/>
      <c r="D52" s="2">
        <v>650</v>
      </c>
      <c r="E52" s="2">
        <v>650</v>
      </c>
      <c r="F52" s="2">
        <v>650</v>
      </c>
      <c r="G52" s="2">
        <v>650</v>
      </c>
      <c r="H52" s="2">
        <v>650</v>
      </c>
      <c r="I52" s="2">
        <v>650</v>
      </c>
      <c r="J52" s="2">
        <v>650</v>
      </c>
      <c r="K52" s="2">
        <v>650</v>
      </c>
      <c r="L52" s="2">
        <v>650</v>
      </c>
      <c r="M52" s="2">
        <v>650</v>
      </c>
      <c r="N52" s="2">
        <v>650</v>
      </c>
      <c r="O52" s="2">
        <v>650</v>
      </c>
      <c r="P52" s="9"/>
      <c r="Q52" s="2">
        <f>SUM(OSRRefD21_7_0x)+IFERROR(SUM(OSRRefE21_7_0x),0)</f>
        <v>7800</v>
      </c>
    </row>
    <row r="53" spans="1:17" s="34" customFormat="1" collapsed="1" x14ac:dyDescent="0.3">
      <c r="A53" s="35"/>
      <c r="B53" s="14" t="str">
        <f>CONCATENATE("     ","Supplies                                          ")</f>
        <v xml:space="preserve">     Supplies                                          </v>
      </c>
      <c r="C53" s="14"/>
      <c r="D53" s="1">
        <f>SUM(OSRRefD21_8x_0)</f>
        <v>0</v>
      </c>
      <c r="E53" s="1">
        <f>SUM(OSRRefE21_8x_0)</f>
        <v>75</v>
      </c>
      <c r="F53" s="1">
        <f>SUM(OSRRefE21_8x_1)</f>
        <v>75</v>
      </c>
      <c r="G53" s="1">
        <f>SUM(OSRRefE21_8x_2)</f>
        <v>75</v>
      </c>
      <c r="H53" s="1">
        <f>SUM(OSRRefE21_8x_3)</f>
        <v>75</v>
      </c>
      <c r="I53" s="1">
        <f>SUM(OSRRefE21_8x_4)</f>
        <v>75</v>
      </c>
      <c r="J53" s="1">
        <f>SUM(OSRRefE21_8x_5)</f>
        <v>75</v>
      </c>
      <c r="K53" s="1">
        <f>SUM(OSRRefE21_8x_6)</f>
        <v>75</v>
      </c>
      <c r="L53" s="1">
        <f>SUM(OSRRefE21_8x_7)</f>
        <v>75</v>
      </c>
      <c r="M53" s="1">
        <f>SUM(OSRRefE21_8x_8)</f>
        <v>75</v>
      </c>
      <c r="N53" s="1">
        <f>SUM(OSRRefE21_8x_9)</f>
        <v>75</v>
      </c>
      <c r="O53" s="1">
        <f>SUM(OSRRefE21_8x_10)</f>
        <v>75</v>
      </c>
      <c r="Q53" s="2">
        <f>SUM(OSRRefD20_8x)+IFERROR(SUM(OSRRefE20_8x),0)</f>
        <v>825</v>
      </c>
    </row>
    <row r="54" spans="1:17" s="34" customFormat="1" hidden="1" outlineLevel="1" x14ac:dyDescent="0.3">
      <c r="A54" s="35"/>
      <c r="B54" s="10" t="str">
        <f>CONCATENATE("          ","6235", " - ","COVID-19 EXPENSES")</f>
        <v xml:space="preserve">          6235 - COVID-19 EXPENSES</v>
      </c>
      <c r="C54" s="14"/>
      <c r="D54" s="2"/>
      <c r="E54" s="2">
        <v>25</v>
      </c>
      <c r="F54" s="2">
        <v>25</v>
      </c>
      <c r="G54" s="2">
        <v>25</v>
      </c>
      <c r="H54" s="2">
        <v>25</v>
      </c>
      <c r="I54" s="2">
        <v>25</v>
      </c>
      <c r="J54" s="2">
        <v>25</v>
      </c>
      <c r="K54" s="2">
        <v>25</v>
      </c>
      <c r="L54" s="2">
        <v>25</v>
      </c>
      <c r="M54" s="2">
        <v>25</v>
      </c>
      <c r="N54" s="2">
        <v>25</v>
      </c>
      <c r="O54" s="2">
        <v>25</v>
      </c>
      <c r="P54" s="9"/>
      <c r="Q54" s="2">
        <f>SUM(OSRRefD21_8_0x)+IFERROR(SUM(OSRRefE21_8_0x),0)</f>
        <v>275</v>
      </c>
    </row>
    <row r="55" spans="1:17" s="34" customFormat="1" hidden="1" outlineLevel="1" x14ac:dyDescent="0.3">
      <c r="A55" s="35"/>
      <c r="B55" s="10" t="str">
        <f>CONCATENATE("          ","6241", " - ","OFFICE EXPENSE")</f>
        <v xml:space="preserve">          6241 - OFFICE EXPENSE</v>
      </c>
      <c r="C55" s="14"/>
      <c r="D55" s="2"/>
      <c r="E55" s="2">
        <v>25</v>
      </c>
      <c r="F55" s="2">
        <v>25</v>
      </c>
      <c r="G55" s="2">
        <v>25</v>
      </c>
      <c r="H55" s="2">
        <v>25</v>
      </c>
      <c r="I55" s="2">
        <v>25</v>
      </c>
      <c r="J55" s="2">
        <v>25</v>
      </c>
      <c r="K55" s="2">
        <v>25</v>
      </c>
      <c r="L55" s="2">
        <v>25</v>
      </c>
      <c r="M55" s="2">
        <v>25</v>
      </c>
      <c r="N55" s="2">
        <v>25</v>
      </c>
      <c r="O55" s="2">
        <v>25</v>
      </c>
      <c r="P55" s="9"/>
      <c r="Q55" s="2">
        <f>SUM(OSRRefD21_8_1x)+IFERROR(SUM(OSRRefE21_8_1x),0)</f>
        <v>275</v>
      </c>
    </row>
    <row r="56" spans="1:17" s="34" customFormat="1" hidden="1" outlineLevel="1" x14ac:dyDescent="0.3">
      <c r="A56" s="35"/>
      <c r="B56" s="10" t="str">
        <f>CONCATENATE("          ","6247", " - ","STORE SUPPLIES")</f>
        <v xml:space="preserve">          6247 - STORE SUPPLIES</v>
      </c>
      <c r="C56" s="14"/>
      <c r="D56" s="2"/>
      <c r="E56" s="2">
        <v>25</v>
      </c>
      <c r="F56" s="2">
        <v>25</v>
      </c>
      <c r="G56" s="2">
        <v>25</v>
      </c>
      <c r="H56" s="2">
        <v>25</v>
      </c>
      <c r="I56" s="2">
        <v>25</v>
      </c>
      <c r="J56" s="2">
        <v>25</v>
      </c>
      <c r="K56" s="2">
        <v>25</v>
      </c>
      <c r="L56" s="2">
        <v>25</v>
      </c>
      <c r="M56" s="2">
        <v>25</v>
      </c>
      <c r="N56" s="2">
        <v>25</v>
      </c>
      <c r="O56" s="2">
        <v>25</v>
      </c>
      <c r="P56" s="9"/>
      <c r="Q56" s="2">
        <f>SUM(OSRRefD21_8_2x)+IFERROR(SUM(OSRRefE21_8_2x),0)</f>
        <v>275</v>
      </c>
    </row>
    <row r="57" spans="1:17" s="34" customFormat="1" collapsed="1" x14ac:dyDescent="0.3">
      <c r="A57" s="35"/>
      <c r="B57" s="14" t="str">
        <f>CONCATENATE("     ","Telephone/Data Lines                              ")</f>
        <v xml:space="preserve">     Telephone/Data Lines                              </v>
      </c>
      <c r="C57" s="14"/>
      <c r="D57" s="1">
        <f>SUM(OSRRefD21_9x_0)</f>
        <v>13</v>
      </c>
      <c r="E57" s="1">
        <f>SUM(OSRRefE21_9x_0)</f>
        <v>60</v>
      </c>
      <c r="F57" s="1">
        <f>SUM(OSRRefE21_9x_1)</f>
        <v>60</v>
      </c>
      <c r="G57" s="1">
        <f>SUM(OSRRefE21_9x_2)</f>
        <v>60</v>
      </c>
      <c r="H57" s="1">
        <f>SUM(OSRRefE21_9x_3)</f>
        <v>60</v>
      </c>
      <c r="I57" s="1">
        <f>SUM(OSRRefE21_9x_4)</f>
        <v>60</v>
      </c>
      <c r="J57" s="1">
        <f>SUM(OSRRefE21_9x_5)</f>
        <v>60</v>
      </c>
      <c r="K57" s="1">
        <f>SUM(OSRRefE21_9x_6)</f>
        <v>60</v>
      </c>
      <c r="L57" s="1">
        <f>SUM(OSRRefE21_9x_7)</f>
        <v>60</v>
      </c>
      <c r="M57" s="1">
        <f>SUM(OSRRefE21_9x_8)</f>
        <v>60</v>
      </c>
      <c r="N57" s="1">
        <f>SUM(OSRRefE21_9x_9)</f>
        <v>60</v>
      </c>
      <c r="O57" s="1">
        <f>SUM(OSRRefE21_9x_10)</f>
        <v>60</v>
      </c>
      <c r="Q57" s="2">
        <f>SUM(OSRRefD20_9x)+IFERROR(SUM(OSRRefE20_9x),0)</f>
        <v>673</v>
      </c>
    </row>
    <row r="58" spans="1:17" s="34" customFormat="1" hidden="1" outlineLevel="1" x14ac:dyDescent="0.3">
      <c r="A58" s="35"/>
      <c r="B58" s="10" t="str">
        <f>CONCATENATE("          ","6309", " - ","TELEPHONE")</f>
        <v xml:space="preserve">          6309 - TELEPHONE</v>
      </c>
      <c r="C58" s="14"/>
      <c r="D58" s="2">
        <v>13</v>
      </c>
      <c r="E58" s="2">
        <v>60</v>
      </c>
      <c r="F58" s="2">
        <v>60</v>
      </c>
      <c r="G58" s="2">
        <v>60</v>
      </c>
      <c r="H58" s="2">
        <v>60</v>
      </c>
      <c r="I58" s="2">
        <v>60</v>
      </c>
      <c r="J58" s="2">
        <v>60</v>
      </c>
      <c r="K58" s="2">
        <v>60</v>
      </c>
      <c r="L58" s="2">
        <v>60</v>
      </c>
      <c r="M58" s="2">
        <v>60</v>
      </c>
      <c r="N58" s="2">
        <v>60</v>
      </c>
      <c r="O58" s="2">
        <v>60</v>
      </c>
      <c r="P58" s="9"/>
      <c r="Q58" s="2">
        <f>SUM(OSRRefD21_9_0x)+IFERROR(SUM(OSRRefE21_9_0x),0)</f>
        <v>673</v>
      </c>
    </row>
    <row r="59" spans="1:17" s="28" customFormat="1" x14ac:dyDescent="0.3">
      <c r="A59" s="21"/>
      <c r="B59" s="21"/>
      <c r="C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1"/>
    </row>
    <row r="60" spans="1:17" s="9" customFormat="1" x14ac:dyDescent="0.3">
      <c r="A60" s="22"/>
      <c r="B60" s="16" t="s">
        <v>293</v>
      </c>
      <c r="C60" s="23"/>
      <c r="D60" s="3">
        <f>0</f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2">
        <f>SUM(OSRRefD23_0x)+IFERROR(SUM(OSRRefE23_0x),0)</f>
        <v>0</v>
      </c>
    </row>
    <row r="61" spans="1:17" x14ac:dyDescent="0.3">
      <c r="A61" s="5"/>
      <c r="B61" s="6"/>
      <c r="C61" s="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</row>
    <row r="62" spans="1:17" s="15" customFormat="1" x14ac:dyDescent="0.3">
      <c r="A62" s="6"/>
      <c r="B62" s="17" t="s">
        <v>276</v>
      </c>
      <c r="C62" s="17"/>
      <c r="D62" s="8">
        <f t="shared" ref="D62:O62" si="3">IFERROR(+D17-D20+D60, 0)</f>
        <v>-763</v>
      </c>
      <c r="E62" s="8">
        <f t="shared" si="3"/>
        <v>9413.3678</v>
      </c>
      <c r="F62" s="8">
        <f t="shared" si="3"/>
        <v>22244.384399999999</v>
      </c>
      <c r="G62" s="8">
        <f t="shared" si="3"/>
        <v>19929.980499999998</v>
      </c>
      <c r="H62" s="8">
        <f t="shared" si="3"/>
        <v>11561.384399999999</v>
      </c>
      <c r="I62" s="8">
        <f t="shared" si="3"/>
        <v>191.384399999999</v>
      </c>
      <c r="J62" s="8">
        <f t="shared" si="3"/>
        <v>6862.9391350000005</v>
      </c>
      <c r="K62" s="8">
        <f t="shared" si="3"/>
        <v>17288.151308</v>
      </c>
      <c r="L62" s="8">
        <f t="shared" si="3"/>
        <v>7250.1513080000004</v>
      </c>
      <c r="M62" s="8">
        <f t="shared" si="3"/>
        <v>5485.9391350000005</v>
      </c>
      <c r="N62" s="8">
        <f t="shared" si="3"/>
        <v>-3976.8486919999996</v>
      </c>
      <c r="O62" s="8">
        <f t="shared" si="3"/>
        <v>-10178.186454000001</v>
      </c>
      <c r="Q62" s="8">
        <f>IFERROR(+Q17-Q20+Q60, 0)</f>
        <v>85309.647239999991</v>
      </c>
    </row>
    <row r="63" spans="1:17" s="6" customFormat="1" x14ac:dyDescent="0.3">
      <c r="B63" s="16"/>
      <c r="C63" s="16"/>
      <c r="D63" s="4">
        <f t="shared" ref="D63:O63" si="4">IFERROR(D62/D10, 0)</f>
        <v>0</v>
      </c>
      <c r="E63" s="4">
        <f t="shared" si="4"/>
        <v>0.18110989302755118</v>
      </c>
      <c r="F63" s="4">
        <f t="shared" si="4"/>
        <v>0.29578331759856391</v>
      </c>
      <c r="G63" s="4">
        <f t="shared" si="4"/>
        <v>0.27661319222761965</v>
      </c>
      <c r="H63" s="4">
        <f t="shared" si="4"/>
        <v>0.2398080189168447</v>
      </c>
      <c r="I63" s="4">
        <f t="shared" si="4"/>
        <v>8.6341423802219174E-3</v>
      </c>
      <c r="J63" s="4">
        <f t="shared" si="4"/>
        <v>0.13491397776641964</v>
      </c>
      <c r="K63" s="4">
        <f t="shared" si="4"/>
        <v>0.26790044176532574</v>
      </c>
      <c r="L63" s="4">
        <f t="shared" si="4"/>
        <v>0.19451483132562447</v>
      </c>
      <c r="M63" s="4">
        <f t="shared" si="4"/>
        <v>0.14232187866445287</v>
      </c>
      <c r="N63" s="4">
        <f t="shared" si="4"/>
        <v>-0.29791360341598616</v>
      </c>
      <c r="O63" s="4">
        <f t="shared" si="4"/>
        <v>-7.9891573422292002</v>
      </c>
      <c r="P63" s="18"/>
      <c r="Q63" s="4">
        <f>IFERROR(Q62/Q10, 0)</f>
        <v>0.17942889433401127</v>
      </c>
    </row>
    <row r="64" spans="1:17" x14ac:dyDescent="0.3">
      <c r="A64" s="5"/>
      <c r="B64" s="6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</row>
    <row r="65" spans="1:17" s="15" customFormat="1" x14ac:dyDescent="0.3">
      <c r="A65" s="25"/>
      <c r="B65" s="6" t="s">
        <v>125</v>
      </c>
      <c r="C65" s="6"/>
      <c r="D65" s="3"/>
      <c r="E65" s="3">
        <v>5229</v>
      </c>
      <c r="F65" s="3">
        <v>7981</v>
      </c>
      <c r="G65" s="3">
        <v>9115</v>
      </c>
      <c r="H65" s="3">
        <v>8047</v>
      </c>
      <c r="I65" s="3">
        <v>3984</v>
      </c>
      <c r="J65" s="3">
        <v>5238</v>
      </c>
      <c r="K65" s="3">
        <v>6905</v>
      </c>
      <c r="L65" s="3">
        <v>4359</v>
      </c>
      <c r="M65" s="3">
        <v>5265</v>
      </c>
      <c r="N65" s="3">
        <v>2094</v>
      </c>
      <c r="O65" s="3">
        <v>-4892</v>
      </c>
      <c r="Q65" s="2">
        <f>SUM(OSRRefD28_0x)+IFERROR(SUM(OSRRefE28_0x),0)</f>
        <v>53325</v>
      </c>
    </row>
    <row r="66" spans="1:17" x14ac:dyDescent="0.3">
      <c r="A66" s="5"/>
      <c r="B66" s="6"/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</row>
    <row r="67" spans="1:17" s="15" customFormat="1" ht="15" thickBot="1" x14ac:dyDescent="0.35">
      <c r="A67" s="6"/>
      <c r="B67" s="17" t="s">
        <v>124</v>
      </c>
      <c r="C67" s="17"/>
      <c r="D67" s="7">
        <f t="shared" ref="D67:O67" si="5">IFERROR(+D62-D65, 0)</f>
        <v>-763</v>
      </c>
      <c r="E67" s="7">
        <f t="shared" si="5"/>
        <v>4184.3678</v>
      </c>
      <c r="F67" s="7">
        <f t="shared" si="5"/>
        <v>14263.384399999999</v>
      </c>
      <c r="G67" s="7">
        <f t="shared" si="5"/>
        <v>10814.980499999998</v>
      </c>
      <c r="H67" s="7">
        <f t="shared" si="5"/>
        <v>3514.384399999999</v>
      </c>
      <c r="I67" s="7">
        <f t="shared" si="5"/>
        <v>-3792.615600000001</v>
      </c>
      <c r="J67" s="7">
        <f t="shared" si="5"/>
        <v>1624.9391350000005</v>
      </c>
      <c r="K67" s="7">
        <f t="shared" si="5"/>
        <v>10383.151308</v>
      </c>
      <c r="L67" s="7">
        <f t="shared" si="5"/>
        <v>2891.1513080000004</v>
      </c>
      <c r="M67" s="7">
        <f t="shared" si="5"/>
        <v>220.93913500000053</v>
      </c>
      <c r="N67" s="7">
        <f t="shared" si="5"/>
        <v>-6070.8486919999996</v>
      </c>
      <c r="O67" s="7">
        <f t="shared" si="5"/>
        <v>-5286.1864540000006</v>
      </c>
      <c r="Q67" s="7">
        <f>IFERROR(+Q62-Q65, 0)</f>
        <v>31984.647239999991</v>
      </c>
    </row>
    <row r="68" spans="1:17" ht="15" thickTop="1" x14ac:dyDescent="0.3">
      <c r="A68" s="5"/>
      <c r="B68" s="5"/>
      <c r="C68" s="5"/>
      <c r="D68" s="4">
        <f t="shared" ref="D68:O68" si="6">IFERROR(D67/D10, 0)</f>
        <v>0</v>
      </c>
      <c r="E68" s="4">
        <f t="shared" si="6"/>
        <v>8.0505768046790827E-2</v>
      </c>
      <c r="F68" s="4">
        <f t="shared" si="6"/>
        <v>0.18966005451765175</v>
      </c>
      <c r="G68" s="4">
        <f t="shared" si="6"/>
        <v>0.15010382373351835</v>
      </c>
      <c r="H68" s="4">
        <f t="shared" si="6"/>
        <v>7.2895903424529646E-2</v>
      </c>
      <c r="I68" s="4">
        <f t="shared" si="6"/>
        <v>-0.17110058648380408</v>
      </c>
      <c r="J68" s="4">
        <f t="shared" si="6"/>
        <v>3.1943602881912371E-2</v>
      </c>
      <c r="K68" s="4">
        <f t="shared" si="6"/>
        <v>0.16089926405504246</v>
      </c>
      <c r="L68" s="4">
        <f t="shared" si="6"/>
        <v>7.7566906554342299E-2</v>
      </c>
      <c r="M68" s="4">
        <f t="shared" si="6"/>
        <v>5.731830410418734E-3</v>
      </c>
      <c r="N68" s="4">
        <f t="shared" si="6"/>
        <v>-0.45477928623866953</v>
      </c>
      <c r="O68" s="4">
        <f t="shared" si="6"/>
        <v>-4.1492829309262174</v>
      </c>
      <c r="P68" s="18"/>
      <c r="Q68" s="4">
        <f>IFERROR(Q67/Q10, 0)</f>
        <v>6.7272226244134495E-2</v>
      </c>
    </row>
    <row r="69" spans="1:17" x14ac:dyDescent="0.3">
      <c r="A69" s="5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</row>
    <row r="70" spans="1:17" x14ac:dyDescent="0.3">
      <c r="A70" s="5"/>
      <c r="B70" s="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1:17" s="15" customFormat="1" ht="15" thickBot="1" x14ac:dyDescent="0.35">
      <c r="A71" s="6"/>
      <c r="B71" s="17" t="s">
        <v>294</v>
      </c>
      <c r="C71" s="17"/>
      <c r="D71" s="7">
        <f t="shared" ref="D71:O71" si="7">IFERROR(SUM(D67:D70), 0)</f>
        <v>-763</v>
      </c>
      <c r="E71" s="7">
        <f t="shared" si="7"/>
        <v>4184.4483057680463</v>
      </c>
      <c r="F71" s="7">
        <f t="shared" si="7"/>
        <v>14263.574060054516</v>
      </c>
      <c r="G71" s="7">
        <f t="shared" si="7"/>
        <v>10815.130603823731</v>
      </c>
      <c r="H71" s="7">
        <f t="shared" si="7"/>
        <v>3514.4572959034235</v>
      </c>
      <c r="I71" s="7">
        <f t="shared" si="7"/>
        <v>-3792.7867005864846</v>
      </c>
      <c r="J71" s="7">
        <f t="shared" si="7"/>
        <v>1624.9710786028825</v>
      </c>
      <c r="K71" s="7">
        <f t="shared" si="7"/>
        <v>10383.312207264056</v>
      </c>
      <c r="L71" s="7">
        <f t="shared" si="7"/>
        <v>2891.2288749065547</v>
      </c>
      <c r="M71" s="7">
        <f t="shared" si="7"/>
        <v>220.94486683041094</v>
      </c>
      <c r="N71" s="7">
        <f t="shared" si="7"/>
        <v>-6071.3034712862382</v>
      </c>
      <c r="O71" s="7">
        <f t="shared" si="7"/>
        <v>-5290.3357369309269</v>
      </c>
      <c r="Q71" s="7">
        <f>IFERROR(SUM(Q67:Q70), 0)</f>
        <v>31984.714512226234</v>
      </c>
    </row>
    <row r="72" spans="1:17" ht="15" thickTop="1" x14ac:dyDescent="0.3">
      <c r="A72" s="5"/>
      <c r="C72" s="5"/>
      <c r="D72" s="4">
        <f t="shared" ref="D72:O72" si="8">IFERROR(D71/D10, 0)</f>
        <v>0</v>
      </c>
      <c r="E72" s="4">
        <f t="shared" si="8"/>
        <v>8.0507316949516058E-2</v>
      </c>
      <c r="F72" s="4">
        <f t="shared" si="8"/>
        <v>0.18966257642516476</v>
      </c>
      <c r="G72" s="4">
        <f t="shared" si="8"/>
        <v>0.15010590706209204</v>
      </c>
      <c r="H72" s="4">
        <f t="shared" si="8"/>
        <v>7.2897415442604876E-2</v>
      </c>
      <c r="I72" s="4">
        <f t="shared" si="8"/>
        <v>-0.17110830553940651</v>
      </c>
      <c r="J72" s="4">
        <f t="shared" si="8"/>
        <v>3.1944230840057451E-2</v>
      </c>
      <c r="K72" s="4">
        <f t="shared" si="8"/>
        <v>0.16090175738027732</v>
      </c>
      <c r="L72" s="4">
        <f t="shared" si="8"/>
        <v>7.7568987602461698E-2</v>
      </c>
      <c r="M72" s="4">
        <f t="shared" si="8"/>
        <v>5.7319791114619142E-3</v>
      </c>
      <c r="N72" s="4">
        <f t="shared" si="8"/>
        <v>-0.45481335465474854</v>
      </c>
      <c r="O72" s="4">
        <f t="shared" si="8"/>
        <v>-4.1525398249065359</v>
      </c>
      <c r="P72" s="18"/>
      <c r="Q72" s="4">
        <f>IFERROR(Q71/Q10, 0)</f>
        <v>6.7272367735531594E-2</v>
      </c>
    </row>
    <row r="73" spans="1:17" x14ac:dyDescent="0.3">
      <c r="A73" s="5"/>
      <c r="B73" s="30">
        <v>44462.678423958336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Q73" s="11"/>
    </row>
    <row r="74" spans="1:17" x14ac:dyDescent="0.3">
      <c r="A74" s="5"/>
      <c r="B74" s="31" t="s">
        <v>54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Q74" s="11"/>
    </row>
    <row r="75" spans="1:17" x14ac:dyDescent="0.3">
      <c r="A75" s="5"/>
      <c r="B75" s="2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 s="11"/>
    </row>
    <row r="76" spans="1:17" x14ac:dyDescent="0.3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Q7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outlinePr summaryBelow="0" summaryRight="0"/>
    <pageSetUpPr fitToPage="1"/>
  </sheetPr>
  <dimension ref="A2:R98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21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62114.82</v>
      </c>
      <c r="E10" s="3">
        <f>SUM(OSRRefE11x_0)</f>
        <v>2197805</v>
      </c>
      <c r="F10" s="3">
        <f>SUM(OSRRefE11x_1)</f>
        <v>469104</v>
      </c>
      <c r="G10" s="3">
        <f>SUM(OSRRefE11x_2)</f>
        <v>35929</v>
      </c>
      <c r="H10" s="3">
        <f>SUM(OSRRefE11x_3)</f>
        <v>14244</v>
      </c>
      <c r="I10" s="3">
        <f>SUM(OSRRefE11x_4)</f>
        <v>66007</v>
      </c>
      <c r="J10" s="3">
        <f>SUM(OSRRefE11x_5)</f>
        <v>1590260</v>
      </c>
      <c r="K10" s="3">
        <f>SUM(OSRRefE11x_6)</f>
        <v>196582</v>
      </c>
      <c r="L10" s="3">
        <f>SUM(OSRRefE11x_7)</f>
        <v>19227</v>
      </c>
      <c r="M10" s="3">
        <f>SUM(OSRRefE11x_8)</f>
        <v>18864</v>
      </c>
      <c r="N10" s="3">
        <f>SUM(OSRRefE11x_9)</f>
        <v>55767</v>
      </c>
      <c r="O10" s="3">
        <f>SUM(OSRRefE11x_10)</f>
        <v>22192</v>
      </c>
      <c r="P10" s="24"/>
      <c r="Q10" s="3">
        <f>SUM(OSRRefG11x)</f>
        <v>4748095.8199999994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--34833.91</f>
        <v>34833.910000000003</v>
      </c>
      <c r="E11" s="2">
        <v>2197805</v>
      </c>
      <c r="F11" s="2">
        <v>469104</v>
      </c>
      <c r="G11" s="2">
        <v>35929</v>
      </c>
      <c r="H11" s="2">
        <v>14244</v>
      </c>
      <c r="I11" s="2">
        <v>66007</v>
      </c>
      <c r="J11" s="2">
        <v>1590260</v>
      </c>
      <c r="K11" s="2">
        <v>196582</v>
      </c>
      <c r="L11" s="2">
        <v>19227</v>
      </c>
      <c r="M11" s="2">
        <v>18864</v>
      </c>
      <c r="N11" s="2">
        <v>55767</v>
      </c>
      <c r="O11" s="2">
        <v>22192</v>
      </c>
      <c r="Q11" s="2">
        <f>SUM(OSRRefD11_0x)+IFERROR(SUM(OSRRefE11_0x),0)</f>
        <v>4720814.91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--29184.3</f>
        <v>29184.3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/>
      <c r="N12" s="2"/>
      <c r="O12" s="2"/>
      <c r="Q12" s="2">
        <f>SUM(OSRRefD11_1x)+IFERROR(SUM(OSRRefE11_1x),0)</f>
        <v>29184.3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-920.66</f>
        <v>-920.66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-920.66</v>
      </c>
    </row>
    <row r="14" spans="1:18" s="9" customFormat="1" hidden="1" outlineLevel="1" x14ac:dyDescent="0.3">
      <c r="A14" s="22"/>
      <c r="B14" s="10" t="str">
        <f>CONCATENATE("          ","4300", " - ","NON-TAX RETURNS")</f>
        <v xml:space="preserve">          4300 - NON-TAX RETURNS</v>
      </c>
      <c r="C14" s="23"/>
      <c r="D14" s="2">
        <f>-982.73</f>
        <v>-982.73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-982.73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44701.750000000007</v>
      </c>
      <c r="E16" s="3">
        <f>SUM(OSRRefE14x_0)</f>
        <v>1589922</v>
      </c>
      <c r="F16" s="3">
        <f>SUM(OSRRefE14x_1)</f>
        <v>339163</v>
      </c>
      <c r="G16" s="3">
        <f>SUM(OSRRefE14x_2)</f>
        <v>25970</v>
      </c>
      <c r="H16" s="3">
        <f>SUM(OSRRefE14x_3)</f>
        <v>10301</v>
      </c>
      <c r="I16" s="3">
        <f>SUM(OSRRefE14x_4)</f>
        <v>47709</v>
      </c>
      <c r="J16" s="3">
        <f>SUM(OSRRefE14x_5)</f>
        <v>1150318</v>
      </c>
      <c r="K16" s="3">
        <f>SUM(OSRRefE14x_6)</f>
        <v>142181</v>
      </c>
      <c r="L16" s="3">
        <f>SUM(OSRRefE14x_7)</f>
        <v>13896</v>
      </c>
      <c r="M16" s="3">
        <f>SUM(OSRRefE14x_8)</f>
        <v>13633</v>
      </c>
      <c r="N16" s="3">
        <f>SUM(OSRRefE14x_9)</f>
        <v>40308</v>
      </c>
      <c r="O16" s="3">
        <f>SUM(OSRRefE14x_10)</f>
        <v>16024</v>
      </c>
      <c r="Q16" s="3">
        <f>SUM(OSRRefG14x)</f>
        <v>3434126.7500000005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>
        <v>264218.03999999998</v>
      </c>
      <c r="E17" s="2">
        <v>1589922</v>
      </c>
      <c r="F17" s="2">
        <v>339163</v>
      </c>
      <c r="G17" s="2">
        <v>25970</v>
      </c>
      <c r="H17" s="2">
        <v>10301</v>
      </c>
      <c r="I17" s="2">
        <v>47709</v>
      </c>
      <c r="J17" s="2">
        <v>1150318</v>
      </c>
      <c r="K17" s="2">
        <v>142181</v>
      </c>
      <c r="L17" s="2">
        <v>13896</v>
      </c>
      <c r="M17" s="2">
        <v>13633</v>
      </c>
      <c r="N17" s="2">
        <v>40308</v>
      </c>
      <c r="O17" s="2">
        <v>16024</v>
      </c>
      <c r="Q17" s="2">
        <f>SUM(OSRRefD14_0x)+IFERROR(SUM(OSRRefE14_0x),0)</f>
        <v>3653643.04</v>
      </c>
    </row>
    <row r="18" spans="1:17" s="9" customFormat="1" hidden="1" outlineLevel="1" x14ac:dyDescent="0.3">
      <c r="A18" s="22"/>
      <c r="B18" s="10" t="str">
        <f>CONCATENATE("          ","5001", " - ","PURCHASES @ COST-NEW TEXT")</f>
        <v xml:space="preserve">          5001 - PURCHASES @ COST-NEW TEXT</v>
      </c>
      <c r="C18" s="23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0</v>
      </c>
    </row>
    <row r="19" spans="1:17" s="9" customFormat="1" hidden="1" outlineLevel="1" x14ac:dyDescent="0.3">
      <c r="A19" s="22"/>
      <c r="B19" s="10" t="str">
        <f>CONCATENATE("          ","5002", " - ","PURCHASES @ COST-USED TEXT")</f>
        <v xml:space="preserve">          5002 - PURCHASES @ COST-USED TEXT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0</v>
      </c>
    </row>
    <row r="20" spans="1:17" s="9" customFormat="1" hidden="1" outlineLevel="1" x14ac:dyDescent="0.3">
      <c r="A20" s="22"/>
      <c r="B20" s="10" t="str">
        <f>CONCATENATE("          ","5004", " - ","PURCHASES @ COST-DIGITAL TEXT")</f>
        <v xml:space="preserve">          5004 - PURCHASES @ COST-DIGITAL TEXT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SUM(OSRRefD14_3x)+IFERROR(SUM(OSRRefE14_3x),0)</f>
        <v>0</v>
      </c>
    </row>
    <row r="21" spans="1:17" s="9" customFormat="1" hidden="1" outlineLevel="1" x14ac:dyDescent="0.3">
      <c r="A21" s="22"/>
      <c r="B21" s="10" t="str">
        <f>CONCATENATE("          ","5200", " - ","PURCHASES OFFSET")</f>
        <v xml:space="preserve">          5200 - PURCHASES OFFSET</v>
      </c>
      <c r="C21" s="23"/>
      <c r="D21" s="2">
        <v>-264391.71999999997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SUM(OSRRefD14_4x)+IFERROR(SUM(OSRRefE14_4x),0)</f>
        <v>-264391.71999999997</v>
      </c>
    </row>
    <row r="22" spans="1:17" s="9" customFormat="1" hidden="1" outlineLevel="1" x14ac:dyDescent="0.3">
      <c r="A22" s="22"/>
      <c r="B22" s="10" t="str">
        <f>CONCATENATE("          ","5300", " - ","COG$ OFFSET")</f>
        <v xml:space="preserve">          5300 - COG$ OFFSET</v>
      </c>
      <c r="C22" s="23"/>
      <c r="D22" s="2">
        <v>42691.72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SUM(OSRRefD14_5x)+IFERROR(SUM(OSRRefE14_5x),0)</f>
        <v>42691.72</v>
      </c>
    </row>
    <row r="23" spans="1:17" s="9" customFormat="1" hidden="1" outlineLevel="1" x14ac:dyDescent="0.3">
      <c r="A23" s="22"/>
      <c r="B23" s="10" t="str">
        <f>CONCATENATE("          ","5500", " - ","FREIGHT-IN")</f>
        <v xml:space="preserve">          5500 - FREIGHT-IN</v>
      </c>
      <c r="C23" s="23"/>
      <c r="D23" s="2">
        <v>2183.71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SUM(OSRRefD14_6x)+IFERROR(SUM(OSRRefE14_6x),0)</f>
        <v>2183.71</v>
      </c>
    </row>
    <row r="24" spans="1:17" s="9" customFormat="1" hidden="1" outlineLevel="1" x14ac:dyDescent="0.3">
      <c r="A24" s="22"/>
      <c r="B24" s="10" t="str">
        <f>CONCATENATE("          ","5501", " - ","FREIGHT-IN-NEW TEXT")</f>
        <v xml:space="preserve">          5501 - FREIGHT-IN-NEW TEXT</v>
      </c>
      <c r="C24" s="23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SUM(OSRRefD14_7x)+IFERROR(SUM(OSRRefE14_7x),0)</f>
        <v>0</v>
      </c>
    </row>
    <row r="25" spans="1:17" s="9" customFormat="1" hidden="1" outlineLevel="1" x14ac:dyDescent="0.3">
      <c r="A25" s="22"/>
      <c r="B25" s="10" t="str">
        <f>CONCATENATE("          ","5502", " - ","FREIGHT-IN-USED TEXT")</f>
        <v xml:space="preserve">          5502 - FREIGHT-IN-USED TEXT</v>
      </c>
      <c r="C25" s="23"/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SUM(OSRRefD14_8x)+IFERROR(SUM(OSRRefE14_8x),0)</f>
        <v>0</v>
      </c>
    </row>
    <row r="26" spans="1:17" s="9" customFormat="1" hidden="1" outlineLevel="1" x14ac:dyDescent="0.3">
      <c r="A26" s="22"/>
      <c r="B26" s="10" t="str">
        <f>CONCATENATE("          ","5518", " - ","FREIGHT-IN-STUDY GUIDES")</f>
        <v xml:space="preserve">          5518 - FREIGHT-IN-STUDY GUIDES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SUM(OSRRefD14_9x)+IFERROR(SUM(OSRRefE14_9x),0)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6"/>
      <c r="B28" s="17" t="s">
        <v>105</v>
      </c>
      <c r="C28" s="17"/>
      <c r="D28" s="8">
        <f t="shared" ref="D28:O28" si="0">IFERROR(+D10-D16, 0)</f>
        <v>17413.069999999992</v>
      </c>
      <c r="E28" s="8">
        <f t="shared" si="0"/>
        <v>607883</v>
      </c>
      <c r="F28" s="8">
        <f t="shared" si="0"/>
        <v>129941</v>
      </c>
      <c r="G28" s="8">
        <f t="shared" si="0"/>
        <v>9959</v>
      </c>
      <c r="H28" s="8">
        <f t="shared" si="0"/>
        <v>3943</v>
      </c>
      <c r="I28" s="8">
        <f t="shared" si="0"/>
        <v>18298</v>
      </c>
      <c r="J28" s="8">
        <f t="shared" si="0"/>
        <v>439942</v>
      </c>
      <c r="K28" s="8">
        <f t="shared" si="0"/>
        <v>54401</v>
      </c>
      <c r="L28" s="8">
        <f t="shared" si="0"/>
        <v>5331</v>
      </c>
      <c r="M28" s="8">
        <f t="shared" si="0"/>
        <v>5231</v>
      </c>
      <c r="N28" s="8">
        <f t="shared" si="0"/>
        <v>15459</v>
      </c>
      <c r="O28" s="8">
        <f t="shared" si="0"/>
        <v>6168</v>
      </c>
      <c r="Q28" s="8">
        <f>IFERROR(+Q10-Q16, 0)</f>
        <v>1313969.0699999989</v>
      </c>
    </row>
    <row r="29" spans="1:17" s="6" customFormat="1" x14ac:dyDescent="0.3">
      <c r="B29" s="16"/>
      <c r="C29" s="16"/>
      <c r="D29" s="4">
        <f t="shared" ref="D29:O29" si="1">IFERROR(D28/D10, 0)</f>
        <v>0.28033680207074563</v>
      </c>
      <c r="E29" s="4">
        <f t="shared" si="1"/>
        <v>0.27658641235232423</v>
      </c>
      <c r="F29" s="4">
        <f t="shared" si="1"/>
        <v>0.27699827756744771</v>
      </c>
      <c r="G29" s="4">
        <f t="shared" si="1"/>
        <v>0.27718556041081022</v>
      </c>
      <c r="H29" s="4">
        <f t="shared" si="1"/>
        <v>0.27681830946363384</v>
      </c>
      <c r="I29" s="4">
        <f t="shared" si="1"/>
        <v>0.27721302286121169</v>
      </c>
      <c r="J29" s="4">
        <f t="shared" si="1"/>
        <v>0.27664784374882095</v>
      </c>
      <c r="K29" s="4">
        <f t="shared" si="1"/>
        <v>0.27673439073770745</v>
      </c>
      <c r="L29" s="4">
        <f t="shared" si="1"/>
        <v>0.27726634420346385</v>
      </c>
      <c r="M29" s="4">
        <f t="shared" si="1"/>
        <v>0.27730067854113655</v>
      </c>
      <c r="N29" s="4">
        <f t="shared" si="1"/>
        <v>0.2772069503469794</v>
      </c>
      <c r="O29" s="4">
        <f t="shared" si="1"/>
        <v>0.27793799567411681</v>
      </c>
      <c r="P29" s="18"/>
      <c r="Q29" s="4">
        <f>IFERROR(Q28/Q10, 0)</f>
        <v>0.27673600529822479</v>
      </c>
    </row>
    <row r="30" spans="1:17" x14ac:dyDescent="0.3">
      <c r="A30" s="5"/>
      <c r="B30" s="6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</row>
    <row r="31" spans="1:17" s="15" customFormat="1" x14ac:dyDescent="0.3">
      <c r="A31" s="6"/>
      <c r="B31" s="16" t="s">
        <v>255</v>
      </c>
      <c r="C31" s="6"/>
      <c r="D31" s="13">
        <f>SUM(OSRRefD20x_0)</f>
        <v>49140.74</v>
      </c>
      <c r="E31" s="13">
        <f>SUM(OSRRefE20x_0)</f>
        <v>64873.462538989712</v>
      </c>
      <c r="F31" s="13">
        <f>SUM(OSRRefE20x_1)</f>
        <v>51255.626738989711</v>
      </c>
      <c r="G31" s="13">
        <f>SUM(OSRRefE20x_2)</f>
        <v>53560.137548737199</v>
      </c>
      <c r="H31" s="13">
        <f>SUM(OSRRefE20x_3)</f>
        <v>46891.564838989718</v>
      </c>
      <c r="I31" s="13">
        <f>SUM(OSRRefE20x_4)</f>
        <v>51723.292318989712</v>
      </c>
      <c r="J31" s="13">
        <f>SUM(OSRRefE20x_5)</f>
        <v>80345.474916237203</v>
      </c>
      <c r="K31" s="13">
        <f>SUM(OSRRefE20x_6)</f>
        <v>47020.095388989714</v>
      </c>
      <c r="L31" s="13">
        <f>SUM(OSRRefE20x_7)</f>
        <v>45484.229754989719</v>
      </c>
      <c r="M31" s="13">
        <f>SUM(OSRRefE20x_8)</f>
        <v>54338.975590737195</v>
      </c>
      <c r="N31" s="13">
        <f>SUM(OSRRefE20x_9)</f>
        <v>45175.145897489718</v>
      </c>
      <c r="O31" s="13">
        <f>SUM(OSRRefE20x_10)</f>
        <v>58386.963591039719</v>
      </c>
      <c r="Q31" s="13">
        <f>SUM(OSRRefG20x)</f>
        <v>648195.70912417932</v>
      </c>
    </row>
    <row r="32" spans="1:17" s="34" customFormat="1" collapsed="1" x14ac:dyDescent="0.3">
      <c r="A32" s="35"/>
      <c r="B32" s="14" t="str">
        <f>CONCATENATE("     ","*Benefits                                         ")</f>
        <v xml:space="preserve">     *Benefits                                         </v>
      </c>
      <c r="C32" s="14"/>
      <c r="D32" s="1">
        <f>SUM(OSRRefD21_0x_0)</f>
        <v>11803.07</v>
      </c>
      <c r="E32" s="1">
        <f>SUM(OSRRefE21_0x_0)</f>
        <v>15283.178993735915</v>
      </c>
      <c r="F32" s="1">
        <f>SUM(OSRRefE21_0x_1)</f>
        <v>13830.343193735916</v>
      </c>
      <c r="G32" s="1">
        <f>SUM(OSRRefE21_0x_2)</f>
        <v>15587.2831171699</v>
      </c>
      <c r="H32" s="1">
        <f>SUM(OSRRefE21_0x_3)</f>
        <v>13513.281293735916</v>
      </c>
      <c r="I32" s="1">
        <f>SUM(OSRRefE21_0x_4)</f>
        <v>13603.008773735914</v>
      </c>
      <c r="J32" s="1">
        <f>SUM(OSRRefE21_0x_5)</f>
        <v>17653.470484669899</v>
      </c>
      <c r="K32" s="1">
        <f>SUM(OSRRefE21_0x_6)</f>
        <v>13545.311843735913</v>
      </c>
      <c r="L32" s="1">
        <f>SUM(OSRRefE21_0x_7)</f>
        <v>13462.866209735916</v>
      </c>
      <c r="M32" s="1">
        <f>SUM(OSRRefE21_0x_8)</f>
        <v>15572.661159169898</v>
      </c>
      <c r="N32" s="1">
        <f>SUM(OSRRefE21_0x_9)</f>
        <v>13510.257352235916</v>
      </c>
      <c r="O32" s="1">
        <f>SUM(OSRRefE21_0x_10)</f>
        <v>13686.585045785916</v>
      </c>
      <c r="Q32" s="2">
        <f>SUM(OSRRefD20_0x)+IFERROR(SUM(OSRRefE20_0x),0)</f>
        <v>171051.31746744699</v>
      </c>
    </row>
    <row r="33" spans="1:17" s="34" customFormat="1" hidden="1" outlineLevel="1" x14ac:dyDescent="0.3">
      <c r="A33" s="35"/>
      <c r="B33" s="10" t="str">
        <f>CONCATENATE("          ","6111", " - ","F.I.C.A.")</f>
        <v xml:space="preserve">          6111 - F.I.C.A.</v>
      </c>
      <c r="C33" s="14"/>
      <c r="D33" s="2">
        <v>2103.61</v>
      </c>
      <c r="E33" s="2">
        <v>2867.81730197977</v>
      </c>
      <c r="F33" s="2">
        <v>1967.82450197977</v>
      </c>
      <c r="G33" s="2">
        <v>2459.7806274747099</v>
      </c>
      <c r="H33" s="2">
        <v>1967.82450197977</v>
      </c>
      <c r="I33" s="2">
        <v>1993.53858197977</v>
      </c>
      <c r="J33" s="2">
        <v>3418.4145399747099</v>
      </c>
      <c r="K33" s="2">
        <v>1967.82450197977</v>
      </c>
      <c r="L33" s="2">
        <v>1967.82450197977</v>
      </c>
      <c r="M33" s="2">
        <v>2459.7806274747099</v>
      </c>
      <c r="N33" s="2">
        <v>1967.82450197977</v>
      </c>
      <c r="O33" s="2">
        <v>2120.9943225297702</v>
      </c>
      <c r="P33" s="9"/>
      <c r="Q33" s="2">
        <f>SUM(OSRRefD21_0_0x)+IFERROR(SUM(OSRRefE21_0_0x),0)</f>
        <v>27263.058511312287</v>
      </c>
    </row>
    <row r="34" spans="1:17" s="34" customFormat="1" hidden="1" outlineLevel="1" x14ac:dyDescent="0.3">
      <c r="A34" s="35"/>
      <c r="B34" s="10" t="str">
        <f>CONCATENATE("          ","6112", " - ","COMPENSATION INSURANCE")</f>
        <v xml:space="preserve">          6112 - COMPENSATION INSURANCE</v>
      </c>
      <c r="C34" s="14"/>
      <c r="D34" s="2">
        <v>382.51</v>
      </c>
      <c r="E34" s="2">
        <v>747.64735547999999</v>
      </c>
      <c r="F34" s="2">
        <v>566.84335548000001</v>
      </c>
      <c r="G34" s="2">
        <v>572.61969435000003</v>
      </c>
      <c r="H34" s="2">
        <v>463.15015548000002</v>
      </c>
      <c r="I34" s="2">
        <v>484.08535547999998</v>
      </c>
      <c r="J34" s="2">
        <v>934.83843435000006</v>
      </c>
      <c r="K34" s="2">
        <v>473.62555548</v>
      </c>
      <c r="L34" s="2">
        <v>446.66220348000002</v>
      </c>
      <c r="M34" s="2">
        <v>567.83767035000005</v>
      </c>
      <c r="N34" s="2">
        <v>462.16119348000001</v>
      </c>
      <c r="O34" s="2">
        <v>469.73483748000001</v>
      </c>
      <c r="P34" s="9"/>
      <c r="Q34" s="2">
        <f>SUM(OSRRefD21_0_1x)+IFERROR(SUM(OSRRefE21_0_1x),0)</f>
        <v>6571.7158108900012</v>
      </c>
    </row>
    <row r="35" spans="1:17" s="34" customFormat="1" hidden="1" outlineLevel="1" x14ac:dyDescent="0.3">
      <c r="A35" s="35"/>
      <c r="B35" s="10" t="str">
        <f>CONCATENATE("          ","6113", " - ","GROUP INSURANCE")</f>
        <v xml:space="preserve">          6113 - GROUP INSURANCE</v>
      </c>
      <c r="C35" s="14"/>
      <c r="D35" s="2">
        <v>4593.8599999999997</v>
      </c>
      <c r="E35" s="2">
        <v>5314</v>
      </c>
      <c r="F35" s="2">
        <v>5314</v>
      </c>
      <c r="G35" s="2">
        <v>5620</v>
      </c>
      <c r="H35" s="2">
        <v>5314</v>
      </c>
      <c r="I35" s="2">
        <v>5314</v>
      </c>
      <c r="J35" s="2">
        <v>5620</v>
      </c>
      <c r="K35" s="2">
        <v>5314</v>
      </c>
      <c r="L35" s="2">
        <v>5314</v>
      </c>
      <c r="M35" s="2">
        <v>5620</v>
      </c>
      <c r="N35" s="2">
        <v>5314</v>
      </c>
      <c r="O35" s="2">
        <v>5314</v>
      </c>
      <c r="P35" s="9"/>
      <c r="Q35" s="2">
        <f>SUM(OSRRefD21_0_2x)+IFERROR(SUM(OSRRefE21_0_2x),0)</f>
        <v>63965.86</v>
      </c>
    </row>
    <row r="36" spans="1:17" s="34" customFormat="1" hidden="1" outlineLevel="1" x14ac:dyDescent="0.3">
      <c r="A36" s="35"/>
      <c r="B36" s="10" t="str">
        <f>CONCATENATE("          ","6114", " - ","STATE UNEMPLOYMENT INSURANCE")</f>
        <v xml:space="preserve">          6114 - STATE UNEMPLOYMENT INSURANCE</v>
      </c>
      <c r="C36" s="14"/>
      <c r="D36" s="2">
        <v>74.709999999999994</v>
      </c>
      <c r="E36" s="2">
        <v>100.64483631461501</v>
      </c>
      <c r="F36" s="2">
        <v>76.305836314615405</v>
      </c>
      <c r="G36" s="2">
        <v>77.083420393269193</v>
      </c>
      <c r="H36" s="2">
        <v>62.347136314615398</v>
      </c>
      <c r="I36" s="2">
        <v>65.165336314615402</v>
      </c>
      <c r="J36" s="2">
        <v>125.843635393269</v>
      </c>
      <c r="K36" s="2">
        <v>63.757286314615399</v>
      </c>
      <c r="L36" s="2">
        <v>60.127604314615397</v>
      </c>
      <c r="M36" s="2">
        <v>76.439686393269199</v>
      </c>
      <c r="N36" s="2">
        <v>62.214006814615402</v>
      </c>
      <c r="O36" s="2">
        <v>63.233535814615401</v>
      </c>
      <c r="P36" s="9"/>
      <c r="Q36" s="2">
        <f>SUM(OSRRefD21_0_3x)+IFERROR(SUM(OSRRefE21_0_3x),0)</f>
        <v>907.87232069673018</v>
      </c>
    </row>
    <row r="37" spans="1:17" s="34" customFormat="1" hidden="1" outlineLevel="1" x14ac:dyDescent="0.3">
      <c r="A37" s="35"/>
      <c r="B37" s="10" t="str">
        <f>CONCATENATE("          ","6115", " - ","P.E.R.S.")</f>
        <v xml:space="preserve">          6115 - P.E.R.S.</v>
      </c>
      <c r="C37" s="14"/>
      <c r="D37" s="2">
        <v>1607.1</v>
      </c>
      <c r="E37" s="2">
        <v>1664.68278164615</v>
      </c>
      <c r="F37" s="2">
        <v>1664.68278164615</v>
      </c>
      <c r="G37" s="2">
        <v>2080.8534770576898</v>
      </c>
      <c r="H37" s="2">
        <v>1664.68278164615</v>
      </c>
      <c r="I37" s="2">
        <v>1664.68278164615</v>
      </c>
      <c r="J37" s="2">
        <v>2080.8534770576898</v>
      </c>
      <c r="K37" s="2">
        <v>1664.68278164615</v>
      </c>
      <c r="L37" s="2">
        <v>1664.68278164615</v>
      </c>
      <c r="M37" s="2">
        <v>2080.8534770576898</v>
      </c>
      <c r="N37" s="2">
        <v>1664.68278164615</v>
      </c>
      <c r="O37" s="2">
        <v>1664.68278164615</v>
      </c>
      <c r="P37" s="9"/>
      <c r="Q37" s="2">
        <f>SUM(OSRRefD21_0_4x)+IFERROR(SUM(OSRRefE21_0_4x),0)</f>
        <v>21167.12268434227</v>
      </c>
    </row>
    <row r="38" spans="1:17" s="34" customFormat="1" hidden="1" outlineLevel="1" x14ac:dyDescent="0.3">
      <c r="A38" s="35"/>
      <c r="B38" s="10" t="str">
        <f>CONCATENATE("          ","6116", " - ","EDUCATIONAL BENEFITS")</f>
        <v xml:space="preserve">          6116 - EDUCATIONAL BENEFITS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SUM(OSRRefD21_0_5x)+IFERROR(SUM(OSRRefE21_0_5x),0)</f>
        <v>0</v>
      </c>
    </row>
    <row r="39" spans="1:17" s="34" customFormat="1" hidden="1" outlineLevel="1" x14ac:dyDescent="0.3">
      <c r="A39" s="35"/>
      <c r="B39" s="10" t="str">
        <f>CONCATENATE("          ","6117", " - ","RETIREMENT STAFF HOURLY")</f>
        <v xml:space="preserve">          6117 - RETIREMENT STAFF HOURLY</v>
      </c>
      <c r="C39" s="14"/>
      <c r="D39" s="2">
        <v>253.61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2">
        <f>SUM(OSRRefD21_0_6x)+IFERROR(SUM(OSRRefE21_0_6x),0)</f>
        <v>253.61</v>
      </c>
    </row>
    <row r="40" spans="1:17" s="34" customFormat="1" hidden="1" outlineLevel="1" x14ac:dyDescent="0.3">
      <c r="A40" s="35"/>
      <c r="B40" s="10" t="str">
        <f>CONCATENATE("          ","6118", " - ","VACATION")</f>
        <v xml:space="preserve">          6118 - VACATION</v>
      </c>
      <c r="C40" s="14"/>
      <c r="D40" s="2">
        <v>1357.34</v>
      </c>
      <c r="E40" s="2">
        <v>1689.1935418999999</v>
      </c>
      <c r="F40" s="2">
        <v>1689.1935418999999</v>
      </c>
      <c r="G40" s="2">
        <v>2111.4919273750002</v>
      </c>
      <c r="H40" s="2">
        <v>1689.1935418999999</v>
      </c>
      <c r="I40" s="2">
        <v>1689.1935418999999</v>
      </c>
      <c r="J40" s="2">
        <v>2111.4919273750002</v>
      </c>
      <c r="K40" s="2">
        <v>1689.1935418999999</v>
      </c>
      <c r="L40" s="2">
        <v>1689.1935418999999</v>
      </c>
      <c r="M40" s="2">
        <v>2111.4919273750002</v>
      </c>
      <c r="N40" s="2">
        <v>1689.1935418999999</v>
      </c>
      <c r="O40" s="2">
        <v>1689.1935418999999</v>
      </c>
      <c r="P40" s="9"/>
      <c r="Q40" s="2">
        <f>SUM(OSRRefD21_0_7x)+IFERROR(SUM(OSRRefE21_0_7x),0)</f>
        <v>21205.364117325003</v>
      </c>
    </row>
    <row r="41" spans="1:17" s="34" customFormat="1" hidden="1" outlineLevel="1" x14ac:dyDescent="0.3">
      <c r="A41" s="35"/>
      <c r="B41" s="10" t="str">
        <f>CONCATENATE("          ","6119", " - ","SICK LEAVE")</f>
        <v xml:space="preserve">          6119 - SICK LEAVE</v>
      </c>
      <c r="C41" s="14"/>
      <c r="D41" s="2">
        <v>1071.9000000000001</v>
      </c>
      <c r="E41" s="2">
        <v>1849.1931764153801</v>
      </c>
      <c r="F41" s="2">
        <v>1501.49317641538</v>
      </c>
      <c r="G41" s="2">
        <v>1615.4539705192301</v>
      </c>
      <c r="H41" s="2">
        <v>1302.08317641538</v>
      </c>
      <c r="I41" s="2">
        <v>1342.34317641538</v>
      </c>
      <c r="J41" s="2">
        <v>2312.0284705192298</v>
      </c>
      <c r="K41" s="2">
        <v>1322.2281764153799</v>
      </c>
      <c r="L41" s="2">
        <v>1270.37557641538</v>
      </c>
      <c r="M41" s="2">
        <v>1606.25777051923</v>
      </c>
      <c r="N41" s="2">
        <v>1300.18132641538</v>
      </c>
      <c r="O41" s="2">
        <v>1314.7460264153799</v>
      </c>
      <c r="P41" s="9"/>
      <c r="Q41" s="2">
        <f>SUM(OSRRefD21_0_8x)+IFERROR(SUM(OSRRefE21_0_8x),0)</f>
        <v>17808.284022880733</v>
      </c>
    </row>
    <row r="42" spans="1:17" s="34" customFormat="1" hidden="1" outlineLevel="1" x14ac:dyDescent="0.3">
      <c r="A42" s="35"/>
      <c r="B42" s="10" t="str">
        <f>CONCATENATE("          ","6156", " - ","EMPLOYEE MEALS")</f>
        <v xml:space="preserve">          6156 - EMPLOYEE MEALS</v>
      </c>
      <c r="C42" s="14"/>
      <c r="D42" s="2">
        <v>358.43</v>
      </c>
      <c r="E42" s="2">
        <v>1050</v>
      </c>
      <c r="F42" s="2">
        <v>1050</v>
      </c>
      <c r="G42" s="2">
        <v>1050</v>
      </c>
      <c r="H42" s="2">
        <v>1050</v>
      </c>
      <c r="I42" s="2">
        <v>1050</v>
      </c>
      <c r="J42" s="2">
        <v>1050</v>
      </c>
      <c r="K42" s="2">
        <v>1050</v>
      </c>
      <c r="L42" s="2">
        <v>1050</v>
      </c>
      <c r="M42" s="2">
        <v>1050</v>
      </c>
      <c r="N42" s="2">
        <v>1050</v>
      </c>
      <c r="O42" s="2">
        <v>1050</v>
      </c>
      <c r="P42" s="9"/>
      <c r="Q42" s="2">
        <f>SUM(OSRRefD21_0_9x)+IFERROR(SUM(OSRRefE21_0_9x),0)</f>
        <v>11908.43</v>
      </c>
    </row>
    <row r="43" spans="1:17" s="34" customFormat="1" collapsed="1" x14ac:dyDescent="0.3">
      <c r="A43" s="35"/>
      <c r="B43" s="14" t="str">
        <f>CONCATENATE("     ","*Payroll                                          ")</f>
        <v xml:space="preserve">     *Payroll                                          </v>
      </c>
      <c r="C43" s="14"/>
      <c r="D43" s="1">
        <f>SUM(OSRRefD21_1x_0)</f>
        <v>32421.75</v>
      </c>
      <c r="E43" s="1">
        <f>SUM(OSRRefE21_1x_0)</f>
        <v>45435.283545253798</v>
      </c>
      <c r="F43" s="1">
        <f>SUM(OSRRefE21_1x_1)</f>
        <v>33845.283545253798</v>
      </c>
      <c r="G43" s="1">
        <f>SUM(OSRRefE21_1x_2)</f>
        <v>33592.854431567299</v>
      </c>
      <c r="H43" s="1">
        <f>SUM(OSRRefE21_1x_3)</f>
        <v>27198.283545253802</v>
      </c>
      <c r="I43" s="1">
        <f>SUM(OSRRefE21_1x_4)</f>
        <v>28540.283545253802</v>
      </c>
      <c r="J43" s="1">
        <f>SUM(OSRRefE21_1x_5)</f>
        <v>56812.0044315673</v>
      </c>
      <c r="K43" s="1">
        <f>SUM(OSRRefE21_1x_6)</f>
        <v>27869.783545253802</v>
      </c>
      <c r="L43" s="1">
        <f>SUM(OSRRefE21_1x_7)</f>
        <v>26141.3635452538</v>
      </c>
      <c r="M43" s="1">
        <f>SUM(OSRRefE21_1x_8)</f>
        <v>33286.314431567298</v>
      </c>
      <c r="N43" s="1">
        <f>SUM(OSRRefE21_1x_9)</f>
        <v>27134.888545253802</v>
      </c>
      <c r="O43" s="1">
        <f>SUM(OSRRefE21_1x_10)</f>
        <v>27620.378545253803</v>
      </c>
      <c r="Q43" s="2">
        <f>SUM(OSRRefD20_1x)+IFERROR(SUM(OSRRefE20_1x),0)</f>
        <v>399898.47165673232</v>
      </c>
    </row>
    <row r="44" spans="1:17" s="34" customFormat="1" hidden="1" outlineLevel="1" x14ac:dyDescent="0.3">
      <c r="A44" s="35"/>
      <c r="B44" s="10" t="str">
        <f>CONCATENATE("          ","6001", " - ","ADMINISTRATIVE SALARIES")</f>
        <v xml:space="preserve">          6001 - ADMINISTRATIVE SALARIES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SUM(OSRRefD21_1_0x)+IFERROR(SUM(OSRRefE21_1_0x),0)</f>
        <v>0</v>
      </c>
    </row>
    <row r="45" spans="1:17" s="34" customFormat="1" hidden="1" outlineLevel="1" x14ac:dyDescent="0.3">
      <c r="A45" s="35"/>
      <c r="B45" s="10" t="str">
        <f>CONCATENATE("          ","6002", " - ","STAFF SALARIES")</f>
        <v xml:space="preserve">          6002 - STAFF SALARIES</v>
      </c>
      <c r="C45" s="14"/>
      <c r="D45" s="2">
        <v>19061.23</v>
      </c>
      <c r="E45" s="2">
        <v>17293.700777253802</v>
      </c>
      <c r="F45" s="2">
        <v>17293.700777253802</v>
      </c>
      <c r="G45" s="2">
        <v>21617.1259715673</v>
      </c>
      <c r="H45" s="2">
        <v>17293.700777253802</v>
      </c>
      <c r="I45" s="2">
        <v>17293.700777253802</v>
      </c>
      <c r="J45" s="2">
        <v>21617.1259715673</v>
      </c>
      <c r="K45" s="2">
        <v>17293.700777253802</v>
      </c>
      <c r="L45" s="2">
        <v>17293.700777253802</v>
      </c>
      <c r="M45" s="2">
        <v>21617.1259715673</v>
      </c>
      <c r="N45" s="2">
        <v>17293.700777253802</v>
      </c>
      <c r="O45" s="2">
        <v>17293.700777253802</v>
      </c>
      <c r="P45" s="9"/>
      <c r="Q45" s="2">
        <f>SUM(OSRRefD21_1_1x)+IFERROR(SUM(OSRRefE21_1_1x),0)</f>
        <v>222262.21413273233</v>
      </c>
    </row>
    <row r="46" spans="1:17" s="34" customFormat="1" hidden="1" outlineLevel="1" x14ac:dyDescent="0.3">
      <c r="A46" s="35"/>
      <c r="B46" s="10" t="str">
        <f>CONCATENATE("          ","6003", " - ","STAFF HOURLY-9 MONTH")</f>
        <v xml:space="preserve">          6003 - STAFF HOURLY-9 MONTH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9"/>
      <c r="Q46" s="2">
        <f>SUM(OSRRefD21_1_2x)+IFERROR(SUM(OSRRefE21_1_2x),0)</f>
        <v>0</v>
      </c>
    </row>
    <row r="47" spans="1:17" s="34" customFormat="1" hidden="1" outlineLevel="1" x14ac:dyDescent="0.3">
      <c r="A47" s="35"/>
      <c r="B47" s="10" t="str">
        <f>CONCATENATE("          ","6004", " - ","STAFF HOURLY")</f>
        <v xml:space="preserve">          6004 - STAFF HOURLY</v>
      </c>
      <c r="C47" s="14"/>
      <c r="D47" s="2">
        <v>6184.05</v>
      </c>
      <c r="E47" s="2">
        <v>5928.5827680000002</v>
      </c>
      <c r="F47" s="2">
        <v>5928.5827680000002</v>
      </c>
      <c r="G47" s="2">
        <v>7410.7284600000003</v>
      </c>
      <c r="H47" s="2">
        <v>5928.5827680000002</v>
      </c>
      <c r="I47" s="2">
        <v>5928.5827680000002</v>
      </c>
      <c r="J47" s="2">
        <v>7410.7284600000003</v>
      </c>
      <c r="K47" s="2">
        <v>5928.5827680000002</v>
      </c>
      <c r="L47" s="2">
        <v>5928.5827680000002</v>
      </c>
      <c r="M47" s="2">
        <v>7410.7284600000003</v>
      </c>
      <c r="N47" s="2">
        <v>5928.5827680000002</v>
      </c>
      <c r="O47" s="2">
        <v>5928.5827680000002</v>
      </c>
      <c r="P47" s="9"/>
      <c r="Q47" s="2">
        <f>SUM(OSRRefD21_1_3x)+IFERROR(SUM(OSRRefE21_1_3x),0)</f>
        <v>75844.897524</v>
      </c>
    </row>
    <row r="48" spans="1:17" s="34" customFormat="1" hidden="1" outlineLevel="1" x14ac:dyDescent="0.3">
      <c r="A48" s="35"/>
      <c r="B48" s="10" t="str">
        <f>CONCATENATE("          ","6005", " - ","TEMPORARY WAGES-HOURLY")</f>
        <v xml:space="preserve">          6005 - TEMPORARY WAGES-HOURLY</v>
      </c>
      <c r="C48" s="14"/>
      <c r="D48" s="2">
        <v>3877.79</v>
      </c>
      <c r="E48" s="2">
        <v>4181</v>
      </c>
      <c r="F48" s="2">
        <v>3455</v>
      </c>
      <c r="G48" s="2">
        <v>3445</v>
      </c>
      <c r="H48" s="2">
        <v>3080</v>
      </c>
      <c r="I48" s="2">
        <v>4198</v>
      </c>
      <c r="J48" s="2">
        <v>3009.34</v>
      </c>
      <c r="K48" s="2">
        <v>1802</v>
      </c>
      <c r="L48" s="2">
        <v>1802</v>
      </c>
      <c r="M48" s="2">
        <v>2396.66</v>
      </c>
      <c r="N48" s="2">
        <v>2252.5</v>
      </c>
      <c r="O48" s="2">
        <v>2396.66</v>
      </c>
      <c r="P48" s="9"/>
      <c r="Q48" s="2">
        <f>SUM(OSRRefD21_1_4x)+IFERROR(SUM(OSRRefE21_1_4x),0)</f>
        <v>35895.949999999997</v>
      </c>
    </row>
    <row r="49" spans="1:17" s="34" customFormat="1" hidden="1" outlineLevel="1" x14ac:dyDescent="0.3">
      <c r="A49" s="35"/>
      <c r="B49" s="10" t="str">
        <f>CONCATENATE("          ","6006", " - ","TEMPORARY PART TIME")</f>
        <v xml:space="preserve">          6006 - TEMPORARY PART TIME</v>
      </c>
      <c r="C49" s="14"/>
      <c r="D49" s="2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9"/>
      <c r="Q49" s="2">
        <f>SUM(OSRRefD21_1_5x)+IFERROR(SUM(OSRRefE21_1_5x),0)</f>
        <v>0</v>
      </c>
    </row>
    <row r="50" spans="1:17" s="34" customFormat="1" hidden="1" outlineLevel="1" x14ac:dyDescent="0.3">
      <c r="A50" s="35"/>
      <c r="B50" s="10" t="str">
        <f>CONCATENATE("          ","6007", " - ","STUDENT HOURLY")</f>
        <v xml:space="preserve">          6007 - STUDENT HOURLY</v>
      </c>
      <c r="C50" s="14"/>
      <c r="D50" s="2">
        <v>3298.68</v>
      </c>
      <c r="E50" s="2">
        <v>11760</v>
      </c>
      <c r="F50" s="2">
        <v>0</v>
      </c>
      <c r="G50" s="2">
        <v>0</v>
      </c>
      <c r="H50" s="2">
        <v>0</v>
      </c>
      <c r="I50" s="2">
        <v>336</v>
      </c>
      <c r="J50" s="2">
        <v>12526.25</v>
      </c>
      <c r="K50" s="2">
        <v>0</v>
      </c>
      <c r="L50" s="2">
        <v>0</v>
      </c>
      <c r="M50" s="2">
        <v>0</v>
      </c>
      <c r="N50" s="2">
        <v>0</v>
      </c>
      <c r="O50" s="2">
        <v>2001.4349999999999</v>
      </c>
      <c r="P50" s="9"/>
      <c r="Q50" s="2">
        <f>SUM(OSRRefD21_1_6x)+IFERROR(SUM(OSRRefE21_1_6x),0)</f>
        <v>29922.365000000002</v>
      </c>
    </row>
    <row r="51" spans="1:17" s="34" customFormat="1" hidden="1" outlineLevel="1" x14ac:dyDescent="0.3">
      <c r="A51" s="35"/>
      <c r="B51" s="10" t="str">
        <f>CONCATENATE("          ","6008", " - ","STUDENT HOURLY-FICA EXEMPT")</f>
        <v xml:space="preserve">          6008 - STUDENT HOURLY-FICA EXEMPT</v>
      </c>
      <c r="C51" s="14"/>
      <c r="D51" s="2"/>
      <c r="E51" s="2">
        <v>6272</v>
      </c>
      <c r="F51" s="2">
        <v>7168</v>
      </c>
      <c r="G51" s="2">
        <v>1120</v>
      </c>
      <c r="H51" s="2">
        <v>896</v>
      </c>
      <c r="I51" s="2">
        <v>784</v>
      </c>
      <c r="J51" s="2">
        <v>12248.56</v>
      </c>
      <c r="K51" s="2">
        <v>2845.5</v>
      </c>
      <c r="L51" s="2">
        <v>1117.08</v>
      </c>
      <c r="M51" s="2">
        <v>1861.8</v>
      </c>
      <c r="N51" s="2">
        <v>1660.105</v>
      </c>
      <c r="O51" s="2">
        <v>0</v>
      </c>
      <c r="P51" s="9"/>
      <c r="Q51" s="2">
        <f>SUM(OSRRefD21_1_7x)+IFERROR(SUM(OSRRefE21_1_7x),0)</f>
        <v>35973.045000000006</v>
      </c>
    </row>
    <row r="52" spans="1:17" s="34" customFormat="1" hidden="1" outlineLevel="1" x14ac:dyDescent="0.3">
      <c r="A52" s="35"/>
      <c r="B52" s="10" t="str">
        <f>CONCATENATE("          ","6009", " - ","TEMPORARY-SEASONAL")</f>
        <v xml:space="preserve">          6009 - TEMPORARY-SEASONAL</v>
      </c>
      <c r="C52" s="14"/>
      <c r="D52" s="2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9"/>
      <c r="Q52" s="2">
        <f>SUM(OSRRefD21_1_8x)+IFERROR(SUM(OSRRefE21_1_8x),0)</f>
        <v>0</v>
      </c>
    </row>
    <row r="53" spans="1:17" s="34" customFormat="1" hidden="1" outlineLevel="1" x14ac:dyDescent="0.3">
      <c r="A53" s="35"/>
      <c r="B53" s="10" t="str">
        <f>CONCATENATE("          ","6010", " - ","GRATUITY")</f>
        <v xml:space="preserve">          6010 - GRATUITY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SUM(OSRRefD21_1_9x)+IFERROR(SUM(OSRRefE21_1_9x),0)</f>
        <v>0</v>
      </c>
    </row>
    <row r="54" spans="1:17" s="34" customFormat="1" collapsed="1" x14ac:dyDescent="0.3">
      <c r="A54" s="35"/>
      <c r="B54" s="14" t="str">
        <f>CONCATENATE("     ","Advertising/Promo                                 ")</f>
        <v xml:space="preserve">     Advertising/Promo                                 </v>
      </c>
      <c r="C54" s="14"/>
      <c r="D54" s="1">
        <f>SUM(OSRRefD21_2x_0)</f>
        <v>0</v>
      </c>
      <c r="E54" s="1">
        <f>SUM(OSRRefE21_2x_0)</f>
        <v>400</v>
      </c>
      <c r="F54" s="1">
        <f>SUM(OSRRefE21_2x_1)</f>
        <v>100</v>
      </c>
      <c r="G54" s="1">
        <f>SUM(OSRRefE21_2x_2)</f>
        <v>100</v>
      </c>
      <c r="H54" s="1">
        <f>SUM(OSRRefE21_2x_3)</f>
        <v>100</v>
      </c>
      <c r="I54" s="1">
        <f>SUM(OSRRefE21_2x_4)</f>
        <v>200</v>
      </c>
      <c r="J54" s="1">
        <f>SUM(OSRRefE21_2x_5)</f>
        <v>400</v>
      </c>
      <c r="K54" s="1">
        <f>SUM(OSRRefE21_2x_6)</f>
        <v>100</v>
      </c>
      <c r="L54" s="1">
        <f>SUM(OSRRefE21_2x_7)</f>
        <v>100</v>
      </c>
      <c r="M54" s="1">
        <f>SUM(OSRRefE21_2x_8)</f>
        <v>100</v>
      </c>
      <c r="N54" s="1">
        <f>SUM(OSRRefE21_2x_9)</f>
        <v>200</v>
      </c>
      <c r="O54" s="1">
        <f>SUM(OSRRefE21_2x_10)</f>
        <v>100</v>
      </c>
      <c r="Q54" s="2">
        <f>SUM(OSRRefD20_2x)+IFERROR(SUM(OSRRefE20_2x),0)</f>
        <v>1900</v>
      </c>
    </row>
    <row r="55" spans="1:17" s="34" customFormat="1" hidden="1" outlineLevel="1" x14ac:dyDescent="0.3">
      <c r="A55" s="35"/>
      <c r="B55" s="10" t="str">
        <f>CONCATENATE("          ","6362", " - ","ADVERTISING EXPENSE")</f>
        <v xml:space="preserve">          6362 - ADVERTISING EXPENSE</v>
      </c>
      <c r="C55" s="14"/>
      <c r="D55" s="2"/>
      <c r="E55" s="2">
        <v>400</v>
      </c>
      <c r="F55" s="2">
        <v>100</v>
      </c>
      <c r="G55" s="2">
        <v>100</v>
      </c>
      <c r="H55" s="2">
        <v>100</v>
      </c>
      <c r="I55" s="2">
        <v>200</v>
      </c>
      <c r="J55" s="2">
        <v>400</v>
      </c>
      <c r="K55" s="2">
        <v>100</v>
      </c>
      <c r="L55" s="2">
        <v>100</v>
      </c>
      <c r="M55" s="2">
        <v>100</v>
      </c>
      <c r="N55" s="2">
        <v>200</v>
      </c>
      <c r="O55" s="2">
        <v>100</v>
      </c>
      <c r="P55" s="9"/>
      <c r="Q55" s="2">
        <f>SUM(OSRRefD21_2_0x)+IFERROR(SUM(OSRRefE21_2_0x),0)</f>
        <v>1900</v>
      </c>
    </row>
    <row r="56" spans="1:17" s="34" customFormat="1" collapsed="1" x14ac:dyDescent="0.3">
      <c r="A56" s="35"/>
      <c r="B56" s="14" t="str">
        <f>CONCATENATE("     ","Employees' Appreciation                           ")</f>
        <v xml:space="preserve">     Employees' Appreciation                           </v>
      </c>
      <c r="C56" s="14"/>
      <c r="D56" s="1">
        <f>SUM(OSRRefD21_3x_0)</f>
        <v>0</v>
      </c>
      <c r="E56" s="1">
        <f>SUM(OSRRefE21_3x_0)</f>
        <v>50</v>
      </c>
      <c r="F56" s="1">
        <f>SUM(OSRRefE21_3x_1)</f>
        <v>50</v>
      </c>
      <c r="G56" s="1">
        <f>SUM(OSRRefE21_3x_2)</f>
        <v>50</v>
      </c>
      <c r="H56" s="1">
        <f>SUM(OSRRefE21_3x_3)</f>
        <v>50</v>
      </c>
      <c r="I56" s="1">
        <f>SUM(OSRRefE21_3x_4)</f>
        <v>50</v>
      </c>
      <c r="J56" s="1">
        <f>SUM(OSRRefE21_3x_5)</f>
        <v>50</v>
      </c>
      <c r="K56" s="1">
        <f>SUM(OSRRefE21_3x_6)</f>
        <v>50</v>
      </c>
      <c r="L56" s="1">
        <f>SUM(OSRRefE21_3x_7)</f>
        <v>50</v>
      </c>
      <c r="M56" s="1">
        <f>SUM(OSRRefE21_3x_8)</f>
        <v>50</v>
      </c>
      <c r="N56" s="1">
        <f>SUM(OSRRefE21_3x_9)</f>
        <v>50</v>
      </c>
      <c r="O56" s="1">
        <f>SUM(OSRRefE21_3x_10)</f>
        <v>50</v>
      </c>
      <c r="Q56" s="2">
        <f>SUM(OSRRefD20_3x)+IFERROR(SUM(OSRRefE20_3x),0)</f>
        <v>550</v>
      </c>
    </row>
    <row r="57" spans="1:17" s="34" customFormat="1" hidden="1" outlineLevel="1" x14ac:dyDescent="0.3">
      <c r="A57" s="35"/>
      <c r="B57" s="10" t="str">
        <f>CONCATENATE("          ","6277", " - ","EMPLOYEE APPRECIATION")</f>
        <v xml:space="preserve">          6277 - EMPLOYEE APPRECIATION</v>
      </c>
      <c r="C57" s="14"/>
      <c r="D57" s="2"/>
      <c r="E57" s="2">
        <v>50</v>
      </c>
      <c r="F57" s="2">
        <v>50</v>
      </c>
      <c r="G57" s="2">
        <v>50</v>
      </c>
      <c r="H57" s="2">
        <v>50</v>
      </c>
      <c r="I57" s="2">
        <v>50</v>
      </c>
      <c r="J57" s="2">
        <v>50</v>
      </c>
      <c r="K57" s="2">
        <v>50</v>
      </c>
      <c r="L57" s="2">
        <v>50</v>
      </c>
      <c r="M57" s="2">
        <v>50</v>
      </c>
      <c r="N57" s="2">
        <v>50</v>
      </c>
      <c r="O57" s="2">
        <v>50</v>
      </c>
      <c r="P57" s="9"/>
      <c r="Q57" s="2">
        <f>SUM(OSRRefD21_3_0x)+IFERROR(SUM(OSRRefE21_3_0x),0)</f>
        <v>550</v>
      </c>
    </row>
    <row r="58" spans="1:17" s="34" customFormat="1" collapsed="1" x14ac:dyDescent="0.3">
      <c r="A58" s="35"/>
      <c r="B58" s="14" t="str">
        <f>CONCATENATE("     ","Equipment Rental                                  ")</f>
        <v xml:space="preserve">     Equipment Rental                                  </v>
      </c>
      <c r="C58" s="14"/>
      <c r="D58" s="1">
        <f>SUM(OSRRefD21_4x_0)</f>
        <v>91.26</v>
      </c>
      <c r="E58" s="1">
        <f>SUM(OSRRefE21_4x_0)</f>
        <v>100</v>
      </c>
      <c r="F58" s="1">
        <f>SUM(OSRRefE21_4x_1)</f>
        <v>100</v>
      </c>
      <c r="G58" s="1">
        <f>SUM(OSRRefE21_4x_2)</f>
        <v>100</v>
      </c>
      <c r="H58" s="1">
        <f>SUM(OSRRefE21_4x_3)</f>
        <v>100</v>
      </c>
      <c r="I58" s="1">
        <f>SUM(OSRRefE21_4x_4)</f>
        <v>100</v>
      </c>
      <c r="J58" s="1">
        <f>SUM(OSRRefE21_4x_5)</f>
        <v>100</v>
      </c>
      <c r="K58" s="1">
        <f>SUM(OSRRefE21_4x_6)</f>
        <v>100</v>
      </c>
      <c r="L58" s="1">
        <f>SUM(OSRRefE21_4x_7)</f>
        <v>100</v>
      </c>
      <c r="M58" s="1">
        <f>SUM(OSRRefE21_4x_8)</f>
        <v>100</v>
      </c>
      <c r="N58" s="1">
        <f>SUM(OSRRefE21_4x_9)</f>
        <v>100</v>
      </c>
      <c r="O58" s="1">
        <f>SUM(OSRRefE21_4x_10)</f>
        <v>100</v>
      </c>
      <c r="Q58" s="2">
        <f>SUM(OSRRefD20_4x)+IFERROR(SUM(OSRRefE20_4x),0)</f>
        <v>1191.26</v>
      </c>
    </row>
    <row r="59" spans="1:17" s="34" customFormat="1" hidden="1" outlineLevel="1" x14ac:dyDescent="0.3">
      <c r="A59" s="35"/>
      <c r="B59" s="10" t="str">
        <f>CONCATENATE("          ","6351", " - ","EQUIPMENT RENTAL")</f>
        <v xml:space="preserve">          6351 - EQUIPMENT RENTAL</v>
      </c>
      <c r="C59" s="14"/>
      <c r="D59" s="2">
        <v>91.26</v>
      </c>
      <c r="E59" s="2">
        <v>100</v>
      </c>
      <c r="F59" s="2">
        <v>100</v>
      </c>
      <c r="G59" s="2">
        <v>100</v>
      </c>
      <c r="H59" s="2">
        <v>100</v>
      </c>
      <c r="I59" s="2">
        <v>100</v>
      </c>
      <c r="J59" s="2">
        <v>100</v>
      </c>
      <c r="K59" s="2">
        <v>100</v>
      </c>
      <c r="L59" s="2">
        <v>100</v>
      </c>
      <c r="M59" s="2">
        <v>100</v>
      </c>
      <c r="N59" s="2">
        <v>100</v>
      </c>
      <c r="O59" s="2">
        <v>100</v>
      </c>
      <c r="P59" s="9"/>
      <c r="Q59" s="2">
        <f>SUM(OSRRefD21_4_0x)+IFERROR(SUM(OSRRefE21_4_0x),0)</f>
        <v>1191.26</v>
      </c>
    </row>
    <row r="60" spans="1:17" s="34" customFormat="1" collapsed="1" x14ac:dyDescent="0.3">
      <c r="A60" s="35"/>
      <c r="B60" s="14" t="str">
        <f>CONCATENATE("     ","Freight out/Postage                               ")</f>
        <v xml:space="preserve">     Freight out/Postage                               </v>
      </c>
      <c r="C60" s="14"/>
      <c r="D60" s="1">
        <f>SUM(OSRRefD21_5x_0)</f>
        <v>132.66999999999999</v>
      </c>
      <c r="E60" s="1">
        <f>SUM(OSRRefE21_5x_0)</f>
        <v>500</v>
      </c>
      <c r="F60" s="1">
        <f>SUM(OSRRefE21_5x_1)</f>
        <v>800</v>
      </c>
      <c r="G60" s="1">
        <f>SUM(OSRRefE21_5x_2)</f>
        <v>1800</v>
      </c>
      <c r="H60" s="1">
        <f>SUM(OSRRefE21_5x_3)</f>
        <v>3000</v>
      </c>
      <c r="I60" s="1">
        <f>SUM(OSRRefE21_5x_4)</f>
        <v>1500</v>
      </c>
      <c r="J60" s="1">
        <f>SUM(OSRRefE21_5x_5)</f>
        <v>800</v>
      </c>
      <c r="K60" s="1">
        <f>SUM(OSRRefE21_5x_6)</f>
        <v>1800</v>
      </c>
      <c r="L60" s="1">
        <f>SUM(OSRRefE21_5x_7)</f>
        <v>3200</v>
      </c>
      <c r="M60" s="1">
        <f>SUM(OSRRefE21_5x_8)</f>
        <v>2300</v>
      </c>
      <c r="N60" s="1">
        <f>SUM(OSRRefE21_5x_9)</f>
        <v>1000</v>
      </c>
      <c r="O60" s="1">
        <f>SUM(OSRRefE21_5x_10)</f>
        <v>500</v>
      </c>
      <c r="Q60" s="2">
        <f>SUM(OSRRefD20_5x)+IFERROR(SUM(OSRRefE20_5x),0)</f>
        <v>17332.669999999998</v>
      </c>
    </row>
    <row r="61" spans="1:17" s="34" customFormat="1" hidden="1" outlineLevel="1" x14ac:dyDescent="0.3">
      <c r="A61" s="35"/>
      <c r="B61" s="10" t="str">
        <f>CONCATENATE("          ","6305", " - ","FREIGHT OUT")</f>
        <v xml:space="preserve">          6305 - FREIGHT OUT</v>
      </c>
      <c r="C61" s="14"/>
      <c r="D61" s="2">
        <v>132.66999999999999</v>
      </c>
      <c r="E61" s="2">
        <v>500</v>
      </c>
      <c r="F61" s="2">
        <v>800</v>
      </c>
      <c r="G61" s="2">
        <v>1800</v>
      </c>
      <c r="H61" s="2">
        <v>3000</v>
      </c>
      <c r="I61" s="2">
        <v>1500</v>
      </c>
      <c r="J61" s="2">
        <v>800</v>
      </c>
      <c r="K61" s="2">
        <v>1800</v>
      </c>
      <c r="L61" s="2">
        <v>3200</v>
      </c>
      <c r="M61" s="2">
        <v>2300</v>
      </c>
      <c r="N61" s="2">
        <v>1000</v>
      </c>
      <c r="O61" s="2">
        <v>500</v>
      </c>
      <c r="P61" s="9"/>
      <c r="Q61" s="2">
        <f>SUM(OSRRefD21_5_0x)+IFERROR(SUM(OSRRefE21_5_0x),0)</f>
        <v>17332.669999999998</v>
      </c>
    </row>
    <row r="62" spans="1:17" s="34" customFormat="1" collapsed="1" x14ac:dyDescent="0.3">
      <c r="A62" s="35"/>
      <c r="B62" s="14" t="str">
        <f>CONCATENATE("     ","General                                           ")</f>
        <v xml:space="preserve">     General                                           </v>
      </c>
      <c r="C62" s="14"/>
      <c r="D62" s="1">
        <f>SUM(OSRRefD21_6x_0)</f>
        <v>0</v>
      </c>
      <c r="E62" s="1">
        <f>SUM(OSRRefE21_6x_0)</f>
        <v>125</v>
      </c>
      <c r="F62" s="1">
        <f>SUM(OSRRefE21_6x_1)</f>
        <v>0</v>
      </c>
      <c r="G62" s="1">
        <f>SUM(OSRRefE21_6x_2)</f>
        <v>0</v>
      </c>
      <c r="H62" s="1">
        <f>SUM(OSRRefE21_6x_3)</f>
        <v>500</v>
      </c>
      <c r="I62" s="1">
        <f>SUM(OSRRefE21_6x_4)</f>
        <v>750</v>
      </c>
      <c r="J62" s="1">
        <f>SUM(OSRRefE21_6x_5)</f>
        <v>0</v>
      </c>
      <c r="K62" s="1">
        <f>SUM(OSRRefE21_6x_6)</f>
        <v>125</v>
      </c>
      <c r="L62" s="1">
        <f>SUM(OSRRefE21_6x_7)</f>
        <v>0</v>
      </c>
      <c r="M62" s="1">
        <f>SUM(OSRRefE21_6x_8)</f>
        <v>500</v>
      </c>
      <c r="N62" s="1">
        <f>SUM(OSRRefE21_6x_9)</f>
        <v>750</v>
      </c>
      <c r="O62" s="1">
        <f>SUM(OSRRefE21_6x_10)</f>
        <v>0</v>
      </c>
      <c r="Q62" s="2">
        <f>SUM(OSRRefD20_6x)+IFERROR(SUM(OSRRefE20_6x),0)</f>
        <v>2750</v>
      </c>
    </row>
    <row r="63" spans="1:17" s="34" customFormat="1" hidden="1" outlineLevel="1" x14ac:dyDescent="0.3">
      <c r="A63" s="35"/>
      <c r="B63" s="10" t="str">
        <f>CONCATENATE("          ","6279", " - ","GENERAL EXPENSE")</f>
        <v xml:space="preserve">          6279 - GENERAL EXPENSE</v>
      </c>
      <c r="C63" s="14"/>
      <c r="D63" s="2"/>
      <c r="E63" s="2">
        <v>125</v>
      </c>
      <c r="F63" s="2">
        <v>0</v>
      </c>
      <c r="G63" s="2">
        <v>0</v>
      </c>
      <c r="H63" s="2">
        <v>500</v>
      </c>
      <c r="I63" s="2">
        <v>750</v>
      </c>
      <c r="J63" s="2">
        <v>0</v>
      </c>
      <c r="K63" s="2">
        <v>125</v>
      </c>
      <c r="L63" s="2">
        <v>0</v>
      </c>
      <c r="M63" s="2">
        <v>500</v>
      </c>
      <c r="N63" s="2">
        <v>750</v>
      </c>
      <c r="O63" s="2">
        <v>0</v>
      </c>
      <c r="P63" s="9"/>
      <c r="Q63" s="2">
        <f>SUM(OSRRefD21_6_0x)+IFERROR(SUM(OSRRefE21_6_0x),0)</f>
        <v>2750</v>
      </c>
    </row>
    <row r="64" spans="1:17" s="34" customFormat="1" collapsed="1" x14ac:dyDescent="0.3">
      <c r="A64" s="35"/>
      <c r="B64" s="14" t="str">
        <f>CONCATENATE("     ","Inventory Adjustment                              ")</f>
        <v xml:space="preserve">     Inventory Adjustment                              </v>
      </c>
      <c r="C64" s="14"/>
      <c r="D64" s="1">
        <f>SUM(OSRRefD21_7x_0)</f>
        <v>1000</v>
      </c>
      <c r="E64" s="1">
        <f>SUM(OSRRefE21_7x_0)</f>
        <v>1000</v>
      </c>
      <c r="F64" s="1">
        <f>SUM(OSRRefE21_7x_1)</f>
        <v>1000</v>
      </c>
      <c r="G64" s="1">
        <f>SUM(OSRRefE21_7x_2)</f>
        <v>1000</v>
      </c>
      <c r="H64" s="1">
        <f>SUM(OSRRefE21_7x_3)</f>
        <v>1000</v>
      </c>
      <c r="I64" s="1">
        <f>SUM(OSRRefE21_7x_4)</f>
        <v>5000</v>
      </c>
      <c r="J64" s="1">
        <f>SUM(OSRRefE21_7x_5)</f>
        <v>1000</v>
      </c>
      <c r="K64" s="1">
        <f>SUM(OSRRefE21_7x_6)</f>
        <v>1000</v>
      </c>
      <c r="L64" s="1">
        <f>SUM(OSRRefE21_7x_7)</f>
        <v>1000</v>
      </c>
      <c r="M64" s="1">
        <f>SUM(OSRRefE21_7x_8)</f>
        <v>1000</v>
      </c>
      <c r="N64" s="1">
        <f>SUM(OSRRefE21_7x_9)</f>
        <v>1000</v>
      </c>
      <c r="O64" s="1">
        <f>SUM(OSRRefE21_7x_10)</f>
        <v>15000</v>
      </c>
      <c r="Q64" s="2">
        <f>SUM(OSRRefD20_7x)+IFERROR(SUM(OSRRefE20_7x),0)</f>
        <v>30000</v>
      </c>
    </row>
    <row r="65" spans="1:17" s="34" customFormat="1" hidden="1" outlineLevel="1" x14ac:dyDescent="0.3">
      <c r="A65" s="35"/>
      <c r="B65" s="10" t="str">
        <f>CONCATENATE("          ","6408", " - ","INVENTORY ADJUSTMENT")</f>
        <v xml:space="preserve">          6408 - INVENTORY ADJUSTMENT</v>
      </c>
      <c r="C65" s="14"/>
      <c r="D65" s="2">
        <v>1000</v>
      </c>
      <c r="E65" s="2">
        <v>1000</v>
      </c>
      <c r="F65" s="2">
        <v>1000</v>
      </c>
      <c r="G65" s="2">
        <v>1000</v>
      </c>
      <c r="H65" s="2">
        <v>1000</v>
      </c>
      <c r="I65" s="2">
        <v>5000</v>
      </c>
      <c r="J65" s="2">
        <v>1000</v>
      </c>
      <c r="K65" s="2">
        <v>1000</v>
      </c>
      <c r="L65" s="2">
        <v>1000</v>
      </c>
      <c r="M65" s="2">
        <v>1000</v>
      </c>
      <c r="N65" s="2">
        <v>1000</v>
      </c>
      <c r="O65" s="2">
        <v>15000</v>
      </c>
      <c r="P65" s="9"/>
      <c r="Q65" s="2">
        <f>SUM(OSRRefD21_7_0x)+IFERROR(SUM(OSRRefE21_7_0x),0)</f>
        <v>30000</v>
      </c>
    </row>
    <row r="66" spans="1:17" s="34" customFormat="1" collapsed="1" x14ac:dyDescent="0.3">
      <c r="A66" s="35"/>
      <c r="B66" s="14" t="str">
        <f>CONCATENATE("     ","Repair and Maintenance                            ")</f>
        <v xml:space="preserve">     Repair and Maintenance                            </v>
      </c>
      <c r="C66" s="14"/>
      <c r="D66" s="1">
        <f>SUM(OSRRefD21_8x_0)</f>
        <v>2900.53</v>
      </c>
      <c r="E66" s="1">
        <f>SUM(OSRRefE21_8x_0)</f>
        <v>80</v>
      </c>
      <c r="F66" s="1">
        <f>SUM(OSRRefE21_8x_1)</f>
        <v>80</v>
      </c>
      <c r="G66" s="1">
        <f>SUM(OSRRefE21_8x_2)</f>
        <v>80</v>
      </c>
      <c r="H66" s="1">
        <f>SUM(OSRRefE21_8x_3)</f>
        <v>80</v>
      </c>
      <c r="I66" s="1">
        <f>SUM(OSRRefE21_8x_4)</f>
        <v>80</v>
      </c>
      <c r="J66" s="1">
        <f>SUM(OSRRefE21_8x_5)</f>
        <v>80</v>
      </c>
      <c r="K66" s="1">
        <f>SUM(OSRRefE21_8x_6)</f>
        <v>80</v>
      </c>
      <c r="L66" s="1">
        <f>SUM(OSRRefE21_8x_7)</f>
        <v>80</v>
      </c>
      <c r="M66" s="1">
        <f>SUM(OSRRefE21_8x_8)</f>
        <v>80</v>
      </c>
      <c r="N66" s="1">
        <f>SUM(OSRRefE21_8x_9)</f>
        <v>80</v>
      </c>
      <c r="O66" s="1">
        <f>SUM(OSRRefE21_8x_10)</f>
        <v>80</v>
      </c>
      <c r="Q66" s="2">
        <f>SUM(OSRRefD20_8x)+IFERROR(SUM(OSRRefE20_8x),0)</f>
        <v>3780.53</v>
      </c>
    </row>
    <row r="67" spans="1:17" s="34" customFormat="1" hidden="1" outlineLevel="1" x14ac:dyDescent="0.3">
      <c r="A67" s="35"/>
      <c r="B67" s="10" t="str">
        <f>CONCATENATE("          ","6371", " - ","COMPUTER SOFTWARE MAINTENANCE")</f>
        <v xml:space="preserve">          6371 - COMPUTER SOFTWARE MAINTENANCE</v>
      </c>
      <c r="C67" s="14"/>
      <c r="D67" s="2">
        <v>2887.5</v>
      </c>
      <c r="E67" s="2"/>
      <c r="F67" s="2"/>
      <c r="G67" s="2"/>
      <c r="H67" s="2"/>
      <c r="I67" s="2"/>
      <c r="J67" s="2"/>
      <c r="K67" s="2"/>
      <c r="L67" s="2"/>
      <c r="M67" s="2"/>
      <c r="N67" s="2">
        <v>0</v>
      </c>
      <c r="O67" s="2"/>
      <c r="P67" s="9"/>
      <c r="Q67" s="2">
        <f>SUM(OSRRefD21_8_0x)+IFERROR(SUM(OSRRefE21_8_0x),0)</f>
        <v>2887.5</v>
      </c>
    </row>
    <row r="68" spans="1:17" s="34" customFormat="1" hidden="1" outlineLevel="1" x14ac:dyDescent="0.3">
      <c r="A68" s="35"/>
      <c r="B68" s="10" t="str">
        <f>CONCATENATE("          ","6373", " - ","MAINTENANCE CONTRACTS")</f>
        <v xml:space="preserve">          6373 - MAINTENANCE CONTRACTS</v>
      </c>
      <c r="C68" s="14"/>
      <c r="D68" s="2">
        <v>13.03</v>
      </c>
      <c r="E68" s="2">
        <v>40</v>
      </c>
      <c r="F68" s="2">
        <v>40</v>
      </c>
      <c r="G68" s="2">
        <v>40</v>
      </c>
      <c r="H68" s="2">
        <v>40</v>
      </c>
      <c r="I68" s="2">
        <v>40</v>
      </c>
      <c r="J68" s="2">
        <v>40</v>
      </c>
      <c r="K68" s="2">
        <v>40</v>
      </c>
      <c r="L68" s="2">
        <v>40</v>
      </c>
      <c r="M68" s="2">
        <v>40</v>
      </c>
      <c r="N68" s="2">
        <v>40</v>
      </c>
      <c r="O68" s="2">
        <v>40</v>
      </c>
      <c r="P68" s="9"/>
      <c r="Q68" s="2">
        <f>SUM(OSRRefD21_8_1x)+IFERROR(SUM(OSRRefE21_8_1x),0)</f>
        <v>453.03</v>
      </c>
    </row>
    <row r="69" spans="1:17" s="34" customFormat="1" hidden="1" outlineLevel="1" x14ac:dyDescent="0.3">
      <c r="A69" s="35"/>
      <c r="B69" s="10" t="str">
        <f>CONCATENATE("          ","6375", " - ","OUTSIDE REPAIRS &amp; MAINTENANCE")</f>
        <v xml:space="preserve">          6375 - OUTSIDE REPAIRS &amp; MAINTENANCE</v>
      </c>
      <c r="C69" s="14"/>
      <c r="D69" s="2"/>
      <c r="E69" s="2">
        <v>40</v>
      </c>
      <c r="F69" s="2">
        <v>40</v>
      </c>
      <c r="G69" s="2">
        <v>40</v>
      </c>
      <c r="H69" s="2">
        <v>40</v>
      </c>
      <c r="I69" s="2">
        <v>40</v>
      </c>
      <c r="J69" s="2">
        <v>40</v>
      </c>
      <c r="K69" s="2">
        <v>40</v>
      </c>
      <c r="L69" s="2">
        <v>40</v>
      </c>
      <c r="M69" s="2">
        <v>40</v>
      </c>
      <c r="N69" s="2">
        <v>40</v>
      </c>
      <c r="O69" s="2">
        <v>40</v>
      </c>
      <c r="P69" s="9"/>
      <c r="Q69" s="2">
        <f>SUM(OSRRefD21_8_2x)+IFERROR(SUM(OSRRefE21_8_2x),0)</f>
        <v>440</v>
      </c>
    </row>
    <row r="70" spans="1:17" s="34" customFormat="1" collapsed="1" x14ac:dyDescent="0.3">
      <c r="A70" s="35"/>
      <c r="B70" s="14" t="str">
        <f>CONCATENATE("     ","Subscriptions &amp; Dues                              ")</f>
        <v xml:space="preserve">     Subscriptions &amp; Dues                              </v>
      </c>
      <c r="C70" s="14"/>
      <c r="D70" s="1">
        <f>SUM(OSRRefD21_9x_0)</f>
        <v>68.319999999999993</v>
      </c>
      <c r="E70" s="1">
        <f>SUM(OSRRefE21_9x_0)</f>
        <v>300</v>
      </c>
      <c r="F70" s="1">
        <f>SUM(OSRRefE21_9x_1)</f>
        <v>300</v>
      </c>
      <c r="G70" s="1">
        <f>SUM(OSRRefE21_9x_2)</f>
        <v>300</v>
      </c>
      <c r="H70" s="1">
        <f>SUM(OSRRefE21_9x_3)</f>
        <v>300</v>
      </c>
      <c r="I70" s="1">
        <f>SUM(OSRRefE21_9x_4)</f>
        <v>300</v>
      </c>
      <c r="J70" s="1">
        <f>SUM(OSRRefE21_9x_5)</f>
        <v>2200</v>
      </c>
      <c r="K70" s="1">
        <f>SUM(OSRRefE21_9x_6)</f>
        <v>300</v>
      </c>
      <c r="L70" s="1">
        <f>SUM(OSRRefE21_9x_7)</f>
        <v>300</v>
      </c>
      <c r="M70" s="1">
        <f>SUM(OSRRefE21_9x_8)</f>
        <v>300</v>
      </c>
      <c r="N70" s="1">
        <f>SUM(OSRRefE21_9x_9)</f>
        <v>300</v>
      </c>
      <c r="O70" s="1">
        <f>SUM(OSRRefE21_9x_10)</f>
        <v>300</v>
      </c>
      <c r="Q70" s="2">
        <f>SUM(OSRRefD20_9x)+IFERROR(SUM(OSRRefE20_9x),0)</f>
        <v>5268.32</v>
      </c>
    </row>
    <row r="71" spans="1:17" s="34" customFormat="1" hidden="1" outlineLevel="1" x14ac:dyDescent="0.3">
      <c r="A71" s="35"/>
      <c r="B71" s="10" t="str">
        <f>CONCATENATE("          ","6258", " - ","MEMBERSHIP DUES")</f>
        <v xml:space="preserve">          6258 - MEMBERSHIP DUES</v>
      </c>
      <c r="C71" s="14"/>
      <c r="D71" s="2">
        <v>68.319999999999993</v>
      </c>
      <c r="E71" s="2">
        <v>300</v>
      </c>
      <c r="F71" s="2">
        <v>300</v>
      </c>
      <c r="G71" s="2">
        <v>300</v>
      </c>
      <c r="H71" s="2">
        <v>300</v>
      </c>
      <c r="I71" s="2">
        <v>300</v>
      </c>
      <c r="J71" s="2">
        <v>300</v>
      </c>
      <c r="K71" s="2">
        <v>300</v>
      </c>
      <c r="L71" s="2">
        <v>300</v>
      </c>
      <c r="M71" s="2">
        <v>300</v>
      </c>
      <c r="N71" s="2">
        <v>300</v>
      </c>
      <c r="O71" s="2">
        <v>300</v>
      </c>
      <c r="P71" s="9"/>
      <c r="Q71" s="2">
        <f>SUM(OSRRefD21_9_0x)+IFERROR(SUM(OSRRefE21_9_0x),0)</f>
        <v>3368.32</v>
      </c>
    </row>
    <row r="72" spans="1:17" s="34" customFormat="1" hidden="1" outlineLevel="1" x14ac:dyDescent="0.3">
      <c r="A72" s="35"/>
      <c r="B72" s="10" t="str">
        <f>CONCATENATE("          ","6275", " - ","SUBSCRIPTIONS")</f>
        <v xml:space="preserve">          6275 - SUBSCRIPTIONS</v>
      </c>
      <c r="C72" s="14"/>
      <c r="D72" s="2"/>
      <c r="E72" s="2"/>
      <c r="F72" s="2"/>
      <c r="G72" s="2"/>
      <c r="H72" s="2"/>
      <c r="I72" s="2"/>
      <c r="J72" s="2">
        <v>1900</v>
      </c>
      <c r="K72" s="2"/>
      <c r="L72" s="2"/>
      <c r="M72" s="2"/>
      <c r="N72" s="2"/>
      <c r="O72" s="2"/>
      <c r="P72" s="9"/>
      <c r="Q72" s="2">
        <f>SUM(OSRRefD21_9_1x)+IFERROR(SUM(OSRRefE21_9_1x),0)</f>
        <v>1900</v>
      </c>
    </row>
    <row r="73" spans="1:17" s="34" customFormat="1" collapsed="1" x14ac:dyDescent="0.3">
      <c r="A73" s="35"/>
      <c r="B73" s="14" t="str">
        <f>CONCATENATE("     ","Supplies                                          ")</f>
        <v xml:space="preserve">     Supplies                                          </v>
      </c>
      <c r="C73" s="14"/>
      <c r="D73" s="1">
        <f>SUM(OSRRefD21_10x_0)</f>
        <v>115.74</v>
      </c>
      <c r="E73" s="1">
        <f>SUM(OSRRefE21_10x_0)</f>
        <v>1000</v>
      </c>
      <c r="F73" s="1">
        <f>SUM(OSRRefE21_10x_1)</f>
        <v>700</v>
      </c>
      <c r="G73" s="1">
        <f>SUM(OSRRefE21_10x_2)</f>
        <v>600</v>
      </c>
      <c r="H73" s="1">
        <f>SUM(OSRRefE21_10x_3)</f>
        <v>700</v>
      </c>
      <c r="I73" s="1">
        <f>SUM(OSRRefE21_10x_4)</f>
        <v>1100</v>
      </c>
      <c r="J73" s="1">
        <f>SUM(OSRRefE21_10x_5)</f>
        <v>800</v>
      </c>
      <c r="K73" s="1">
        <f>SUM(OSRRefE21_10x_6)</f>
        <v>1700</v>
      </c>
      <c r="L73" s="1">
        <f>SUM(OSRRefE21_10x_7)</f>
        <v>700</v>
      </c>
      <c r="M73" s="1">
        <f>SUM(OSRRefE21_10x_8)</f>
        <v>700</v>
      </c>
      <c r="N73" s="1">
        <f>SUM(OSRRefE21_10x_9)</f>
        <v>700</v>
      </c>
      <c r="O73" s="1">
        <f>SUM(OSRRefE21_10x_10)</f>
        <v>600</v>
      </c>
      <c r="Q73" s="2">
        <f>SUM(OSRRefD20_10x)+IFERROR(SUM(OSRRefE20_10x),0)</f>
        <v>9415.74</v>
      </c>
    </row>
    <row r="74" spans="1:17" s="34" customFormat="1" hidden="1" outlineLevel="1" x14ac:dyDescent="0.3">
      <c r="A74" s="35"/>
      <c r="B74" s="10" t="str">
        <f>CONCATENATE("          ","6241", " - ","OFFICE EXPENSE")</f>
        <v xml:space="preserve">          6241 - OFFICE EXPENSE</v>
      </c>
      <c r="C74" s="14"/>
      <c r="D74" s="2">
        <v>115.74</v>
      </c>
      <c r="E74" s="2">
        <v>600</v>
      </c>
      <c r="F74" s="2">
        <v>300</v>
      </c>
      <c r="G74" s="2">
        <v>300</v>
      </c>
      <c r="H74" s="2">
        <v>300</v>
      </c>
      <c r="I74" s="2">
        <v>800</v>
      </c>
      <c r="J74" s="2">
        <v>500</v>
      </c>
      <c r="K74" s="2">
        <v>500</v>
      </c>
      <c r="L74" s="2">
        <v>300</v>
      </c>
      <c r="M74" s="2">
        <v>300</v>
      </c>
      <c r="N74" s="2">
        <v>300</v>
      </c>
      <c r="O74" s="2">
        <v>200</v>
      </c>
      <c r="P74" s="9"/>
      <c r="Q74" s="2">
        <f>SUM(OSRRefD21_10_0x)+IFERROR(SUM(OSRRefE21_10_0x),0)</f>
        <v>4515.74</v>
      </c>
    </row>
    <row r="75" spans="1:17" s="34" customFormat="1" hidden="1" outlineLevel="1" x14ac:dyDescent="0.3">
      <c r="A75" s="35"/>
      <c r="B75" s="10" t="str">
        <f>CONCATENATE("          ","6247", " - ","STORE SUPPLIES")</f>
        <v xml:space="preserve">          6247 - STORE SUPPLIES</v>
      </c>
      <c r="C75" s="14"/>
      <c r="D75" s="2"/>
      <c r="E75" s="2">
        <v>400</v>
      </c>
      <c r="F75" s="2">
        <v>400</v>
      </c>
      <c r="G75" s="2">
        <v>300</v>
      </c>
      <c r="H75" s="2">
        <v>400</v>
      </c>
      <c r="I75" s="2">
        <v>300</v>
      </c>
      <c r="J75" s="2">
        <v>300</v>
      </c>
      <c r="K75" s="2">
        <v>1200</v>
      </c>
      <c r="L75" s="2">
        <v>400</v>
      </c>
      <c r="M75" s="2">
        <v>400</v>
      </c>
      <c r="N75" s="2">
        <v>400</v>
      </c>
      <c r="O75" s="2">
        <v>400</v>
      </c>
      <c r="P75" s="9"/>
      <c r="Q75" s="2">
        <f>SUM(OSRRefD21_10_1x)+IFERROR(SUM(OSRRefE21_10_1x),0)</f>
        <v>4900</v>
      </c>
    </row>
    <row r="76" spans="1:17" s="34" customFormat="1" collapsed="1" x14ac:dyDescent="0.3">
      <c r="A76" s="35"/>
      <c r="B76" s="14" t="str">
        <f>CONCATENATE("     ","Telephone/Data Lines                              ")</f>
        <v xml:space="preserve">     Telephone/Data Lines                              </v>
      </c>
      <c r="C76" s="14"/>
      <c r="D76" s="1">
        <f>SUM(OSRRefD21_11x_0)</f>
        <v>607.4</v>
      </c>
      <c r="E76" s="1">
        <f>SUM(OSRRefE21_11x_0)</f>
        <v>600</v>
      </c>
      <c r="F76" s="1">
        <f>SUM(OSRRefE21_11x_1)</f>
        <v>450</v>
      </c>
      <c r="G76" s="1">
        <f>SUM(OSRRefE21_11x_2)</f>
        <v>350</v>
      </c>
      <c r="H76" s="1">
        <f>SUM(OSRRefE21_11x_3)</f>
        <v>350</v>
      </c>
      <c r="I76" s="1">
        <f>SUM(OSRRefE21_11x_4)</f>
        <v>500</v>
      </c>
      <c r="J76" s="1">
        <f>SUM(OSRRefE21_11x_5)</f>
        <v>450</v>
      </c>
      <c r="K76" s="1">
        <f>SUM(OSRRefE21_11x_6)</f>
        <v>350</v>
      </c>
      <c r="L76" s="1">
        <f>SUM(OSRRefE21_11x_7)</f>
        <v>350</v>
      </c>
      <c r="M76" s="1">
        <f>SUM(OSRRefE21_11x_8)</f>
        <v>350</v>
      </c>
      <c r="N76" s="1">
        <f>SUM(OSRRefE21_11x_9)</f>
        <v>350</v>
      </c>
      <c r="O76" s="1">
        <f>SUM(OSRRefE21_11x_10)</f>
        <v>350</v>
      </c>
      <c r="Q76" s="2">
        <f>SUM(OSRRefD20_11x)+IFERROR(SUM(OSRRefE20_11x),0)</f>
        <v>5057.3999999999996</v>
      </c>
    </row>
    <row r="77" spans="1:17" s="34" customFormat="1" hidden="1" outlineLevel="1" x14ac:dyDescent="0.3">
      <c r="A77" s="35"/>
      <c r="B77" s="10" t="str">
        <f>CONCATENATE("          ","6303", " - ","DATA PHONE LINES")</f>
        <v xml:space="preserve">          6303 - DATA PHONE LINES</v>
      </c>
      <c r="C77" s="14"/>
      <c r="D77" s="2">
        <v>295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9"/>
      <c r="Q77" s="2">
        <f>SUM(OSRRefD21_11_0x)+IFERROR(SUM(OSRRefE21_11_0x),0)</f>
        <v>295</v>
      </c>
    </row>
    <row r="78" spans="1:17" s="34" customFormat="1" hidden="1" outlineLevel="1" x14ac:dyDescent="0.3">
      <c r="A78" s="35"/>
      <c r="B78" s="10" t="str">
        <f>CONCATENATE("          ","6309", " - ","TELEPHONE")</f>
        <v xml:space="preserve">          6309 - TELEPHONE</v>
      </c>
      <c r="C78" s="14"/>
      <c r="D78" s="2">
        <v>312.39999999999998</v>
      </c>
      <c r="E78" s="2">
        <v>600</v>
      </c>
      <c r="F78" s="2">
        <v>450</v>
      </c>
      <c r="G78" s="2">
        <v>350</v>
      </c>
      <c r="H78" s="2">
        <v>350</v>
      </c>
      <c r="I78" s="2">
        <v>500</v>
      </c>
      <c r="J78" s="2">
        <v>450</v>
      </c>
      <c r="K78" s="2">
        <v>350</v>
      </c>
      <c r="L78" s="2">
        <v>350</v>
      </c>
      <c r="M78" s="2">
        <v>350</v>
      </c>
      <c r="N78" s="2">
        <v>350</v>
      </c>
      <c r="O78" s="2">
        <v>350</v>
      </c>
      <c r="P78" s="9"/>
      <c r="Q78" s="2">
        <f>SUM(OSRRefD21_11_1x)+IFERROR(SUM(OSRRefE21_11_1x),0)</f>
        <v>4762.3999999999996</v>
      </c>
    </row>
    <row r="79" spans="1:17" s="34" customFormat="1" collapsed="1" x14ac:dyDescent="0.3">
      <c r="A79" s="35"/>
      <c r="B79" s="14" t="str">
        <f>CONCATENATE("     ","Training                                          ")</f>
        <v xml:space="preserve">     Training                                          </v>
      </c>
      <c r="C79" s="14"/>
      <c r="D79" s="1">
        <f>SUM(OSRRefD21_12x_0)</f>
        <v>0</v>
      </c>
      <c r="E79" s="1">
        <f>SUM(OSRRefE21_12x_0)</f>
        <v>0</v>
      </c>
      <c r="F79" s="1">
        <f>SUM(OSRRefE21_12x_1)</f>
        <v>0</v>
      </c>
      <c r="G79" s="1">
        <f>SUM(OSRRefE21_12x_2)</f>
        <v>0</v>
      </c>
      <c r="H79" s="1">
        <f>SUM(OSRRefE21_12x_3)</f>
        <v>0</v>
      </c>
      <c r="I79" s="1">
        <f>SUM(OSRRefE21_12x_4)</f>
        <v>0</v>
      </c>
      <c r="J79" s="1">
        <f>SUM(OSRRefE21_12x_5)</f>
        <v>0</v>
      </c>
      <c r="K79" s="1">
        <f>SUM(OSRRefE21_12x_6)</f>
        <v>0</v>
      </c>
      <c r="L79" s="1">
        <f>SUM(OSRRefE21_12x_7)</f>
        <v>0</v>
      </c>
      <c r="M79" s="1">
        <f>SUM(OSRRefE21_12x_8)</f>
        <v>0</v>
      </c>
      <c r="N79" s="1">
        <f>SUM(OSRRefE21_12x_9)</f>
        <v>0</v>
      </c>
      <c r="O79" s="1">
        <f>SUM(OSRRefE21_12x_10)</f>
        <v>0</v>
      </c>
      <c r="Q79" s="2">
        <f>SUM(OSRRefD20_12x)+IFERROR(SUM(OSRRefE20_12x),0)</f>
        <v>0</v>
      </c>
    </row>
    <row r="80" spans="1:17" s="34" customFormat="1" hidden="1" outlineLevel="1" x14ac:dyDescent="0.3">
      <c r="A80" s="35"/>
      <c r="B80" s="10" t="str">
        <f>CONCATENATE("          ","6376", " - ","TRAINING")</f>
        <v xml:space="preserve">          6376 - TRAINING</v>
      </c>
      <c r="C80" s="14"/>
      <c r="D80" s="2"/>
      <c r="E80" s="2"/>
      <c r="F80" s="2"/>
      <c r="G80" s="2"/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/>
      <c r="P80" s="9"/>
      <c r="Q80" s="2">
        <f>SUM(OSRRefD21_12_0x)+IFERROR(SUM(OSRRefE21_12_0x),0)</f>
        <v>0</v>
      </c>
    </row>
    <row r="81" spans="1:17" s="28" customFormat="1" x14ac:dyDescent="0.3">
      <c r="A81" s="21"/>
      <c r="B81" s="21"/>
      <c r="C81" s="2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"/>
    </row>
    <row r="82" spans="1:17" s="9" customFormat="1" x14ac:dyDescent="0.3">
      <c r="A82" s="22"/>
      <c r="B82" s="16" t="s">
        <v>293</v>
      </c>
      <c r="C82" s="23"/>
      <c r="D82" s="3">
        <f>--631.94</f>
        <v>631.94000000000005</v>
      </c>
      <c r="E82" s="3">
        <v>2184</v>
      </c>
      <c r="F82" s="3">
        <v>173146.5</v>
      </c>
      <c r="G82" s="3">
        <v>303</v>
      </c>
      <c r="H82" s="3">
        <v>295</v>
      </c>
      <c r="I82" s="3">
        <v>6182</v>
      </c>
      <c r="J82" s="3">
        <v>8853.33</v>
      </c>
      <c r="K82" s="3">
        <v>166302.39999999999</v>
      </c>
      <c r="L82" s="3">
        <v>459</v>
      </c>
      <c r="M82" s="3">
        <v>215</v>
      </c>
      <c r="N82" s="3">
        <v>6454</v>
      </c>
      <c r="O82" s="3">
        <v>8042</v>
      </c>
      <c r="Q82" s="2">
        <f>SUM(OSRRefD23_0x)+IFERROR(SUM(OSRRefE23_0x),0)</f>
        <v>373068.17</v>
      </c>
    </row>
    <row r="83" spans="1:17" x14ac:dyDescent="0.3">
      <c r="A83" s="5"/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</row>
    <row r="84" spans="1:17" s="15" customFormat="1" x14ac:dyDescent="0.3">
      <c r="A84" s="6"/>
      <c r="B84" s="17" t="s">
        <v>276</v>
      </c>
      <c r="C84" s="17"/>
      <c r="D84" s="8">
        <f t="shared" ref="D84:O84" si="2">IFERROR(+D28-D31+D82, 0)</f>
        <v>-31095.730000000007</v>
      </c>
      <c r="E84" s="8">
        <f t="shared" si="2"/>
        <v>545193.53746101027</v>
      </c>
      <c r="F84" s="8">
        <f t="shared" si="2"/>
        <v>251831.87326101027</v>
      </c>
      <c r="G84" s="8">
        <f t="shared" si="2"/>
        <v>-43298.137548737199</v>
      </c>
      <c r="H84" s="8">
        <f t="shared" si="2"/>
        <v>-42653.564838989718</v>
      </c>
      <c r="I84" s="8">
        <f t="shared" si="2"/>
        <v>-27243.292318989712</v>
      </c>
      <c r="J84" s="8">
        <f t="shared" si="2"/>
        <v>368449.85508376284</v>
      </c>
      <c r="K84" s="8">
        <f t="shared" si="2"/>
        <v>173683.30461101027</v>
      </c>
      <c r="L84" s="8">
        <f t="shared" si="2"/>
        <v>-39694.229754989719</v>
      </c>
      <c r="M84" s="8">
        <f t="shared" si="2"/>
        <v>-48892.975590737195</v>
      </c>
      <c r="N84" s="8">
        <f t="shared" si="2"/>
        <v>-23262.145897489718</v>
      </c>
      <c r="O84" s="8">
        <f t="shared" si="2"/>
        <v>-44176.963591039719</v>
      </c>
      <c r="Q84" s="8">
        <f>IFERROR(+Q28-Q31+Q82, 0)</f>
        <v>1038841.5308758195</v>
      </c>
    </row>
    <row r="85" spans="1:17" s="6" customFormat="1" x14ac:dyDescent="0.3">
      <c r="B85" s="16"/>
      <c r="C85" s="16"/>
      <c r="D85" s="4">
        <f t="shared" ref="D85:O85" si="3">IFERROR(D84/D10, 0)</f>
        <v>-0.50061692201635632</v>
      </c>
      <c r="E85" s="4">
        <f t="shared" si="3"/>
        <v>0.24806274326476202</v>
      </c>
      <c r="F85" s="4">
        <f t="shared" si="3"/>
        <v>0.53683591114339313</v>
      </c>
      <c r="G85" s="4">
        <f t="shared" si="3"/>
        <v>-1.2051027734904172</v>
      </c>
      <c r="H85" s="4">
        <f t="shared" si="3"/>
        <v>-2.9944934596314039</v>
      </c>
      <c r="I85" s="4">
        <f t="shared" si="3"/>
        <v>-0.41273338159573547</v>
      </c>
      <c r="J85" s="4">
        <f t="shared" si="3"/>
        <v>0.23169158193236505</v>
      </c>
      <c r="K85" s="4">
        <f t="shared" si="3"/>
        <v>0.88351580821748821</v>
      </c>
      <c r="L85" s="4">
        <f t="shared" si="3"/>
        <v>-2.0645045901591366</v>
      </c>
      <c r="M85" s="4">
        <f t="shared" si="3"/>
        <v>-2.5918668146065094</v>
      </c>
      <c r="N85" s="4">
        <f t="shared" si="3"/>
        <v>-0.41713102547186898</v>
      </c>
      <c r="O85" s="4">
        <f t="shared" si="3"/>
        <v>-1.9906706737130371</v>
      </c>
      <c r="P85" s="18"/>
      <c r="Q85" s="4">
        <f>IFERROR(Q84/Q10, 0)</f>
        <v>0.21879118919630811</v>
      </c>
    </row>
    <row r="86" spans="1:17" x14ac:dyDescent="0.3">
      <c r="A86" s="5"/>
      <c r="B86" s="6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</row>
    <row r="87" spans="1:17" s="15" customFormat="1" x14ac:dyDescent="0.3">
      <c r="A87" s="25"/>
      <c r="B87" s="6" t="s">
        <v>125</v>
      </c>
      <c r="C87" s="6"/>
      <c r="D87" s="3">
        <v>28696.79</v>
      </c>
      <c r="E87" s="3">
        <v>224737</v>
      </c>
      <c r="F87" s="3">
        <v>43153</v>
      </c>
      <c r="G87" s="3">
        <v>21764</v>
      </c>
      <c r="H87" s="3">
        <v>29726</v>
      </c>
      <c r="I87" s="3">
        <v>21042</v>
      </c>
      <c r="J87" s="3">
        <v>187278</v>
      </c>
      <c r="K87" s="3">
        <v>10437</v>
      </c>
      <c r="L87" s="3">
        <v>171</v>
      </c>
      <c r="M87" s="3">
        <v>8084</v>
      </c>
      <c r="N87" s="3">
        <v>11362</v>
      </c>
      <c r="O87" s="3">
        <v>-47676</v>
      </c>
      <c r="Q87" s="2">
        <f>SUM(OSRRefD28_0x)+IFERROR(SUM(OSRRefE28_0x),0)</f>
        <v>538774.79</v>
      </c>
    </row>
    <row r="88" spans="1:17" x14ac:dyDescent="0.3">
      <c r="A88" s="5"/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</row>
    <row r="89" spans="1:17" s="15" customFormat="1" ht="15" thickBot="1" x14ac:dyDescent="0.35">
      <c r="A89" s="6"/>
      <c r="B89" s="17" t="s">
        <v>124</v>
      </c>
      <c r="C89" s="17"/>
      <c r="D89" s="7">
        <f t="shared" ref="D89:O89" si="4">IFERROR(+D84-D87, 0)</f>
        <v>-59792.520000000004</v>
      </c>
      <c r="E89" s="7">
        <f t="shared" si="4"/>
        <v>320456.53746101027</v>
      </c>
      <c r="F89" s="7">
        <f t="shared" si="4"/>
        <v>208678.87326101027</v>
      </c>
      <c r="G89" s="7">
        <f t="shared" si="4"/>
        <v>-65062.137548737199</v>
      </c>
      <c r="H89" s="7">
        <f t="shared" si="4"/>
        <v>-72379.564838989725</v>
      </c>
      <c r="I89" s="7">
        <f t="shared" si="4"/>
        <v>-48285.292318989712</v>
      </c>
      <c r="J89" s="7">
        <f t="shared" si="4"/>
        <v>181171.85508376284</v>
      </c>
      <c r="K89" s="7">
        <f t="shared" si="4"/>
        <v>163246.30461101027</v>
      </c>
      <c r="L89" s="7">
        <f t="shared" si="4"/>
        <v>-39865.229754989719</v>
      </c>
      <c r="M89" s="7">
        <f t="shared" si="4"/>
        <v>-56976.975590737195</v>
      </c>
      <c r="N89" s="7">
        <f t="shared" si="4"/>
        <v>-34624.145897489718</v>
      </c>
      <c r="O89" s="7">
        <f t="shared" si="4"/>
        <v>3499.0364089602808</v>
      </c>
      <c r="Q89" s="7">
        <f>IFERROR(+Q84-Q87, 0)</f>
        <v>500066.74087581947</v>
      </c>
    </row>
    <row r="90" spans="1:17" ht="15" thickTop="1" x14ac:dyDescent="0.3">
      <c r="A90" s="5"/>
      <c r="B90" s="5"/>
      <c r="C90" s="5"/>
      <c r="D90" s="4">
        <f t="shared" ref="D90:O90" si="5">IFERROR(D89/D10, 0)</f>
        <v>-0.96261278709332176</v>
      </c>
      <c r="E90" s="4">
        <f t="shared" si="5"/>
        <v>0.14580753864014792</v>
      </c>
      <c r="F90" s="4">
        <f t="shared" si="5"/>
        <v>0.44484564885613909</v>
      </c>
      <c r="G90" s="4">
        <f t="shared" si="5"/>
        <v>-1.8108530031099446</v>
      </c>
      <c r="H90" s="4">
        <f t="shared" si="5"/>
        <v>-5.0814072478931287</v>
      </c>
      <c r="I90" s="4">
        <f t="shared" si="5"/>
        <v>-0.73151775295028876</v>
      </c>
      <c r="J90" s="4">
        <f t="shared" si="5"/>
        <v>0.11392593354782415</v>
      </c>
      <c r="K90" s="4">
        <f t="shared" si="5"/>
        <v>0.83042345998621581</v>
      </c>
      <c r="L90" s="4">
        <f t="shared" si="5"/>
        <v>-2.0733983333327988</v>
      </c>
      <c r="M90" s="4">
        <f t="shared" si="5"/>
        <v>-3.0204079511629134</v>
      </c>
      <c r="N90" s="4">
        <f t="shared" si="5"/>
        <v>-0.62087158888750904</v>
      </c>
      <c r="O90" s="4">
        <f t="shared" si="5"/>
        <v>0.15767107105985403</v>
      </c>
      <c r="P90" s="18"/>
      <c r="Q90" s="4">
        <f>IFERROR(Q89/Q10, 0)</f>
        <v>0.10531942905815653</v>
      </c>
    </row>
    <row r="91" spans="1:17" x14ac:dyDescent="0.3">
      <c r="A91" s="5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x14ac:dyDescent="0.3">
      <c r="A92" s="5"/>
      <c r="B92" s="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</row>
    <row r="93" spans="1:17" s="15" customFormat="1" ht="15" thickBot="1" x14ac:dyDescent="0.35">
      <c r="A93" s="6"/>
      <c r="B93" s="17" t="s">
        <v>294</v>
      </c>
      <c r="C93" s="17"/>
      <c r="D93" s="7">
        <f t="shared" ref="D93:O93" si="6">IFERROR(SUM(D89:D92), 0)</f>
        <v>-59793.482612787098</v>
      </c>
      <c r="E93" s="7">
        <f t="shared" si="6"/>
        <v>320456.68326854892</v>
      </c>
      <c r="F93" s="7">
        <f t="shared" si="6"/>
        <v>208679.31810665914</v>
      </c>
      <c r="G93" s="7">
        <f t="shared" si="6"/>
        <v>-65063.948401740308</v>
      </c>
      <c r="H93" s="7">
        <f t="shared" si="6"/>
        <v>-72384.646246237622</v>
      </c>
      <c r="I93" s="7">
        <f t="shared" si="6"/>
        <v>-48286.023836742665</v>
      </c>
      <c r="J93" s="7">
        <f t="shared" si="6"/>
        <v>181171.96900969639</v>
      </c>
      <c r="K93" s="7">
        <f t="shared" si="6"/>
        <v>163247.13503447027</v>
      </c>
      <c r="L93" s="7">
        <f t="shared" si="6"/>
        <v>-39867.303153323053</v>
      </c>
      <c r="M93" s="7">
        <f t="shared" si="6"/>
        <v>-56979.995998688355</v>
      </c>
      <c r="N93" s="7">
        <f t="shared" si="6"/>
        <v>-34624.766769078604</v>
      </c>
      <c r="O93" s="7">
        <f t="shared" si="6"/>
        <v>3499.1940800313405</v>
      </c>
      <c r="Q93" s="7">
        <f>IFERROR(SUM(Q89:Q92), 0)</f>
        <v>500066.84619524854</v>
      </c>
    </row>
    <row r="94" spans="1:17" ht="15" thickTop="1" x14ac:dyDescent="0.3">
      <c r="A94" s="5"/>
      <c r="C94" s="5"/>
      <c r="D94" s="4">
        <f t="shared" ref="D94:O94" si="7">IFERROR(D93/D10, 0)</f>
        <v>-0.96262828440599357</v>
      </c>
      <c r="E94" s="4">
        <f t="shared" si="7"/>
        <v>0.1458076049824934</v>
      </c>
      <c r="F94" s="4">
        <f t="shared" si="7"/>
        <v>0.44484659714404295</v>
      </c>
      <c r="G94" s="4">
        <f t="shared" si="7"/>
        <v>-1.8109034039839769</v>
      </c>
      <c r="H94" s="4">
        <f t="shared" si="7"/>
        <v>-5.0817639880818328</v>
      </c>
      <c r="I94" s="4">
        <f t="shared" si="7"/>
        <v>-0.73152883537719737</v>
      </c>
      <c r="J94" s="4">
        <f t="shared" si="7"/>
        <v>0.11392600518764</v>
      </c>
      <c r="K94" s="4">
        <f t="shared" si="7"/>
        <v>0.83042768429698688</v>
      </c>
      <c r="L94" s="4">
        <f t="shared" si="7"/>
        <v>-2.0735061711823506</v>
      </c>
      <c r="M94" s="4">
        <f t="shared" si="7"/>
        <v>-3.020568066088229</v>
      </c>
      <c r="N94" s="4">
        <f t="shared" si="7"/>
        <v>-0.62088272220271135</v>
      </c>
      <c r="O94" s="4">
        <f t="shared" si="7"/>
        <v>0.15767817592066241</v>
      </c>
      <c r="P94" s="18"/>
      <c r="Q94" s="4">
        <f>IFERROR(Q93/Q10, 0)</f>
        <v>0.10531945123955999</v>
      </c>
    </row>
    <row r="95" spans="1:17" x14ac:dyDescent="0.3">
      <c r="A95" s="5"/>
      <c r="B95" s="30">
        <v>44462.67837519676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</row>
    <row r="96" spans="1:17" x14ac:dyDescent="0.3">
      <c r="A96" s="5"/>
      <c r="B96" s="31" t="s">
        <v>54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  <row r="97" spans="1:17" x14ac:dyDescent="0.3">
      <c r="A97" s="5"/>
      <c r="B97" s="2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  <row r="98" spans="1:17" x14ac:dyDescent="0.3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92D050"/>
    <outlinePr summaryBelow="0" summaryRight="0"/>
    <pageSetUpPr fitToPage="1"/>
  </sheetPr>
  <dimension ref="A2:R9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","311", " - ", "Textbooks")</f>
        <v>Department 311 - Textbooks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56201.599999999999</v>
      </c>
      <c r="E10" s="3">
        <f>SUM(OSRRefE11x_0)</f>
        <v>1394734</v>
      </c>
      <c r="F10" s="3">
        <f>SUM(OSRRefE11x_1)</f>
        <v>374803</v>
      </c>
      <c r="G10" s="3">
        <f>SUM(OSRRefE11x_2)</f>
        <v>31430</v>
      </c>
      <c r="H10" s="3">
        <f>SUM(OSRRefE11x_3)</f>
        <v>10190</v>
      </c>
      <c r="I10" s="3">
        <f>SUM(OSRRefE11x_4)</f>
        <v>58063</v>
      </c>
      <c r="J10" s="3">
        <f>SUM(OSRRefE11x_5)</f>
        <v>1048263</v>
      </c>
      <c r="K10" s="3">
        <f>SUM(OSRRefE11x_6)</f>
        <v>136360</v>
      </c>
      <c r="L10" s="3">
        <f>SUM(OSRRefE11x_7)</f>
        <v>17156</v>
      </c>
      <c r="M10" s="3">
        <f>SUM(OSRRefE11x_8)</f>
        <v>17656</v>
      </c>
      <c r="N10" s="3">
        <f>SUM(OSRRefE11x_9)</f>
        <v>49167</v>
      </c>
      <c r="O10" s="3">
        <f>SUM(OSRRefE11x_10)</f>
        <v>25993</v>
      </c>
      <c r="P10" s="24"/>
      <c r="Q10" s="3">
        <f>SUM(OSRRefG11x)</f>
        <v>3220016.5999999996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--30924.86</f>
        <v>30924.86</v>
      </c>
      <c r="E11" s="2">
        <v>1394734</v>
      </c>
      <c r="F11" s="2">
        <v>374803</v>
      </c>
      <c r="G11" s="2">
        <v>31430</v>
      </c>
      <c r="H11" s="2">
        <v>10190</v>
      </c>
      <c r="I11" s="2">
        <v>58063</v>
      </c>
      <c r="J11" s="2">
        <v>1048263</v>
      </c>
      <c r="K11" s="2">
        <v>136360</v>
      </c>
      <c r="L11" s="2">
        <v>17156</v>
      </c>
      <c r="M11" s="2">
        <v>17656</v>
      </c>
      <c r="N11" s="2">
        <v>49167</v>
      </c>
      <c r="O11" s="2">
        <v>25993</v>
      </c>
      <c r="Q11" s="2">
        <f>SUM(OSRRefD11_0x)+IFERROR(SUM(OSRRefE11_0x),0)</f>
        <v>3194739.86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--27180.13</f>
        <v>27180.13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/>
      <c r="N12" s="2"/>
      <c r="O12" s="2"/>
      <c r="Q12" s="2">
        <f>SUM(OSRRefD11_1x)+IFERROR(SUM(OSRRefE11_1x),0)</f>
        <v>27180.13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-920.66</f>
        <v>-920.66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-920.66</v>
      </c>
    </row>
    <row r="14" spans="1:18" s="9" customFormat="1" hidden="1" outlineLevel="1" x14ac:dyDescent="0.3">
      <c r="A14" s="22"/>
      <c r="B14" s="10" t="str">
        <f>CONCATENATE("          ","4300", " - ","NON-TAX RETURNS")</f>
        <v xml:space="preserve">          4300 - NON-TAX RETURNS</v>
      </c>
      <c r="C14" s="23"/>
      <c r="D14" s="2">
        <f>-982.73</f>
        <v>-982.73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-982.73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42691.720000000038</v>
      </c>
      <c r="E16" s="3">
        <f>SUM(OSRRefE14x_0)</f>
        <v>1007695</v>
      </c>
      <c r="F16" s="3">
        <f>SUM(OSRRefE14x_1)</f>
        <v>270795</v>
      </c>
      <c r="G16" s="3">
        <f>SUM(OSRRefE14x_2)</f>
        <v>22708</v>
      </c>
      <c r="H16" s="3">
        <f>SUM(OSRRefE14x_3)</f>
        <v>7362</v>
      </c>
      <c r="I16" s="3">
        <f>SUM(OSRRefE14x_4)</f>
        <v>41950</v>
      </c>
      <c r="J16" s="3">
        <f>SUM(OSRRefE14x_5)</f>
        <v>757370</v>
      </c>
      <c r="K16" s="3">
        <f>SUM(OSRRefE14x_6)</f>
        <v>98520</v>
      </c>
      <c r="L16" s="3">
        <f>SUM(OSRRefE14x_7)</f>
        <v>12395</v>
      </c>
      <c r="M16" s="3">
        <f>SUM(OSRRefE14x_8)</f>
        <v>12757</v>
      </c>
      <c r="N16" s="3">
        <f>SUM(OSRRefE14x_9)</f>
        <v>35523</v>
      </c>
      <c r="O16" s="3">
        <f>SUM(OSRRefE14x_10)</f>
        <v>18780</v>
      </c>
      <c r="Q16" s="3">
        <f>SUM(OSRRefG14x)</f>
        <v>2328546.7200000002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>
        <v>262208.01</v>
      </c>
      <c r="E17" s="2">
        <v>1007695</v>
      </c>
      <c r="F17" s="2">
        <v>270795</v>
      </c>
      <c r="G17" s="2">
        <v>22708</v>
      </c>
      <c r="H17" s="2">
        <v>7362</v>
      </c>
      <c r="I17" s="2">
        <v>41950</v>
      </c>
      <c r="J17" s="2">
        <v>757370</v>
      </c>
      <c r="K17" s="2">
        <v>98520</v>
      </c>
      <c r="L17" s="2">
        <v>12395</v>
      </c>
      <c r="M17" s="2">
        <v>12757</v>
      </c>
      <c r="N17" s="2">
        <v>35523</v>
      </c>
      <c r="O17" s="2">
        <v>18780</v>
      </c>
      <c r="Q17" s="2">
        <f>SUM(OSRRefD14_0x)+IFERROR(SUM(OSRRefE14_0x),0)</f>
        <v>2548063.0099999998</v>
      </c>
    </row>
    <row r="18" spans="1:17" s="9" customFormat="1" hidden="1" outlineLevel="1" x14ac:dyDescent="0.3">
      <c r="A18" s="22"/>
      <c r="B18" s="10" t="str">
        <f>CONCATENATE("          ","5001", " - ","PURCHASES @ COST-NEW TEXT")</f>
        <v xml:space="preserve">          5001 - PURCHASES @ COST-NEW TEXT</v>
      </c>
      <c r="C18" s="23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0</v>
      </c>
    </row>
    <row r="19" spans="1:17" s="9" customFormat="1" hidden="1" outlineLevel="1" x14ac:dyDescent="0.3">
      <c r="A19" s="22"/>
      <c r="B19" s="10" t="str">
        <f>CONCATENATE("          ","5002", " - ","PURCHASES @ COST-USED TEXT")</f>
        <v xml:space="preserve">          5002 - PURCHASES @ COST-USED TEXT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0</v>
      </c>
    </row>
    <row r="20" spans="1:17" s="9" customFormat="1" hidden="1" outlineLevel="1" x14ac:dyDescent="0.3">
      <c r="A20" s="22"/>
      <c r="B20" s="10" t="str">
        <f>CONCATENATE("          ","5004", " - ","PURCHASES @ COST-DIGITAL TEXT")</f>
        <v xml:space="preserve">          5004 - PURCHASES @ COST-DIGITAL TEXT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SUM(OSRRefD14_3x)+IFERROR(SUM(OSRRefE14_3x),0)</f>
        <v>0</v>
      </c>
    </row>
    <row r="21" spans="1:17" s="9" customFormat="1" hidden="1" outlineLevel="1" x14ac:dyDescent="0.3">
      <c r="A21" s="22"/>
      <c r="B21" s="10" t="str">
        <f>CONCATENATE("          ","5200", " - ","PURCHASES OFFSET")</f>
        <v xml:space="preserve">          5200 - PURCHASES OFFSET</v>
      </c>
      <c r="C21" s="23"/>
      <c r="D21" s="2">
        <v>-264391.71999999997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SUM(OSRRefD14_4x)+IFERROR(SUM(OSRRefE14_4x),0)</f>
        <v>-264391.71999999997</v>
      </c>
    </row>
    <row r="22" spans="1:17" s="9" customFormat="1" hidden="1" outlineLevel="1" x14ac:dyDescent="0.3">
      <c r="A22" s="22"/>
      <c r="B22" s="10" t="str">
        <f>CONCATENATE("          ","5300", " - ","COG$ OFFSET")</f>
        <v xml:space="preserve">          5300 - COG$ OFFSET</v>
      </c>
      <c r="C22" s="23"/>
      <c r="D22" s="2">
        <v>42691.72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SUM(OSRRefD14_5x)+IFERROR(SUM(OSRRefE14_5x),0)</f>
        <v>42691.72</v>
      </c>
    </row>
    <row r="23" spans="1:17" s="9" customFormat="1" hidden="1" outlineLevel="1" x14ac:dyDescent="0.3">
      <c r="A23" s="22"/>
      <c r="B23" s="10" t="str">
        <f>CONCATENATE("          ","5500", " - ","FREIGHT-IN")</f>
        <v xml:space="preserve">          5500 - FREIGHT-IN</v>
      </c>
      <c r="C23" s="23"/>
      <c r="D23" s="2">
        <v>2183.71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SUM(OSRRefD14_6x)+IFERROR(SUM(OSRRefE14_6x),0)</f>
        <v>2183.71</v>
      </c>
    </row>
    <row r="24" spans="1:17" s="9" customFormat="1" hidden="1" outlineLevel="1" x14ac:dyDescent="0.3">
      <c r="A24" s="22"/>
      <c r="B24" s="10" t="str">
        <f>CONCATENATE("          ","5501", " - ","FREIGHT-IN-NEW TEXT")</f>
        <v xml:space="preserve">          5501 - FREIGHT-IN-NEW TEXT</v>
      </c>
      <c r="C24" s="23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SUM(OSRRefD14_7x)+IFERROR(SUM(OSRRefE14_7x),0)</f>
        <v>0</v>
      </c>
    </row>
    <row r="25" spans="1:17" s="9" customFormat="1" hidden="1" outlineLevel="1" x14ac:dyDescent="0.3">
      <c r="A25" s="22"/>
      <c r="B25" s="10" t="str">
        <f>CONCATENATE("          ","5502", " - ","FREIGHT-IN-USED TEXT")</f>
        <v xml:space="preserve">          5502 - FREIGHT-IN-USED TEXT</v>
      </c>
      <c r="C25" s="23"/>
      <c r="D25" s="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SUM(OSRRefD14_8x)+IFERROR(SUM(OSRRefE14_8x),0)</f>
        <v>0</v>
      </c>
    </row>
    <row r="26" spans="1:17" s="9" customFormat="1" hidden="1" outlineLevel="1" x14ac:dyDescent="0.3">
      <c r="A26" s="22"/>
      <c r="B26" s="10" t="str">
        <f>CONCATENATE("          ","5518", " - ","FREIGHT-IN-STUDY GUIDES")</f>
        <v xml:space="preserve">          5518 - FREIGHT-IN-STUDY GUIDES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SUM(OSRRefD14_9x)+IFERROR(SUM(OSRRefE14_9x),0)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6"/>
      <c r="B28" s="17" t="s">
        <v>105</v>
      </c>
      <c r="C28" s="17"/>
      <c r="D28" s="8">
        <f t="shared" ref="D28:O28" si="0">IFERROR(+D10-D16, 0)</f>
        <v>13509.879999999961</v>
      </c>
      <c r="E28" s="8">
        <f t="shared" si="0"/>
        <v>387039</v>
      </c>
      <c r="F28" s="8">
        <f t="shared" si="0"/>
        <v>104008</v>
      </c>
      <c r="G28" s="8">
        <f t="shared" si="0"/>
        <v>8722</v>
      </c>
      <c r="H28" s="8">
        <f t="shared" si="0"/>
        <v>2828</v>
      </c>
      <c r="I28" s="8">
        <f t="shared" si="0"/>
        <v>16113</v>
      </c>
      <c r="J28" s="8">
        <f t="shared" si="0"/>
        <v>290893</v>
      </c>
      <c r="K28" s="8">
        <f t="shared" si="0"/>
        <v>37840</v>
      </c>
      <c r="L28" s="8">
        <f t="shared" si="0"/>
        <v>4761</v>
      </c>
      <c r="M28" s="8">
        <f t="shared" si="0"/>
        <v>4899</v>
      </c>
      <c r="N28" s="8">
        <f t="shared" si="0"/>
        <v>13644</v>
      </c>
      <c r="O28" s="8">
        <f t="shared" si="0"/>
        <v>7213</v>
      </c>
      <c r="Q28" s="8">
        <f>IFERROR(+Q10-Q16, 0)</f>
        <v>891469.87999999942</v>
      </c>
    </row>
    <row r="29" spans="1:17" s="6" customFormat="1" x14ac:dyDescent="0.3">
      <c r="B29" s="16"/>
      <c r="C29" s="16"/>
      <c r="D29" s="4">
        <f t="shared" ref="D29:O29" si="1">IFERROR(D28/D10, 0)</f>
        <v>0.24038248021408573</v>
      </c>
      <c r="E29" s="4">
        <f t="shared" si="1"/>
        <v>0.27750022584951684</v>
      </c>
      <c r="F29" s="4">
        <f t="shared" si="1"/>
        <v>0.27750044690143888</v>
      </c>
      <c r="G29" s="4">
        <f t="shared" si="1"/>
        <v>0.27750556792873049</v>
      </c>
      <c r="H29" s="4">
        <f t="shared" si="1"/>
        <v>0.2775269872423945</v>
      </c>
      <c r="I29" s="4">
        <f t="shared" si="1"/>
        <v>0.27750891273272138</v>
      </c>
      <c r="J29" s="4">
        <f t="shared" si="1"/>
        <v>0.27750001669428376</v>
      </c>
      <c r="K29" s="4">
        <f t="shared" si="1"/>
        <v>0.27750073335288938</v>
      </c>
      <c r="L29" s="4">
        <f t="shared" si="1"/>
        <v>0.27751224061552809</v>
      </c>
      <c r="M29" s="4">
        <f t="shared" si="1"/>
        <v>0.27746941549614862</v>
      </c>
      <c r="N29" s="4">
        <f t="shared" si="1"/>
        <v>0.27750320336811274</v>
      </c>
      <c r="O29" s="4">
        <f t="shared" si="1"/>
        <v>0.27749778786596391</v>
      </c>
      <c r="P29" s="18"/>
      <c r="Q29" s="4">
        <f>IFERROR(Q28/Q10, 0)</f>
        <v>0.27685257274760616</v>
      </c>
    </row>
    <row r="30" spans="1:17" x14ac:dyDescent="0.3">
      <c r="A30" s="5"/>
      <c r="B30" s="6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</row>
    <row r="31" spans="1:17" s="15" customFormat="1" x14ac:dyDescent="0.3">
      <c r="A31" s="6"/>
      <c r="B31" s="16" t="s">
        <v>255</v>
      </c>
      <c r="C31" s="6"/>
      <c r="D31" s="13">
        <f>SUM(OSRRefD20x_0)</f>
        <v>49140.74</v>
      </c>
      <c r="E31" s="13">
        <f>SUM(OSRRefE20x_0)</f>
        <v>64873.462538989712</v>
      </c>
      <c r="F31" s="13">
        <f>SUM(OSRRefE20x_1)</f>
        <v>51255.626738989711</v>
      </c>
      <c r="G31" s="13">
        <f>SUM(OSRRefE20x_2)</f>
        <v>53560.137548737199</v>
      </c>
      <c r="H31" s="13">
        <f>SUM(OSRRefE20x_3)</f>
        <v>46891.564838989718</v>
      </c>
      <c r="I31" s="13">
        <f>SUM(OSRRefE20x_4)</f>
        <v>51723.292318989712</v>
      </c>
      <c r="J31" s="13">
        <f>SUM(OSRRefE20x_5)</f>
        <v>80345.474916237203</v>
      </c>
      <c r="K31" s="13">
        <f>SUM(OSRRefE20x_6)</f>
        <v>47020.095388989714</v>
      </c>
      <c r="L31" s="13">
        <f>SUM(OSRRefE20x_7)</f>
        <v>45484.229754989719</v>
      </c>
      <c r="M31" s="13">
        <f>SUM(OSRRefE20x_8)</f>
        <v>54338.975590737195</v>
      </c>
      <c r="N31" s="13">
        <f>SUM(OSRRefE20x_9)</f>
        <v>45175.145897489718</v>
      </c>
      <c r="O31" s="13">
        <f>SUM(OSRRefE20x_10)</f>
        <v>58386.963591039719</v>
      </c>
      <c r="Q31" s="13">
        <f>SUM(OSRRefG20x)</f>
        <v>648195.70912417932</v>
      </c>
    </row>
    <row r="32" spans="1:17" s="34" customFormat="1" collapsed="1" x14ac:dyDescent="0.3">
      <c r="A32" s="35"/>
      <c r="B32" s="14" t="str">
        <f>CONCATENATE("     ","*Benefits                                         ")</f>
        <v xml:space="preserve">     *Benefits                                         </v>
      </c>
      <c r="C32" s="14"/>
      <c r="D32" s="1">
        <f>SUM(OSRRefD21_0x_0)</f>
        <v>11803.07</v>
      </c>
      <c r="E32" s="1">
        <f>SUM(OSRRefE21_0x_0)</f>
        <v>15283.178993735915</v>
      </c>
      <c r="F32" s="1">
        <f>SUM(OSRRefE21_0x_1)</f>
        <v>13830.343193735916</v>
      </c>
      <c r="G32" s="1">
        <f>SUM(OSRRefE21_0x_2)</f>
        <v>15587.2831171699</v>
      </c>
      <c r="H32" s="1">
        <f>SUM(OSRRefE21_0x_3)</f>
        <v>13513.281293735916</v>
      </c>
      <c r="I32" s="1">
        <f>SUM(OSRRefE21_0x_4)</f>
        <v>13603.008773735914</v>
      </c>
      <c r="J32" s="1">
        <f>SUM(OSRRefE21_0x_5)</f>
        <v>17653.470484669899</v>
      </c>
      <c r="K32" s="1">
        <f>SUM(OSRRefE21_0x_6)</f>
        <v>13545.311843735913</v>
      </c>
      <c r="L32" s="1">
        <f>SUM(OSRRefE21_0x_7)</f>
        <v>13462.866209735916</v>
      </c>
      <c r="M32" s="1">
        <f>SUM(OSRRefE21_0x_8)</f>
        <v>15572.661159169898</v>
      </c>
      <c r="N32" s="1">
        <f>SUM(OSRRefE21_0x_9)</f>
        <v>13510.257352235916</v>
      </c>
      <c r="O32" s="1">
        <f>SUM(OSRRefE21_0x_10)</f>
        <v>13686.585045785916</v>
      </c>
      <c r="Q32" s="2">
        <f>SUM(OSRRefD20_0x)+IFERROR(SUM(OSRRefE20_0x),0)</f>
        <v>171051.31746744699</v>
      </c>
    </row>
    <row r="33" spans="1:17" s="34" customFormat="1" hidden="1" outlineLevel="1" x14ac:dyDescent="0.3">
      <c r="A33" s="35"/>
      <c r="B33" s="10" t="str">
        <f>CONCATENATE("          ","6111", " - ","F.I.C.A.")</f>
        <v xml:space="preserve">          6111 - F.I.C.A.</v>
      </c>
      <c r="C33" s="14"/>
      <c r="D33" s="2">
        <v>2103.61</v>
      </c>
      <c r="E33" s="2">
        <v>2867.81730197977</v>
      </c>
      <c r="F33" s="2">
        <v>1967.82450197977</v>
      </c>
      <c r="G33" s="2">
        <v>2459.7806274747099</v>
      </c>
      <c r="H33" s="2">
        <v>1967.82450197977</v>
      </c>
      <c r="I33" s="2">
        <v>1993.53858197977</v>
      </c>
      <c r="J33" s="2">
        <v>3418.4145399747099</v>
      </c>
      <c r="K33" s="2">
        <v>1967.82450197977</v>
      </c>
      <c r="L33" s="2">
        <v>1967.82450197977</v>
      </c>
      <c r="M33" s="2">
        <v>2459.7806274747099</v>
      </c>
      <c r="N33" s="2">
        <v>1967.82450197977</v>
      </c>
      <c r="O33" s="2">
        <v>2120.9943225297702</v>
      </c>
      <c r="P33" s="9"/>
      <c r="Q33" s="2">
        <f>SUM(OSRRefD21_0_0x)+IFERROR(SUM(OSRRefE21_0_0x),0)</f>
        <v>27263.058511312287</v>
      </c>
    </row>
    <row r="34" spans="1:17" s="34" customFormat="1" hidden="1" outlineLevel="1" x14ac:dyDescent="0.3">
      <c r="A34" s="35"/>
      <c r="B34" s="10" t="str">
        <f>CONCATENATE("          ","6112", " - ","COMPENSATION INSURANCE")</f>
        <v xml:space="preserve">          6112 - COMPENSATION INSURANCE</v>
      </c>
      <c r="C34" s="14"/>
      <c r="D34" s="2">
        <v>382.51</v>
      </c>
      <c r="E34" s="2">
        <v>747.64735547999999</v>
      </c>
      <c r="F34" s="2">
        <v>566.84335548000001</v>
      </c>
      <c r="G34" s="2">
        <v>572.61969435000003</v>
      </c>
      <c r="H34" s="2">
        <v>463.15015548000002</v>
      </c>
      <c r="I34" s="2">
        <v>484.08535547999998</v>
      </c>
      <c r="J34" s="2">
        <v>934.83843435000006</v>
      </c>
      <c r="K34" s="2">
        <v>473.62555548</v>
      </c>
      <c r="L34" s="2">
        <v>446.66220348000002</v>
      </c>
      <c r="M34" s="2">
        <v>567.83767035000005</v>
      </c>
      <c r="N34" s="2">
        <v>462.16119348000001</v>
      </c>
      <c r="O34" s="2">
        <v>469.73483748000001</v>
      </c>
      <c r="P34" s="9"/>
      <c r="Q34" s="2">
        <f>SUM(OSRRefD21_0_1x)+IFERROR(SUM(OSRRefE21_0_1x),0)</f>
        <v>6571.7158108900012</v>
      </c>
    </row>
    <row r="35" spans="1:17" s="34" customFormat="1" hidden="1" outlineLevel="1" x14ac:dyDescent="0.3">
      <c r="A35" s="35"/>
      <c r="B35" s="10" t="str">
        <f>CONCATENATE("          ","6113", " - ","GROUP INSURANCE")</f>
        <v xml:space="preserve">          6113 - GROUP INSURANCE</v>
      </c>
      <c r="C35" s="14"/>
      <c r="D35" s="2">
        <v>4593.8599999999997</v>
      </c>
      <c r="E35" s="2">
        <v>5314</v>
      </c>
      <c r="F35" s="2">
        <v>5314</v>
      </c>
      <c r="G35" s="2">
        <v>5620</v>
      </c>
      <c r="H35" s="2">
        <v>5314</v>
      </c>
      <c r="I35" s="2">
        <v>5314</v>
      </c>
      <c r="J35" s="2">
        <v>5620</v>
      </c>
      <c r="K35" s="2">
        <v>5314</v>
      </c>
      <c r="L35" s="2">
        <v>5314</v>
      </c>
      <c r="M35" s="2">
        <v>5620</v>
      </c>
      <c r="N35" s="2">
        <v>5314</v>
      </c>
      <c r="O35" s="2">
        <v>5314</v>
      </c>
      <c r="P35" s="9"/>
      <c r="Q35" s="2">
        <f>SUM(OSRRefD21_0_2x)+IFERROR(SUM(OSRRefE21_0_2x),0)</f>
        <v>63965.86</v>
      </c>
    </row>
    <row r="36" spans="1:17" s="34" customFormat="1" hidden="1" outlineLevel="1" x14ac:dyDescent="0.3">
      <c r="A36" s="35"/>
      <c r="B36" s="10" t="str">
        <f>CONCATENATE("          ","6114", " - ","STATE UNEMPLOYMENT INSURANCE")</f>
        <v xml:space="preserve">          6114 - STATE UNEMPLOYMENT INSURANCE</v>
      </c>
      <c r="C36" s="14"/>
      <c r="D36" s="2">
        <v>74.709999999999994</v>
      </c>
      <c r="E36" s="2">
        <v>100.64483631461501</v>
      </c>
      <c r="F36" s="2">
        <v>76.305836314615405</v>
      </c>
      <c r="G36" s="2">
        <v>77.083420393269193</v>
      </c>
      <c r="H36" s="2">
        <v>62.347136314615398</v>
      </c>
      <c r="I36" s="2">
        <v>65.165336314615402</v>
      </c>
      <c r="J36" s="2">
        <v>125.843635393269</v>
      </c>
      <c r="K36" s="2">
        <v>63.757286314615399</v>
      </c>
      <c r="L36" s="2">
        <v>60.127604314615397</v>
      </c>
      <c r="M36" s="2">
        <v>76.439686393269199</v>
      </c>
      <c r="N36" s="2">
        <v>62.214006814615402</v>
      </c>
      <c r="O36" s="2">
        <v>63.233535814615401</v>
      </c>
      <c r="P36" s="9"/>
      <c r="Q36" s="2">
        <f>SUM(OSRRefD21_0_3x)+IFERROR(SUM(OSRRefE21_0_3x),0)</f>
        <v>907.87232069673018</v>
      </c>
    </row>
    <row r="37" spans="1:17" s="34" customFormat="1" hidden="1" outlineLevel="1" x14ac:dyDescent="0.3">
      <c r="A37" s="35"/>
      <c r="B37" s="10" t="str">
        <f>CONCATENATE("          ","6115", " - ","P.E.R.S.")</f>
        <v xml:space="preserve">          6115 - P.E.R.S.</v>
      </c>
      <c r="C37" s="14"/>
      <c r="D37" s="2">
        <v>1607.1</v>
      </c>
      <c r="E37" s="2">
        <v>1664.68278164615</v>
      </c>
      <c r="F37" s="2">
        <v>1664.68278164615</v>
      </c>
      <c r="G37" s="2">
        <v>2080.8534770576898</v>
      </c>
      <c r="H37" s="2">
        <v>1664.68278164615</v>
      </c>
      <c r="I37" s="2">
        <v>1664.68278164615</v>
      </c>
      <c r="J37" s="2">
        <v>2080.8534770576898</v>
      </c>
      <c r="K37" s="2">
        <v>1664.68278164615</v>
      </c>
      <c r="L37" s="2">
        <v>1664.68278164615</v>
      </c>
      <c r="M37" s="2">
        <v>2080.8534770576898</v>
      </c>
      <c r="N37" s="2">
        <v>1664.68278164615</v>
      </c>
      <c r="O37" s="2">
        <v>1664.68278164615</v>
      </c>
      <c r="P37" s="9"/>
      <c r="Q37" s="2">
        <f>SUM(OSRRefD21_0_4x)+IFERROR(SUM(OSRRefE21_0_4x),0)</f>
        <v>21167.12268434227</v>
      </c>
    </row>
    <row r="38" spans="1:17" s="34" customFormat="1" hidden="1" outlineLevel="1" x14ac:dyDescent="0.3">
      <c r="A38" s="35"/>
      <c r="B38" s="10" t="str">
        <f>CONCATENATE("          ","6116", " - ","EDUCATIONAL BENEFITS")</f>
        <v xml:space="preserve">          6116 - EDUCATIONAL BENEFITS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SUM(OSRRefD21_0_5x)+IFERROR(SUM(OSRRefE21_0_5x),0)</f>
        <v>0</v>
      </c>
    </row>
    <row r="39" spans="1:17" s="34" customFormat="1" hidden="1" outlineLevel="1" x14ac:dyDescent="0.3">
      <c r="A39" s="35"/>
      <c r="B39" s="10" t="str">
        <f>CONCATENATE("          ","6117", " - ","RETIREMENT STAFF HOURLY")</f>
        <v xml:space="preserve">          6117 - RETIREMENT STAFF HOURLY</v>
      </c>
      <c r="C39" s="14"/>
      <c r="D39" s="2">
        <v>253.61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2">
        <f>SUM(OSRRefD21_0_6x)+IFERROR(SUM(OSRRefE21_0_6x),0)</f>
        <v>253.61</v>
      </c>
    </row>
    <row r="40" spans="1:17" s="34" customFormat="1" hidden="1" outlineLevel="1" x14ac:dyDescent="0.3">
      <c r="A40" s="35"/>
      <c r="B40" s="10" t="str">
        <f>CONCATENATE("          ","6118", " - ","VACATION")</f>
        <v xml:space="preserve">          6118 - VACATION</v>
      </c>
      <c r="C40" s="14"/>
      <c r="D40" s="2">
        <v>1357.34</v>
      </c>
      <c r="E40" s="2">
        <v>1689.1935418999999</v>
      </c>
      <c r="F40" s="2">
        <v>1689.1935418999999</v>
      </c>
      <c r="G40" s="2">
        <v>2111.4919273750002</v>
      </c>
      <c r="H40" s="2">
        <v>1689.1935418999999</v>
      </c>
      <c r="I40" s="2">
        <v>1689.1935418999999</v>
      </c>
      <c r="J40" s="2">
        <v>2111.4919273750002</v>
      </c>
      <c r="K40" s="2">
        <v>1689.1935418999999</v>
      </c>
      <c r="L40" s="2">
        <v>1689.1935418999999</v>
      </c>
      <c r="M40" s="2">
        <v>2111.4919273750002</v>
      </c>
      <c r="N40" s="2">
        <v>1689.1935418999999</v>
      </c>
      <c r="O40" s="2">
        <v>1689.1935418999999</v>
      </c>
      <c r="P40" s="9"/>
      <c r="Q40" s="2">
        <f>SUM(OSRRefD21_0_7x)+IFERROR(SUM(OSRRefE21_0_7x),0)</f>
        <v>21205.364117325003</v>
      </c>
    </row>
    <row r="41" spans="1:17" s="34" customFormat="1" hidden="1" outlineLevel="1" x14ac:dyDescent="0.3">
      <c r="A41" s="35"/>
      <c r="B41" s="10" t="str">
        <f>CONCATENATE("          ","6119", " - ","SICK LEAVE")</f>
        <v xml:space="preserve">          6119 - SICK LEAVE</v>
      </c>
      <c r="C41" s="14"/>
      <c r="D41" s="2">
        <v>1071.9000000000001</v>
      </c>
      <c r="E41" s="2">
        <v>1849.1931764153801</v>
      </c>
      <c r="F41" s="2">
        <v>1501.49317641538</v>
      </c>
      <c r="G41" s="2">
        <v>1615.4539705192301</v>
      </c>
      <c r="H41" s="2">
        <v>1302.08317641538</v>
      </c>
      <c r="I41" s="2">
        <v>1342.34317641538</v>
      </c>
      <c r="J41" s="2">
        <v>2312.0284705192298</v>
      </c>
      <c r="K41" s="2">
        <v>1322.2281764153799</v>
      </c>
      <c r="L41" s="2">
        <v>1270.37557641538</v>
      </c>
      <c r="M41" s="2">
        <v>1606.25777051923</v>
      </c>
      <c r="N41" s="2">
        <v>1300.18132641538</v>
      </c>
      <c r="O41" s="2">
        <v>1314.7460264153799</v>
      </c>
      <c r="P41" s="9"/>
      <c r="Q41" s="2">
        <f>SUM(OSRRefD21_0_8x)+IFERROR(SUM(OSRRefE21_0_8x),0)</f>
        <v>17808.284022880733</v>
      </c>
    </row>
    <row r="42" spans="1:17" s="34" customFormat="1" hidden="1" outlineLevel="1" x14ac:dyDescent="0.3">
      <c r="A42" s="35"/>
      <c r="B42" s="10" t="str">
        <f>CONCATENATE("          ","6156", " - ","EMPLOYEE MEALS")</f>
        <v xml:space="preserve">          6156 - EMPLOYEE MEALS</v>
      </c>
      <c r="C42" s="14"/>
      <c r="D42" s="2">
        <v>358.43</v>
      </c>
      <c r="E42" s="2">
        <v>1050</v>
      </c>
      <c r="F42" s="2">
        <v>1050</v>
      </c>
      <c r="G42" s="2">
        <v>1050</v>
      </c>
      <c r="H42" s="2">
        <v>1050</v>
      </c>
      <c r="I42" s="2">
        <v>1050</v>
      </c>
      <c r="J42" s="2">
        <v>1050</v>
      </c>
      <c r="K42" s="2">
        <v>1050</v>
      </c>
      <c r="L42" s="2">
        <v>1050</v>
      </c>
      <c r="M42" s="2">
        <v>1050</v>
      </c>
      <c r="N42" s="2">
        <v>1050</v>
      </c>
      <c r="O42" s="2">
        <v>1050</v>
      </c>
      <c r="P42" s="9"/>
      <c r="Q42" s="2">
        <f>SUM(OSRRefD21_0_9x)+IFERROR(SUM(OSRRefE21_0_9x),0)</f>
        <v>11908.43</v>
      </c>
    </row>
    <row r="43" spans="1:17" s="34" customFormat="1" collapsed="1" x14ac:dyDescent="0.3">
      <c r="A43" s="35"/>
      <c r="B43" s="14" t="str">
        <f>CONCATENATE("     ","*Payroll                                          ")</f>
        <v xml:space="preserve">     *Payroll                                          </v>
      </c>
      <c r="C43" s="14"/>
      <c r="D43" s="1">
        <f>SUM(OSRRefD21_1x_0)</f>
        <v>32421.75</v>
      </c>
      <c r="E43" s="1">
        <f>SUM(OSRRefE21_1x_0)</f>
        <v>45435.283545253798</v>
      </c>
      <c r="F43" s="1">
        <f>SUM(OSRRefE21_1x_1)</f>
        <v>33845.283545253798</v>
      </c>
      <c r="G43" s="1">
        <f>SUM(OSRRefE21_1x_2)</f>
        <v>33592.854431567299</v>
      </c>
      <c r="H43" s="1">
        <f>SUM(OSRRefE21_1x_3)</f>
        <v>27198.283545253802</v>
      </c>
      <c r="I43" s="1">
        <f>SUM(OSRRefE21_1x_4)</f>
        <v>28540.283545253802</v>
      </c>
      <c r="J43" s="1">
        <f>SUM(OSRRefE21_1x_5)</f>
        <v>56812.0044315673</v>
      </c>
      <c r="K43" s="1">
        <f>SUM(OSRRefE21_1x_6)</f>
        <v>27869.783545253802</v>
      </c>
      <c r="L43" s="1">
        <f>SUM(OSRRefE21_1x_7)</f>
        <v>26141.3635452538</v>
      </c>
      <c r="M43" s="1">
        <f>SUM(OSRRefE21_1x_8)</f>
        <v>33286.314431567298</v>
      </c>
      <c r="N43" s="1">
        <f>SUM(OSRRefE21_1x_9)</f>
        <v>27134.888545253802</v>
      </c>
      <c r="O43" s="1">
        <f>SUM(OSRRefE21_1x_10)</f>
        <v>27620.378545253803</v>
      </c>
      <c r="Q43" s="2">
        <f>SUM(OSRRefD20_1x)+IFERROR(SUM(OSRRefE20_1x),0)</f>
        <v>399898.47165673232</v>
      </c>
    </row>
    <row r="44" spans="1:17" s="34" customFormat="1" hidden="1" outlineLevel="1" x14ac:dyDescent="0.3">
      <c r="A44" s="35"/>
      <c r="B44" s="10" t="str">
        <f>CONCATENATE("          ","6001", " - ","ADMINISTRATIVE SALARIES")</f>
        <v xml:space="preserve">          6001 - ADMINISTRATIVE SALARIES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SUM(OSRRefD21_1_0x)+IFERROR(SUM(OSRRefE21_1_0x),0)</f>
        <v>0</v>
      </c>
    </row>
    <row r="45" spans="1:17" s="34" customFormat="1" hidden="1" outlineLevel="1" x14ac:dyDescent="0.3">
      <c r="A45" s="35"/>
      <c r="B45" s="10" t="str">
        <f>CONCATENATE("          ","6002", " - ","STAFF SALARIES")</f>
        <v xml:space="preserve">          6002 - STAFF SALARIES</v>
      </c>
      <c r="C45" s="14"/>
      <c r="D45" s="2">
        <v>19061.23</v>
      </c>
      <c r="E45" s="2">
        <v>17293.700777253802</v>
      </c>
      <c r="F45" s="2">
        <v>17293.700777253802</v>
      </c>
      <c r="G45" s="2">
        <v>21617.1259715673</v>
      </c>
      <c r="H45" s="2">
        <v>17293.700777253802</v>
      </c>
      <c r="I45" s="2">
        <v>17293.700777253802</v>
      </c>
      <c r="J45" s="2">
        <v>21617.1259715673</v>
      </c>
      <c r="K45" s="2">
        <v>17293.700777253802</v>
      </c>
      <c r="L45" s="2">
        <v>17293.700777253802</v>
      </c>
      <c r="M45" s="2">
        <v>21617.1259715673</v>
      </c>
      <c r="N45" s="2">
        <v>17293.700777253802</v>
      </c>
      <c r="O45" s="2">
        <v>17293.700777253802</v>
      </c>
      <c r="P45" s="9"/>
      <c r="Q45" s="2">
        <f>SUM(OSRRefD21_1_1x)+IFERROR(SUM(OSRRefE21_1_1x),0)</f>
        <v>222262.21413273233</v>
      </c>
    </row>
    <row r="46" spans="1:17" s="34" customFormat="1" hidden="1" outlineLevel="1" x14ac:dyDescent="0.3">
      <c r="A46" s="35"/>
      <c r="B46" s="10" t="str">
        <f>CONCATENATE("          ","6003", " - ","STAFF HOURLY-9 MONTH")</f>
        <v xml:space="preserve">          6003 - STAFF HOURLY-9 MONTH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9"/>
      <c r="Q46" s="2">
        <f>SUM(OSRRefD21_1_2x)+IFERROR(SUM(OSRRefE21_1_2x),0)</f>
        <v>0</v>
      </c>
    </row>
    <row r="47" spans="1:17" s="34" customFormat="1" hidden="1" outlineLevel="1" x14ac:dyDescent="0.3">
      <c r="A47" s="35"/>
      <c r="B47" s="10" t="str">
        <f>CONCATENATE("          ","6004", " - ","STAFF HOURLY")</f>
        <v xml:space="preserve">          6004 - STAFF HOURLY</v>
      </c>
      <c r="C47" s="14"/>
      <c r="D47" s="2">
        <v>6184.05</v>
      </c>
      <c r="E47" s="2">
        <v>5928.5827680000002</v>
      </c>
      <c r="F47" s="2">
        <v>5928.5827680000002</v>
      </c>
      <c r="G47" s="2">
        <v>7410.7284600000003</v>
      </c>
      <c r="H47" s="2">
        <v>5928.5827680000002</v>
      </c>
      <c r="I47" s="2">
        <v>5928.5827680000002</v>
      </c>
      <c r="J47" s="2">
        <v>7410.7284600000003</v>
      </c>
      <c r="K47" s="2">
        <v>5928.5827680000002</v>
      </c>
      <c r="L47" s="2">
        <v>5928.5827680000002</v>
      </c>
      <c r="M47" s="2">
        <v>7410.7284600000003</v>
      </c>
      <c r="N47" s="2">
        <v>5928.5827680000002</v>
      </c>
      <c r="O47" s="2">
        <v>5928.5827680000002</v>
      </c>
      <c r="P47" s="9"/>
      <c r="Q47" s="2">
        <f>SUM(OSRRefD21_1_3x)+IFERROR(SUM(OSRRefE21_1_3x),0)</f>
        <v>75844.897524</v>
      </c>
    </row>
    <row r="48" spans="1:17" s="34" customFormat="1" hidden="1" outlineLevel="1" x14ac:dyDescent="0.3">
      <c r="A48" s="35"/>
      <c r="B48" s="10" t="str">
        <f>CONCATENATE("          ","6005", " - ","TEMPORARY WAGES-HOURLY")</f>
        <v xml:space="preserve">          6005 - TEMPORARY WAGES-HOURLY</v>
      </c>
      <c r="C48" s="14"/>
      <c r="D48" s="2">
        <v>3877.79</v>
      </c>
      <c r="E48" s="2">
        <v>4181</v>
      </c>
      <c r="F48" s="2">
        <v>3455</v>
      </c>
      <c r="G48" s="2">
        <v>3445</v>
      </c>
      <c r="H48" s="2">
        <v>3080</v>
      </c>
      <c r="I48" s="2">
        <v>4198</v>
      </c>
      <c r="J48" s="2">
        <v>3009.34</v>
      </c>
      <c r="K48" s="2">
        <v>1802</v>
      </c>
      <c r="L48" s="2">
        <v>1802</v>
      </c>
      <c r="M48" s="2">
        <v>2396.66</v>
      </c>
      <c r="N48" s="2">
        <v>2252.5</v>
      </c>
      <c r="O48" s="2">
        <v>2396.66</v>
      </c>
      <c r="P48" s="9"/>
      <c r="Q48" s="2">
        <f>SUM(OSRRefD21_1_4x)+IFERROR(SUM(OSRRefE21_1_4x),0)</f>
        <v>35895.949999999997</v>
      </c>
    </row>
    <row r="49" spans="1:17" s="34" customFormat="1" hidden="1" outlineLevel="1" x14ac:dyDescent="0.3">
      <c r="A49" s="35"/>
      <c r="B49" s="10" t="str">
        <f>CONCATENATE("          ","6006", " - ","TEMPORARY PART TIME")</f>
        <v xml:space="preserve">          6006 - TEMPORARY PART TIME</v>
      </c>
      <c r="C49" s="14"/>
      <c r="D49" s="2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9"/>
      <c r="Q49" s="2">
        <f>SUM(OSRRefD21_1_5x)+IFERROR(SUM(OSRRefE21_1_5x),0)</f>
        <v>0</v>
      </c>
    </row>
    <row r="50" spans="1:17" s="34" customFormat="1" hidden="1" outlineLevel="1" x14ac:dyDescent="0.3">
      <c r="A50" s="35"/>
      <c r="B50" s="10" t="str">
        <f>CONCATENATE("          ","6007", " - ","STUDENT HOURLY")</f>
        <v xml:space="preserve">          6007 - STUDENT HOURLY</v>
      </c>
      <c r="C50" s="14"/>
      <c r="D50" s="2">
        <v>3298.68</v>
      </c>
      <c r="E50" s="2">
        <v>11760</v>
      </c>
      <c r="F50" s="2">
        <v>0</v>
      </c>
      <c r="G50" s="2">
        <v>0</v>
      </c>
      <c r="H50" s="2">
        <v>0</v>
      </c>
      <c r="I50" s="2">
        <v>336</v>
      </c>
      <c r="J50" s="2">
        <v>12526.25</v>
      </c>
      <c r="K50" s="2">
        <v>0</v>
      </c>
      <c r="L50" s="2">
        <v>0</v>
      </c>
      <c r="M50" s="2">
        <v>0</v>
      </c>
      <c r="N50" s="2">
        <v>0</v>
      </c>
      <c r="O50" s="2">
        <v>2001.4349999999999</v>
      </c>
      <c r="P50" s="9"/>
      <c r="Q50" s="2">
        <f>SUM(OSRRefD21_1_6x)+IFERROR(SUM(OSRRefE21_1_6x),0)</f>
        <v>29922.365000000002</v>
      </c>
    </row>
    <row r="51" spans="1:17" s="34" customFormat="1" hidden="1" outlineLevel="1" x14ac:dyDescent="0.3">
      <c r="A51" s="35"/>
      <c r="B51" s="10" t="str">
        <f>CONCATENATE("          ","6008", " - ","STUDENT HOURLY-FICA EXEMPT")</f>
        <v xml:space="preserve">          6008 - STUDENT HOURLY-FICA EXEMPT</v>
      </c>
      <c r="C51" s="14"/>
      <c r="D51" s="2"/>
      <c r="E51" s="2">
        <v>6272</v>
      </c>
      <c r="F51" s="2">
        <v>7168</v>
      </c>
      <c r="G51" s="2">
        <v>1120</v>
      </c>
      <c r="H51" s="2">
        <v>896</v>
      </c>
      <c r="I51" s="2">
        <v>784</v>
      </c>
      <c r="J51" s="2">
        <v>12248.56</v>
      </c>
      <c r="K51" s="2">
        <v>2845.5</v>
      </c>
      <c r="L51" s="2">
        <v>1117.08</v>
      </c>
      <c r="M51" s="2">
        <v>1861.8</v>
      </c>
      <c r="N51" s="2">
        <v>1660.105</v>
      </c>
      <c r="O51" s="2">
        <v>0</v>
      </c>
      <c r="P51" s="9"/>
      <c r="Q51" s="2">
        <f>SUM(OSRRefD21_1_7x)+IFERROR(SUM(OSRRefE21_1_7x),0)</f>
        <v>35973.045000000006</v>
      </c>
    </row>
    <row r="52" spans="1:17" s="34" customFormat="1" hidden="1" outlineLevel="1" x14ac:dyDescent="0.3">
      <c r="A52" s="35"/>
      <c r="B52" s="10" t="str">
        <f>CONCATENATE("          ","6009", " - ","TEMPORARY-SEASONAL")</f>
        <v xml:space="preserve">          6009 - TEMPORARY-SEASONAL</v>
      </c>
      <c r="C52" s="14"/>
      <c r="D52" s="2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9"/>
      <c r="Q52" s="2">
        <f>SUM(OSRRefD21_1_8x)+IFERROR(SUM(OSRRefE21_1_8x),0)</f>
        <v>0</v>
      </c>
    </row>
    <row r="53" spans="1:17" s="34" customFormat="1" hidden="1" outlineLevel="1" x14ac:dyDescent="0.3">
      <c r="A53" s="35"/>
      <c r="B53" s="10" t="str">
        <f>CONCATENATE("          ","6010", " - ","GRATUITY")</f>
        <v xml:space="preserve">          6010 - GRATUITY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SUM(OSRRefD21_1_9x)+IFERROR(SUM(OSRRefE21_1_9x),0)</f>
        <v>0</v>
      </c>
    </row>
    <row r="54" spans="1:17" s="34" customFormat="1" collapsed="1" x14ac:dyDescent="0.3">
      <c r="A54" s="35"/>
      <c r="B54" s="14" t="str">
        <f>CONCATENATE("     ","Advertising/Promo                                 ")</f>
        <v xml:space="preserve">     Advertising/Promo                                 </v>
      </c>
      <c r="C54" s="14"/>
      <c r="D54" s="1">
        <f>SUM(OSRRefD21_2x_0)</f>
        <v>0</v>
      </c>
      <c r="E54" s="1">
        <f>SUM(OSRRefE21_2x_0)</f>
        <v>400</v>
      </c>
      <c r="F54" s="1">
        <f>SUM(OSRRefE21_2x_1)</f>
        <v>100</v>
      </c>
      <c r="G54" s="1">
        <f>SUM(OSRRefE21_2x_2)</f>
        <v>100</v>
      </c>
      <c r="H54" s="1">
        <f>SUM(OSRRefE21_2x_3)</f>
        <v>100</v>
      </c>
      <c r="I54" s="1">
        <f>SUM(OSRRefE21_2x_4)</f>
        <v>200</v>
      </c>
      <c r="J54" s="1">
        <f>SUM(OSRRefE21_2x_5)</f>
        <v>400</v>
      </c>
      <c r="K54" s="1">
        <f>SUM(OSRRefE21_2x_6)</f>
        <v>100</v>
      </c>
      <c r="L54" s="1">
        <f>SUM(OSRRefE21_2x_7)</f>
        <v>100</v>
      </c>
      <c r="M54" s="1">
        <f>SUM(OSRRefE21_2x_8)</f>
        <v>100</v>
      </c>
      <c r="N54" s="1">
        <f>SUM(OSRRefE21_2x_9)</f>
        <v>200</v>
      </c>
      <c r="O54" s="1">
        <f>SUM(OSRRefE21_2x_10)</f>
        <v>100</v>
      </c>
      <c r="Q54" s="2">
        <f>SUM(OSRRefD20_2x)+IFERROR(SUM(OSRRefE20_2x),0)</f>
        <v>1900</v>
      </c>
    </row>
    <row r="55" spans="1:17" s="34" customFormat="1" hidden="1" outlineLevel="1" x14ac:dyDescent="0.3">
      <c r="A55" s="35"/>
      <c r="B55" s="10" t="str">
        <f>CONCATENATE("          ","6362", " - ","ADVERTISING EXPENSE")</f>
        <v xml:space="preserve">          6362 - ADVERTISING EXPENSE</v>
      </c>
      <c r="C55" s="14"/>
      <c r="D55" s="2"/>
      <c r="E55" s="2">
        <v>400</v>
      </c>
      <c r="F55" s="2">
        <v>100</v>
      </c>
      <c r="G55" s="2">
        <v>100</v>
      </c>
      <c r="H55" s="2">
        <v>100</v>
      </c>
      <c r="I55" s="2">
        <v>200</v>
      </c>
      <c r="J55" s="2">
        <v>400</v>
      </c>
      <c r="K55" s="2">
        <v>100</v>
      </c>
      <c r="L55" s="2">
        <v>100</v>
      </c>
      <c r="M55" s="2">
        <v>100</v>
      </c>
      <c r="N55" s="2">
        <v>200</v>
      </c>
      <c r="O55" s="2">
        <v>100</v>
      </c>
      <c r="P55" s="9"/>
      <c r="Q55" s="2">
        <f>SUM(OSRRefD21_2_0x)+IFERROR(SUM(OSRRefE21_2_0x),0)</f>
        <v>1900</v>
      </c>
    </row>
    <row r="56" spans="1:17" s="34" customFormat="1" collapsed="1" x14ac:dyDescent="0.3">
      <c r="A56" s="35"/>
      <c r="B56" s="14" t="str">
        <f>CONCATENATE("     ","Employees' Appreciation                           ")</f>
        <v xml:space="preserve">     Employees' Appreciation                           </v>
      </c>
      <c r="C56" s="14"/>
      <c r="D56" s="1">
        <f>SUM(OSRRefD21_3x_0)</f>
        <v>0</v>
      </c>
      <c r="E56" s="1">
        <f>SUM(OSRRefE21_3x_0)</f>
        <v>50</v>
      </c>
      <c r="F56" s="1">
        <f>SUM(OSRRefE21_3x_1)</f>
        <v>50</v>
      </c>
      <c r="G56" s="1">
        <f>SUM(OSRRefE21_3x_2)</f>
        <v>50</v>
      </c>
      <c r="H56" s="1">
        <f>SUM(OSRRefE21_3x_3)</f>
        <v>50</v>
      </c>
      <c r="I56" s="1">
        <f>SUM(OSRRefE21_3x_4)</f>
        <v>50</v>
      </c>
      <c r="J56" s="1">
        <f>SUM(OSRRefE21_3x_5)</f>
        <v>50</v>
      </c>
      <c r="K56" s="1">
        <f>SUM(OSRRefE21_3x_6)</f>
        <v>50</v>
      </c>
      <c r="L56" s="1">
        <f>SUM(OSRRefE21_3x_7)</f>
        <v>50</v>
      </c>
      <c r="M56" s="1">
        <f>SUM(OSRRefE21_3x_8)</f>
        <v>50</v>
      </c>
      <c r="N56" s="1">
        <f>SUM(OSRRefE21_3x_9)</f>
        <v>50</v>
      </c>
      <c r="O56" s="1">
        <f>SUM(OSRRefE21_3x_10)</f>
        <v>50</v>
      </c>
      <c r="Q56" s="2">
        <f>SUM(OSRRefD20_3x)+IFERROR(SUM(OSRRefE20_3x),0)</f>
        <v>550</v>
      </c>
    </row>
    <row r="57" spans="1:17" s="34" customFormat="1" hidden="1" outlineLevel="1" x14ac:dyDescent="0.3">
      <c r="A57" s="35"/>
      <c r="B57" s="10" t="str">
        <f>CONCATENATE("          ","6277", " - ","EMPLOYEE APPRECIATION")</f>
        <v xml:space="preserve">          6277 - EMPLOYEE APPRECIATION</v>
      </c>
      <c r="C57" s="14"/>
      <c r="D57" s="2"/>
      <c r="E57" s="2">
        <v>50</v>
      </c>
      <c r="F57" s="2">
        <v>50</v>
      </c>
      <c r="G57" s="2">
        <v>50</v>
      </c>
      <c r="H57" s="2">
        <v>50</v>
      </c>
      <c r="I57" s="2">
        <v>50</v>
      </c>
      <c r="J57" s="2">
        <v>50</v>
      </c>
      <c r="K57" s="2">
        <v>50</v>
      </c>
      <c r="L57" s="2">
        <v>50</v>
      </c>
      <c r="M57" s="2">
        <v>50</v>
      </c>
      <c r="N57" s="2">
        <v>50</v>
      </c>
      <c r="O57" s="2">
        <v>50</v>
      </c>
      <c r="P57" s="9"/>
      <c r="Q57" s="2">
        <f>SUM(OSRRefD21_3_0x)+IFERROR(SUM(OSRRefE21_3_0x),0)</f>
        <v>550</v>
      </c>
    </row>
    <row r="58" spans="1:17" s="34" customFormat="1" collapsed="1" x14ac:dyDescent="0.3">
      <c r="A58" s="35"/>
      <c r="B58" s="14" t="str">
        <f>CONCATENATE("     ","Equipment Rental                                  ")</f>
        <v xml:space="preserve">     Equipment Rental                                  </v>
      </c>
      <c r="C58" s="14"/>
      <c r="D58" s="1">
        <f>SUM(OSRRefD21_4x_0)</f>
        <v>91.26</v>
      </c>
      <c r="E58" s="1">
        <f>SUM(OSRRefE21_4x_0)</f>
        <v>100</v>
      </c>
      <c r="F58" s="1">
        <f>SUM(OSRRefE21_4x_1)</f>
        <v>100</v>
      </c>
      <c r="G58" s="1">
        <f>SUM(OSRRefE21_4x_2)</f>
        <v>100</v>
      </c>
      <c r="H58" s="1">
        <f>SUM(OSRRefE21_4x_3)</f>
        <v>100</v>
      </c>
      <c r="I58" s="1">
        <f>SUM(OSRRefE21_4x_4)</f>
        <v>100</v>
      </c>
      <c r="J58" s="1">
        <f>SUM(OSRRefE21_4x_5)</f>
        <v>100</v>
      </c>
      <c r="K58" s="1">
        <f>SUM(OSRRefE21_4x_6)</f>
        <v>100</v>
      </c>
      <c r="L58" s="1">
        <f>SUM(OSRRefE21_4x_7)</f>
        <v>100</v>
      </c>
      <c r="M58" s="1">
        <f>SUM(OSRRefE21_4x_8)</f>
        <v>100</v>
      </c>
      <c r="N58" s="1">
        <f>SUM(OSRRefE21_4x_9)</f>
        <v>100</v>
      </c>
      <c r="O58" s="1">
        <f>SUM(OSRRefE21_4x_10)</f>
        <v>100</v>
      </c>
      <c r="Q58" s="2">
        <f>SUM(OSRRefD20_4x)+IFERROR(SUM(OSRRefE20_4x),0)</f>
        <v>1191.26</v>
      </c>
    </row>
    <row r="59" spans="1:17" s="34" customFormat="1" hidden="1" outlineLevel="1" x14ac:dyDescent="0.3">
      <c r="A59" s="35"/>
      <c r="B59" s="10" t="str">
        <f>CONCATENATE("          ","6351", " - ","EQUIPMENT RENTAL")</f>
        <v xml:space="preserve">          6351 - EQUIPMENT RENTAL</v>
      </c>
      <c r="C59" s="14"/>
      <c r="D59" s="2">
        <v>91.26</v>
      </c>
      <c r="E59" s="2">
        <v>100</v>
      </c>
      <c r="F59" s="2">
        <v>100</v>
      </c>
      <c r="G59" s="2">
        <v>100</v>
      </c>
      <c r="H59" s="2">
        <v>100</v>
      </c>
      <c r="I59" s="2">
        <v>100</v>
      </c>
      <c r="J59" s="2">
        <v>100</v>
      </c>
      <c r="K59" s="2">
        <v>100</v>
      </c>
      <c r="L59" s="2">
        <v>100</v>
      </c>
      <c r="M59" s="2">
        <v>100</v>
      </c>
      <c r="N59" s="2">
        <v>100</v>
      </c>
      <c r="O59" s="2">
        <v>100</v>
      </c>
      <c r="P59" s="9"/>
      <c r="Q59" s="2">
        <f>SUM(OSRRefD21_4_0x)+IFERROR(SUM(OSRRefE21_4_0x),0)</f>
        <v>1191.26</v>
      </c>
    </row>
    <row r="60" spans="1:17" s="34" customFormat="1" collapsed="1" x14ac:dyDescent="0.3">
      <c r="A60" s="35"/>
      <c r="B60" s="14" t="str">
        <f>CONCATENATE("     ","Freight out/Postage                               ")</f>
        <v xml:space="preserve">     Freight out/Postage                               </v>
      </c>
      <c r="C60" s="14"/>
      <c r="D60" s="1">
        <f>SUM(OSRRefD21_5x_0)</f>
        <v>132.66999999999999</v>
      </c>
      <c r="E60" s="1">
        <f>SUM(OSRRefE21_5x_0)</f>
        <v>500</v>
      </c>
      <c r="F60" s="1">
        <f>SUM(OSRRefE21_5x_1)</f>
        <v>800</v>
      </c>
      <c r="G60" s="1">
        <f>SUM(OSRRefE21_5x_2)</f>
        <v>1800</v>
      </c>
      <c r="H60" s="1">
        <f>SUM(OSRRefE21_5x_3)</f>
        <v>3000</v>
      </c>
      <c r="I60" s="1">
        <f>SUM(OSRRefE21_5x_4)</f>
        <v>1500</v>
      </c>
      <c r="J60" s="1">
        <f>SUM(OSRRefE21_5x_5)</f>
        <v>800</v>
      </c>
      <c r="K60" s="1">
        <f>SUM(OSRRefE21_5x_6)</f>
        <v>1800</v>
      </c>
      <c r="L60" s="1">
        <f>SUM(OSRRefE21_5x_7)</f>
        <v>3200</v>
      </c>
      <c r="M60" s="1">
        <f>SUM(OSRRefE21_5x_8)</f>
        <v>2300</v>
      </c>
      <c r="N60" s="1">
        <f>SUM(OSRRefE21_5x_9)</f>
        <v>1000</v>
      </c>
      <c r="O60" s="1">
        <f>SUM(OSRRefE21_5x_10)</f>
        <v>500</v>
      </c>
      <c r="Q60" s="2">
        <f>SUM(OSRRefD20_5x)+IFERROR(SUM(OSRRefE20_5x),0)</f>
        <v>17332.669999999998</v>
      </c>
    </row>
    <row r="61" spans="1:17" s="34" customFormat="1" hidden="1" outlineLevel="1" x14ac:dyDescent="0.3">
      <c r="A61" s="35"/>
      <c r="B61" s="10" t="str">
        <f>CONCATENATE("          ","6305", " - ","FREIGHT OUT")</f>
        <v xml:space="preserve">          6305 - FREIGHT OUT</v>
      </c>
      <c r="C61" s="14"/>
      <c r="D61" s="2">
        <v>132.66999999999999</v>
      </c>
      <c r="E61" s="2">
        <v>500</v>
      </c>
      <c r="F61" s="2">
        <v>800</v>
      </c>
      <c r="G61" s="2">
        <v>1800</v>
      </c>
      <c r="H61" s="2">
        <v>3000</v>
      </c>
      <c r="I61" s="2">
        <v>1500</v>
      </c>
      <c r="J61" s="2">
        <v>800</v>
      </c>
      <c r="K61" s="2">
        <v>1800</v>
      </c>
      <c r="L61" s="2">
        <v>3200</v>
      </c>
      <c r="M61" s="2">
        <v>2300</v>
      </c>
      <c r="N61" s="2">
        <v>1000</v>
      </c>
      <c r="O61" s="2">
        <v>500</v>
      </c>
      <c r="P61" s="9"/>
      <c r="Q61" s="2">
        <f>SUM(OSRRefD21_5_0x)+IFERROR(SUM(OSRRefE21_5_0x),0)</f>
        <v>17332.669999999998</v>
      </c>
    </row>
    <row r="62" spans="1:17" s="34" customFormat="1" collapsed="1" x14ac:dyDescent="0.3">
      <c r="A62" s="35"/>
      <c r="B62" s="14" t="str">
        <f>CONCATENATE("     ","General                                           ")</f>
        <v xml:space="preserve">     General                                           </v>
      </c>
      <c r="C62" s="14"/>
      <c r="D62" s="1">
        <f>SUM(OSRRefD21_6x_0)</f>
        <v>0</v>
      </c>
      <c r="E62" s="1">
        <f>SUM(OSRRefE21_6x_0)</f>
        <v>125</v>
      </c>
      <c r="F62" s="1">
        <f>SUM(OSRRefE21_6x_1)</f>
        <v>0</v>
      </c>
      <c r="G62" s="1">
        <f>SUM(OSRRefE21_6x_2)</f>
        <v>0</v>
      </c>
      <c r="H62" s="1">
        <f>SUM(OSRRefE21_6x_3)</f>
        <v>500</v>
      </c>
      <c r="I62" s="1">
        <f>SUM(OSRRefE21_6x_4)</f>
        <v>750</v>
      </c>
      <c r="J62" s="1">
        <f>SUM(OSRRefE21_6x_5)</f>
        <v>0</v>
      </c>
      <c r="K62" s="1">
        <f>SUM(OSRRefE21_6x_6)</f>
        <v>125</v>
      </c>
      <c r="L62" s="1">
        <f>SUM(OSRRefE21_6x_7)</f>
        <v>0</v>
      </c>
      <c r="M62" s="1">
        <f>SUM(OSRRefE21_6x_8)</f>
        <v>500</v>
      </c>
      <c r="N62" s="1">
        <f>SUM(OSRRefE21_6x_9)</f>
        <v>750</v>
      </c>
      <c r="O62" s="1">
        <f>SUM(OSRRefE21_6x_10)</f>
        <v>0</v>
      </c>
      <c r="Q62" s="2">
        <f>SUM(OSRRefD20_6x)+IFERROR(SUM(OSRRefE20_6x),0)</f>
        <v>2750</v>
      </c>
    </row>
    <row r="63" spans="1:17" s="34" customFormat="1" hidden="1" outlineLevel="1" x14ac:dyDescent="0.3">
      <c r="A63" s="35"/>
      <c r="B63" s="10" t="str">
        <f>CONCATENATE("          ","6279", " - ","GENERAL EXPENSE")</f>
        <v xml:space="preserve">          6279 - GENERAL EXPENSE</v>
      </c>
      <c r="C63" s="14"/>
      <c r="D63" s="2"/>
      <c r="E63" s="2">
        <v>125</v>
      </c>
      <c r="F63" s="2">
        <v>0</v>
      </c>
      <c r="G63" s="2">
        <v>0</v>
      </c>
      <c r="H63" s="2">
        <v>500</v>
      </c>
      <c r="I63" s="2">
        <v>750</v>
      </c>
      <c r="J63" s="2">
        <v>0</v>
      </c>
      <c r="K63" s="2">
        <v>125</v>
      </c>
      <c r="L63" s="2">
        <v>0</v>
      </c>
      <c r="M63" s="2">
        <v>500</v>
      </c>
      <c r="N63" s="2">
        <v>750</v>
      </c>
      <c r="O63" s="2">
        <v>0</v>
      </c>
      <c r="P63" s="9"/>
      <c r="Q63" s="2">
        <f>SUM(OSRRefD21_6_0x)+IFERROR(SUM(OSRRefE21_6_0x),0)</f>
        <v>2750</v>
      </c>
    </row>
    <row r="64" spans="1:17" s="34" customFormat="1" collapsed="1" x14ac:dyDescent="0.3">
      <c r="A64" s="35"/>
      <c r="B64" s="14" t="str">
        <f>CONCATENATE("     ","Inventory Adjustment                              ")</f>
        <v xml:space="preserve">     Inventory Adjustment                              </v>
      </c>
      <c r="C64" s="14"/>
      <c r="D64" s="1">
        <f>SUM(OSRRefD21_7x_0)</f>
        <v>1000</v>
      </c>
      <c r="E64" s="1">
        <f>SUM(OSRRefE21_7x_0)</f>
        <v>1000</v>
      </c>
      <c r="F64" s="1">
        <f>SUM(OSRRefE21_7x_1)</f>
        <v>1000</v>
      </c>
      <c r="G64" s="1">
        <f>SUM(OSRRefE21_7x_2)</f>
        <v>1000</v>
      </c>
      <c r="H64" s="1">
        <f>SUM(OSRRefE21_7x_3)</f>
        <v>1000</v>
      </c>
      <c r="I64" s="1">
        <f>SUM(OSRRefE21_7x_4)</f>
        <v>5000</v>
      </c>
      <c r="J64" s="1">
        <f>SUM(OSRRefE21_7x_5)</f>
        <v>1000</v>
      </c>
      <c r="K64" s="1">
        <f>SUM(OSRRefE21_7x_6)</f>
        <v>1000</v>
      </c>
      <c r="L64" s="1">
        <f>SUM(OSRRefE21_7x_7)</f>
        <v>1000</v>
      </c>
      <c r="M64" s="1">
        <f>SUM(OSRRefE21_7x_8)</f>
        <v>1000</v>
      </c>
      <c r="N64" s="1">
        <f>SUM(OSRRefE21_7x_9)</f>
        <v>1000</v>
      </c>
      <c r="O64" s="1">
        <f>SUM(OSRRefE21_7x_10)</f>
        <v>15000</v>
      </c>
      <c r="Q64" s="2">
        <f>SUM(OSRRefD20_7x)+IFERROR(SUM(OSRRefE20_7x),0)</f>
        <v>30000</v>
      </c>
    </row>
    <row r="65" spans="1:17" s="34" customFormat="1" hidden="1" outlineLevel="1" x14ac:dyDescent="0.3">
      <c r="A65" s="35"/>
      <c r="B65" s="10" t="str">
        <f>CONCATENATE("          ","6408", " - ","INVENTORY ADJUSTMENT")</f>
        <v xml:space="preserve">          6408 - INVENTORY ADJUSTMENT</v>
      </c>
      <c r="C65" s="14"/>
      <c r="D65" s="2">
        <v>1000</v>
      </c>
      <c r="E65" s="2">
        <v>1000</v>
      </c>
      <c r="F65" s="2">
        <v>1000</v>
      </c>
      <c r="G65" s="2">
        <v>1000</v>
      </c>
      <c r="H65" s="2">
        <v>1000</v>
      </c>
      <c r="I65" s="2">
        <v>5000</v>
      </c>
      <c r="J65" s="2">
        <v>1000</v>
      </c>
      <c r="K65" s="2">
        <v>1000</v>
      </c>
      <c r="L65" s="2">
        <v>1000</v>
      </c>
      <c r="M65" s="2">
        <v>1000</v>
      </c>
      <c r="N65" s="2">
        <v>1000</v>
      </c>
      <c r="O65" s="2">
        <v>15000</v>
      </c>
      <c r="P65" s="9"/>
      <c r="Q65" s="2">
        <f>SUM(OSRRefD21_7_0x)+IFERROR(SUM(OSRRefE21_7_0x),0)</f>
        <v>30000</v>
      </c>
    </row>
    <row r="66" spans="1:17" s="34" customFormat="1" collapsed="1" x14ac:dyDescent="0.3">
      <c r="A66" s="35"/>
      <c r="B66" s="14" t="str">
        <f>CONCATENATE("     ","Repair and Maintenance                            ")</f>
        <v xml:space="preserve">     Repair and Maintenance                            </v>
      </c>
      <c r="C66" s="14"/>
      <c r="D66" s="1">
        <f>SUM(OSRRefD21_8x_0)</f>
        <v>2900.53</v>
      </c>
      <c r="E66" s="1">
        <f>SUM(OSRRefE21_8x_0)</f>
        <v>80</v>
      </c>
      <c r="F66" s="1">
        <f>SUM(OSRRefE21_8x_1)</f>
        <v>80</v>
      </c>
      <c r="G66" s="1">
        <f>SUM(OSRRefE21_8x_2)</f>
        <v>80</v>
      </c>
      <c r="H66" s="1">
        <f>SUM(OSRRefE21_8x_3)</f>
        <v>80</v>
      </c>
      <c r="I66" s="1">
        <f>SUM(OSRRefE21_8x_4)</f>
        <v>80</v>
      </c>
      <c r="J66" s="1">
        <f>SUM(OSRRefE21_8x_5)</f>
        <v>80</v>
      </c>
      <c r="K66" s="1">
        <f>SUM(OSRRefE21_8x_6)</f>
        <v>80</v>
      </c>
      <c r="L66" s="1">
        <f>SUM(OSRRefE21_8x_7)</f>
        <v>80</v>
      </c>
      <c r="M66" s="1">
        <f>SUM(OSRRefE21_8x_8)</f>
        <v>80</v>
      </c>
      <c r="N66" s="1">
        <f>SUM(OSRRefE21_8x_9)</f>
        <v>80</v>
      </c>
      <c r="O66" s="1">
        <f>SUM(OSRRefE21_8x_10)</f>
        <v>80</v>
      </c>
      <c r="Q66" s="2">
        <f>SUM(OSRRefD20_8x)+IFERROR(SUM(OSRRefE20_8x),0)</f>
        <v>3780.53</v>
      </c>
    </row>
    <row r="67" spans="1:17" s="34" customFormat="1" hidden="1" outlineLevel="1" x14ac:dyDescent="0.3">
      <c r="A67" s="35"/>
      <c r="B67" s="10" t="str">
        <f>CONCATENATE("          ","6371", " - ","COMPUTER SOFTWARE MAINTENANCE")</f>
        <v xml:space="preserve">          6371 - COMPUTER SOFTWARE MAINTENANCE</v>
      </c>
      <c r="C67" s="14"/>
      <c r="D67" s="2">
        <v>2887.5</v>
      </c>
      <c r="E67" s="2"/>
      <c r="F67" s="2"/>
      <c r="G67" s="2"/>
      <c r="H67" s="2"/>
      <c r="I67" s="2"/>
      <c r="J67" s="2"/>
      <c r="K67" s="2"/>
      <c r="L67" s="2"/>
      <c r="M67" s="2"/>
      <c r="N67" s="2">
        <v>0</v>
      </c>
      <c r="O67" s="2"/>
      <c r="P67" s="9"/>
      <c r="Q67" s="2">
        <f>SUM(OSRRefD21_8_0x)+IFERROR(SUM(OSRRefE21_8_0x),0)</f>
        <v>2887.5</v>
      </c>
    </row>
    <row r="68" spans="1:17" s="34" customFormat="1" hidden="1" outlineLevel="1" x14ac:dyDescent="0.3">
      <c r="A68" s="35"/>
      <c r="B68" s="10" t="str">
        <f>CONCATENATE("          ","6373", " - ","MAINTENANCE CONTRACTS")</f>
        <v xml:space="preserve">          6373 - MAINTENANCE CONTRACTS</v>
      </c>
      <c r="C68" s="14"/>
      <c r="D68" s="2">
        <v>13.03</v>
      </c>
      <c r="E68" s="2">
        <v>40</v>
      </c>
      <c r="F68" s="2">
        <v>40</v>
      </c>
      <c r="G68" s="2">
        <v>40</v>
      </c>
      <c r="H68" s="2">
        <v>40</v>
      </c>
      <c r="I68" s="2">
        <v>40</v>
      </c>
      <c r="J68" s="2">
        <v>40</v>
      </c>
      <c r="K68" s="2">
        <v>40</v>
      </c>
      <c r="L68" s="2">
        <v>40</v>
      </c>
      <c r="M68" s="2">
        <v>40</v>
      </c>
      <c r="N68" s="2">
        <v>40</v>
      </c>
      <c r="O68" s="2">
        <v>40</v>
      </c>
      <c r="P68" s="9"/>
      <c r="Q68" s="2">
        <f>SUM(OSRRefD21_8_1x)+IFERROR(SUM(OSRRefE21_8_1x),0)</f>
        <v>453.03</v>
      </c>
    </row>
    <row r="69" spans="1:17" s="34" customFormat="1" hidden="1" outlineLevel="1" x14ac:dyDescent="0.3">
      <c r="A69" s="35"/>
      <c r="B69" s="10" t="str">
        <f>CONCATENATE("          ","6375", " - ","OUTSIDE REPAIRS &amp; MAINTENANCE")</f>
        <v xml:space="preserve">          6375 - OUTSIDE REPAIRS &amp; MAINTENANCE</v>
      </c>
      <c r="C69" s="14"/>
      <c r="D69" s="2"/>
      <c r="E69" s="2">
        <v>40</v>
      </c>
      <c r="F69" s="2">
        <v>40</v>
      </c>
      <c r="G69" s="2">
        <v>40</v>
      </c>
      <c r="H69" s="2">
        <v>40</v>
      </c>
      <c r="I69" s="2">
        <v>40</v>
      </c>
      <c r="J69" s="2">
        <v>40</v>
      </c>
      <c r="K69" s="2">
        <v>40</v>
      </c>
      <c r="L69" s="2">
        <v>40</v>
      </c>
      <c r="M69" s="2">
        <v>40</v>
      </c>
      <c r="N69" s="2">
        <v>40</v>
      </c>
      <c r="O69" s="2">
        <v>40</v>
      </c>
      <c r="P69" s="9"/>
      <c r="Q69" s="2">
        <f>SUM(OSRRefD21_8_2x)+IFERROR(SUM(OSRRefE21_8_2x),0)</f>
        <v>440</v>
      </c>
    </row>
    <row r="70" spans="1:17" s="34" customFormat="1" collapsed="1" x14ac:dyDescent="0.3">
      <c r="A70" s="35"/>
      <c r="B70" s="14" t="str">
        <f>CONCATENATE("     ","Subscriptions &amp; Dues                              ")</f>
        <v xml:space="preserve">     Subscriptions &amp; Dues                              </v>
      </c>
      <c r="C70" s="14"/>
      <c r="D70" s="1">
        <f>SUM(OSRRefD21_9x_0)</f>
        <v>68.319999999999993</v>
      </c>
      <c r="E70" s="1">
        <f>SUM(OSRRefE21_9x_0)</f>
        <v>300</v>
      </c>
      <c r="F70" s="1">
        <f>SUM(OSRRefE21_9x_1)</f>
        <v>300</v>
      </c>
      <c r="G70" s="1">
        <f>SUM(OSRRefE21_9x_2)</f>
        <v>300</v>
      </c>
      <c r="H70" s="1">
        <f>SUM(OSRRefE21_9x_3)</f>
        <v>300</v>
      </c>
      <c r="I70" s="1">
        <f>SUM(OSRRefE21_9x_4)</f>
        <v>300</v>
      </c>
      <c r="J70" s="1">
        <f>SUM(OSRRefE21_9x_5)</f>
        <v>2200</v>
      </c>
      <c r="K70" s="1">
        <f>SUM(OSRRefE21_9x_6)</f>
        <v>300</v>
      </c>
      <c r="L70" s="1">
        <f>SUM(OSRRefE21_9x_7)</f>
        <v>300</v>
      </c>
      <c r="M70" s="1">
        <f>SUM(OSRRefE21_9x_8)</f>
        <v>300</v>
      </c>
      <c r="N70" s="1">
        <f>SUM(OSRRefE21_9x_9)</f>
        <v>300</v>
      </c>
      <c r="O70" s="1">
        <f>SUM(OSRRefE21_9x_10)</f>
        <v>300</v>
      </c>
      <c r="Q70" s="2">
        <f>SUM(OSRRefD20_9x)+IFERROR(SUM(OSRRefE20_9x),0)</f>
        <v>5268.32</v>
      </c>
    </row>
    <row r="71" spans="1:17" s="34" customFormat="1" hidden="1" outlineLevel="1" x14ac:dyDescent="0.3">
      <c r="A71" s="35"/>
      <c r="B71" s="10" t="str">
        <f>CONCATENATE("          ","6258", " - ","MEMBERSHIP DUES")</f>
        <v xml:space="preserve">          6258 - MEMBERSHIP DUES</v>
      </c>
      <c r="C71" s="14"/>
      <c r="D71" s="2">
        <v>68.319999999999993</v>
      </c>
      <c r="E71" s="2">
        <v>300</v>
      </c>
      <c r="F71" s="2">
        <v>300</v>
      </c>
      <c r="G71" s="2">
        <v>300</v>
      </c>
      <c r="H71" s="2">
        <v>300</v>
      </c>
      <c r="I71" s="2">
        <v>300</v>
      </c>
      <c r="J71" s="2">
        <v>300</v>
      </c>
      <c r="K71" s="2">
        <v>300</v>
      </c>
      <c r="L71" s="2">
        <v>300</v>
      </c>
      <c r="M71" s="2">
        <v>300</v>
      </c>
      <c r="N71" s="2">
        <v>300</v>
      </c>
      <c r="O71" s="2">
        <v>300</v>
      </c>
      <c r="P71" s="9"/>
      <c r="Q71" s="2">
        <f>SUM(OSRRefD21_9_0x)+IFERROR(SUM(OSRRefE21_9_0x),0)</f>
        <v>3368.32</v>
      </c>
    </row>
    <row r="72" spans="1:17" s="34" customFormat="1" hidden="1" outlineLevel="1" x14ac:dyDescent="0.3">
      <c r="A72" s="35"/>
      <c r="B72" s="10" t="str">
        <f>CONCATENATE("          ","6275", " - ","SUBSCRIPTIONS")</f>
        <v xml:space="preserve">          6275 - SUBSCRIPTIONS</v>
      </c>
      <c r="C72" s="14"/>
      <c r="D72" s="2"/>
      <c r="E72" s="2"/>
      <c r="F72" s="2"/>
      <c r="G72" s="2"/>
      <c r="H72" s="2"/>
      <c r="I72" s="2"/>
      <c r="J72" s="2">
        <v>1900</v>
      </c>
      <c r="K72" s="2"/>
      <c r="L72" s="2"/>
      <c r="M72" s="2"/>
      <c r="N72" s="2"/>
      <c r="O72" s="2"/>
      <c r="P72" s="9"/>
      <c r="Q72" s="2">
        <f>SUM(OSRRefD21_9_1x)+IFERROR(SUM(OSRRefE21_9_1x),0)</f>
        <v>1900</v>
      </c>
    </row>
    <row r="73" spans="1:17" s="34" customFormat="1" collapsed="1" x14ac:dyDescent="0.3">
      <c r="A73" s="35"/>
      <c r="B73" s="14" t="str">
        <f>CONCATENATE("     ","Supplies                                          ")</f>
        <v xml:space="preserve">     Supplies                                          </v>
      </c>
      <c r="C73" s="14"/>
      <c r="D73" s="1">
        <f>SUM(OSRRefD21_10x_0)</f>
        <v>115.74</v>
      </c>
      <c r="E73" s="1">
        <f>SUM(OSRRefE21_10x_0)</f>
        <v>1000</v>
      </c>
      <c r="F73" s="1">
        <f>SUM(OSRRefE21_10x_1)</f>
        <v>700</v>
      </c>
      <c r="G73" s="1">
        <f>SUM(OSRRefE21_10x_2)</f>
        <v>600</v>
      </c>
      <c r="H73" s="1">
        <f>SUM(OSRRefE21_10x_3)</f>
        <v>700</v>
      </c>
      <c r="I73" s="1">
        <f>SUM(OSRRefE21_10x_4)</f>
        <v>1100</v>
      </c>
      <c r="J73" s="1">
        <f>SUM(OSRRefE21_10x_5)</f>
        <v>800</v>
      </c>
      <c r="K73" s="1">
        <f>SUM(OSRRefE21_10x_6)</f>
        <v>1700</v>
      </c>
      <c r="L73" s="1">
        <f>SUM(OSRRefE21_10x_7)</f>
        <v>700</v>
      </c>
      <c r="M73" s="1">
        <f>SUM(OSRRefE21_10x_8)</f>
        <v>700</v>
      </c>
      <c r="N73" s="1">
        <f>SUM(OSRRefE21_10x_9)</f>
        <v>700</v>
      </c>
      <c r="O73" s="1">
        <f>SUM(OSRRefE21_10x_10)</f>
        <v>600</v>
      </c>
      <c r="Q73" s="2">
        <f>SUM(OSRRefD20_10x)+IFERROR(SUM(OSRRefE20_10x),0)</f>
        <v>9415.74</v>
      </c>
    </row>
    <row r="74" spans="1:17" s="34" customFormat="1" hidden="1" outlineLevel="1" x14ac:dyDescent="0.3">
      <c r="A74" s="35"/>
      <c r="B74" s="10" t="str">
        <f>CONCATENATE("          ","6241", " - ","OFFICE EXPENSE")</f>
        <v xml:space="preserve">          6241 - OFFICE EXPENSE</v>
      </c>
      <c r="C74" s="14"/>
      <c r="D74" s="2">
        <v>115.74</v>
      </c>
      <c r="E74" s="2">
        <v>600</v>
      </c>
      <c r="F74" s="2">
        <v>300</v>
      </c>
      <c r="G74" s="2">
        <v>300</v>
      </c>
      <c r="H74" s="2">
        <v>300</v>
      </c>
      <c r="I74" s="2">
        <v>800</v>
      </c>
      <c r="J74" s="2">
        <v>500</v>
      </c>
      <c r="K74" s="2">
        <v>500</v>
      </c>
      <c r="L74" s="2">
        <v>300</v>
      </c>
      <c r="M74" s="2">
        <v>300</v>
      </c>
      <c r="N74" s="2">
        <v>300</v>
      </c>
      <c r="O74" s="2">
        <v>200</v>
      </c>
      <c r="P74" s="9"/>
      <c r="Q74" s="2">
        <f>SUM(OSRRefD21_10_0x)+IFERROR(SUM(OSRRefE21_10_0x),0)</f>
        <v>4515.74</v>
      </c>
    </row>
    <row r="75" spans="1:17" s="34" customFormat="1" hidden="1" outlineLevel="1" x14ac:dyDescent="0.3">
      <c r="A75" s="35"/>
      <c r="B75" s="10" t="str">
        <f>CONCATENATE("          ","6247", " - ","STORE SUPPLIES")</f>
        <v xml:space="preserve">          6247 - STORE SUPPLIES</v>
      </c>
      <c r="C75" s="14"/>
      <c r="D75" s="2"/>
      <c r="E75" s="2">
        <v>400</v>
      </c>
      <c r="F75" s="2">
        <v>400</v>
      </c>
      <c r="G75" s="2">
        <v>300</v>
      </c>
      <c r="H75" s="2">
        <v>400</v>
      </c>
      <c r="I75" s="2">
        <v>300</v>
      </c>
      <c r="J75" s="2">
        <v>300</v>
      </c>
      <c r="K75" s="2">
        <v>1200</v>
      </c>
      <c r="L75" s="2">
        <v>400</v>
      </c>
      <c r="M75" s="2">
        <v>400</v>
      </c>
      <c r="N75" s="2">
        <v>400</v>
      </c>
      <c r="O75" s="2">
        <v>400</v>
      </c>
      <c r="P75" s="9"/>
      <c r="Q75" s="2">
        <f>SUM(OSRRefD21_10_1x)+IFERROR(SUM(OSRRefE21_10_1x),0)</f>
        <v>4900</v>
      </c>
    </row>
    <row r="76" spans="1:17" s="34" customFormat="1" collapsed="1" x14ac:dyDescent="0.3">
      <c r="A76" s="35"/>
      <c r="B76" s="14" t="str">
        <f>CONCATENATE("     ","Telephone/Data Lines                              ")</f>
        <v xml:space="preserve">     Telephone/Data Lines                              </v>
      </c>
      <c r="C76" s="14"/>
      <c r="D76" s="1">
        <f>SUM(OSRRefD21_11x_0)</f>
        <v>607.4</v>
      </c>
      <c r="E76" s="1">
        <f>SUM(OSRRefE21_11x_0)</f>
        <v>600</v>
      </c>
      <c r="F76" s="1">
        <f>SUM(OSRRefE21_11x_1)</f>
        <v>450</v>
      </c>
      <c r="G76" s="1">
        <f>SUM(OSRRefE21_11x_2)</f>
        <v>350</v>
      </c>
      <c r="H76" s="1">
        <f>SUM(OSRRefE21_11x_3)</f>
        <v>350</v>
      </c>
      <c r="I76" s="1">
        <f>SUM(OSRRefE21_11x_4)</f>
        <v>500</v>
      </c>
      <c r="J76" s="1">
        <f>SUM(OSRRefE21_11x_5)</f>
        <v>450</v>
      </c>
      <c r="K76" s="1">
        <f>SUM(OSRRefE21_11x_6)</f>
        <v>350</v>
      </c>
      <c r="L76" s="1">
        <f>SUM(OSRRefE21_11x_7)</f>
        <v>350</v>
      </c>
      <c r="M76" s="1">
        <f>SUM(OSRRefE21_11x_8)</f>
        <v>350</v>
      </c>
      <c r="N76" s="1">
        <f>SUM(OSRRefE21_11x_9)</f>
        <v>350</v>
      </c>
      <c r="O76" s="1">
        <f>SUM(OSRRefE21_11x_10)</f>
        <v>350</v>
      </c>
      <c r="Q76" s="2">
        <f>SUM(OSRRefD20_11x)+IFERROR(SUM(OSRRefE20_11x),0)</f>
        <v>5057.3999999999996</v>
      </c>
    </row>
    <row r="77" spans="1:17" s="34" customFormat="1" hidden="1" outlineLevel="1" x14ac:dyDescent="0.3">
      <c r="A77" s="35"/>
      <c r="B77" s="10" t="str">
        <f>CONCATENATE("          ","6303", " - ","DATA PHONE LINES")</f>
        <v xml:space="preserve">          6303 - DATA PHONE LINES</v>
      </c>
      <c r="C77" s="14"/>
      <c r="D77" s="2">
        <v>295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9"/>
      <c r="Q77" s="2">
        <f>SUM(OSRRefD21_11_0x)+IFERROR(SUM(OSRRefE21_11_0x),0)</f>
        <v>295</v>
      </c>
    </row>
    <row r="78" spans="1:17" s="34" customFormat="1" hidden="1" outlineLevel="1" x14ac:dyDescent="0.3">
      <c r="A78" s="35"/>
      <c r="B78" s="10" t="str">
        <f>CONCATENATE("          ","6309", " - ","TELEPHONE")</f>
        <v xml:space="preserve">          6309 - TELEPHONE</v>
      </c>
      <c r="C78" s="14"/>
      <c r="D78" s="2">
        <v>312.39999999999998</v>
      </c>
      <c r="E78" s="2">
        <v>600</v>
      </c>
      <c r="F78" s="2">
        <v>450</v>
      </c>
      <c r="G78" s="2">
        <v>350</v>
      </c>
      <c r="H78" s="2">
        <v>350</v>
      </c>
      <c r="I78" s="2">
        <v>500</v>
      </c>
      <c r="J78" s="2">
        <v>450</v>
      </c>
      <c r="K78" s="2">
        <v>350</v>
      </c>
      <c r="L78" s="2">
        <v>350</v>
      </c>
      <c r="M78" s="2">
        <v>350</v>
      </c>
      <c r="N78" s="2">
        <v>350</v>
      </c>
      <c r="O78" s="2">
        <v>350</v>
      </c>
      <c r="P78" s="9"/>
      <c r="Q78" s="2">
        <f>SUM(OSRRefD21_11_1x)+IFERROR(SUM(OSRRefE21_11_1x),0)</f>
        <v>4762.3999999999996</v>
      </c>
    </row>
    <row r="79" spans="1:17" s="34" customFormat="1" collapsed="1" x14ac:dyDescent="0.3">
      <c r="A79" s="35"/>
      <c r="B79" s="14" t="str">
        <f>CONCATENATE("     ","Training                                          ")</f>
        <v xml:space="preserve">     Training                                          </v>
      </c>
      <c r="C79" s="14"/>
      <c r="D79" s="1">
        <f>SUM(OSRRefD21_12x_0)</f>
        <v>0</v>
      </c>
      <c r="E79" s="1">
        <f>SUM(OSRRefE21_12x_0)</f>
        <v>0</v>
      </c>
      <c r="F79" s="1">
        <f>SUM(OSRRefE21_12x_1)</f>
        <v>0</v>
      </c>
      <c r="G79" s="1">
        <f>SUM(OSRRefE21_12x_2)</f>
        <v>0</v>
      </c>
      <c r="H79" s="1">
        <f>SUM(OSRRefE21_12x_3)</f>
        <v>0</v>
      </c>
      <c r="I79" s="1">
        <f>SUM(OSRRefE21_12x_4)</f>
        <v>0</v>
      </c>
      <c r="J79" s="1">
        <f>SUM(OSRRefE21_12x_5)</f>
        <v>0</v>
      </c>
      <c r="K79" s="1">
        <f>SUM(OSRRefE21_12x_6)</f>
        <v>0</v>
      </c>
      <c r="L79" s="1">
        <f>SUM(OSRRefE21_12x_7)</f>
        <v>0</v>
      </c>
      <c r="M79" s="1">
        <f>SUM(OSRRefE21_12x_8)</f>
        <v>0</v>
      </c>
      <c r="N79" s="1">
        <f>SUM(OSRRefE21_12x_9)</f>
        <v>0</v>
      </c>
      <c r="O79" s="1">
        <f>SUM(OSRRefE21_12x_10)</f>
        <v>0</v>
      </c>
      <c r="Q79" s="2">
        <f>SUM(OSRRefD20_12x)+IFERROR(SUM(OSRRefE20_12x),0)</f>
        <v>0</v>
      </c>
    </row>
    <row r="80" spans="1:17" s="34" customFormat="1" hidden="1" outlineLevel="1" x14ac:dyDescent="0.3">
      <c r="A80" s="35"/>
      <c r="B80" s="10" t="str">
        <f>CONCATENATE("          ","6376", " - ","TRAINING")</f>
        <v xml:space="preserve">          6376 - TRAINING</v>
      </c>
      <c r="C80" s="14"/>
      <c r="D80" s="2"/>
      <c r="E80" s="2"/>
      <c r="F80" s="2"/>
      <c r="G80" s="2"/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/>
      <c r="P80" s="9"/>
      <c r="Q80" s="2">
        <f>SUM(OSRRefD21_12_0x)+IFERROR(SUM(OSRRefE21_12_0x),0)</f>
        <v>0</v>
      </c>
    </row>
    <row r="81" spans="1:17" s="28" customFormat="1" x14ac:dyDescent="0.3">
      <c r="A81" s="21"/>
      <c r="B81" s="21"/>
      <c r="C81" s="2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1"/>
    </row>
    <row r="82" spans="1:17" s="9" customFormat="1" x14ac:dyDescent="0.3">
      <c r="A82" s="22"/>
      <c r="B82" s="16" t="s">
        <v>293</v>
      </c>
      <c r="C82" s="23"/>
      <c r="D82" s="3">
        <f>--631.94</f>
        <v>631.94000000000005</v>
      </c>
      <c r="E82" s="3">
        <v>2184</v>
      </c>
      <c r="F82" s="3">
        <v>173146.5</v>
      </c>
      <c r="G82" s="3">
        <v>303</v>
      </c>
      <c r="H82" s="3">
        <v>295</v>
      </c>
      <c r="I82" s="3">
        <v>6182</v>
      </c>
      <c r="J82" s="3">
        <v>8853.33</v>
      </c>
      <c r="K82" s="3">
        <v>166302.39999999999</v>
      </c>
      <c r="L82" s="3">
        <v>459</v>
      </c>
      <c r="M82" s="3">
        <v>215</v>
      </c>
      <c r="N82" s="3">
        <v>6454</v>
      </c>
      <c r="O82" s="3">
        <v>8042</v>
      </c>
      <c r="Q82" s="2">
        <f>SUM(OSRRefD23_0x)+IFERROR(SUM(OSRRefE23_0x),0)</f>
        <v>373068.17</v>
      </c>
    </row>
    <row r="83" spans="1:17" x14ac:dyDescent="0.3">
      <c r="A83" s="5"/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</row>
    <row r="84" spans="1:17" s="15" customFormat="1" x14ac:dyDescent="0.3">
      <c r="A84" s="6"/>
      <c r="B84" s="17" t="s">
        <v>276</v>
      </c>
      <c r="C84" s="17"/>
      <c r="D84" s="8">
        <f t="shared" ref="D84:O84" si="2">IFERROR(+D28-D31+D82, 0)</f>
        <v>-34998.920000000035</v>
      </c>
      <c r="E84" s="8">
        <f t="shared" si="2"/>
        <v>324349.53746101027</v>
      </c>
      <c r="F84" s="8">
        <f t="shared" si="2"/>
        <v>225898.87326101027</v>
      </c>
      <c r="G84" s="8">
        <f t="shared" si="2"/>
        <v>-44535.137548737199</v>
      </c>
      <c r="H84" s="8">
        <f t="shared" si="2"/>
        <v>-43768.564838989718</v>
      </c>
      <c r="I84" s="8">
        <f t="shared" si="2"/>
        <v>-29428.292318989712</v>
      </c>
      <c r="J84" s="8">
        <f t="shared" si="2"/>
        <v>219400.85508376278</v>
      </c>
      <c r="K84" s="8">
        <f t="shared" si="2"/>
        <v>157122.30461101027</v>
      </c>
      <c r="L84" s="8">
        <f t="shared" si="2"/>
        <v>-40264.229754989719</v>
      </c>
      <c r="M84" s="8">
        <f t="shared" si="2"/>
        <v>-49224.975590737195</v>
      </c>
      <c r="N84" s="8">
        <f t="shared" si="2"/>
        <v>-25077.145897489718</v>
      </c>
      <c r="O84" s="8">
        <f t="shared" si="2"/>
        <v>-43131.963591039719</v>
      </c>
      <c r="Q84" s="8">
        <f>IFERROR(+Q28-Q31+Q82, 0)</f>
        <v>616342.34087582002</v>
      </c>
    </row>
    <row r="85" spans="1:17" s="6" customFormat="1" x14ac:dyDescent="0.3">
      <c r="B85" s="16"/>
      <c r="C85" s="16"/>
      <c r="D85" s="4">
        <f t="shared" ref="D85:O85" si="3">IFERROR(D84/D10, 0)</f>
        <v>-0.62273885440983945</v>
      </c>
      <c r="E85" s="4">
        <f t="shared" si="3"/>
        <v>0.2325529724384795</v>
      </c>
      <c r="F85" s="4">
        <f t="shared" si="3"/>
        <v>0.60271362091821645</v>
      </c>
      <c r="G85" s="4">
        <f t="shared" si="3"/>
        <v>-1.4169626964281641</v>
      </c>
      <c r="H85" s="4">
        <f t="shared" si="3"/>
        <v>-4.295246794797813</v>
      </c>
      <c r="I85" s="4">
        <f t="shared" si="3"/>
        <v>-0.50683382393244769</v>
      </c>
      <c r="J85" s="4">
        <f t="shared" si="3"/>
        <v>0.2092994363854899</v>
      </c>
      <c r="K85" s="4">
        <f t="shared" si="3"/>
        <v>1.1522609607730292</v>
      </c>
      <c r="L85" s="4">
        <f t="shared" si="3"/>
        <v>-2.3469474093605571</v>
      </c>
      <c r="M85" s="4">
        <f t="shared" si="3"/>
        <v>-2.7880026954427501</v>
      </c>
      <c r="N85" s="4">
        <f t="shared" si="3"/>
        <v>-0.5100401874730961</v>
      </c>
      <c r="O85" s="4">
        <f t="shared" si="3"/>
        <v>-1.6593684296171938</v>
      </c>
      <c r="P85" s="18"/>
      <c r="Q85" s="4">
        <f>IFERROR(Q84/Q10, 0)</f>
        <v>0.19140967809787693</v>
      </c>
    </row>
    <row r="86" spans="1:17" x14ac:dyDescent="0.3">
      <c r="A86" s="5"/>
      <c r="B86" s="6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</row>
    <row r="87" spans="1:17" s="15" customFormat="1" x14ac:dyDescent="0.3">
      <c r="A87" s="25"/>
      <c r="B87" s="6" t="s">
        <v>125</v>
      </c>
      <c r="C87" s="6"/>
      <c r="D87" s="3">
        <v>25964.91</v>
      </c>
      <c r="E87" s="3">
        <v>138357</v>
      </c>
      <c r="F87" s="3">
        <v>35700</v>
      </c>
      <c r="G87" s="3">
        <v>15407</v>
      </c>
      <c r="H87" s="3">
        <v>20038</v>
      </c>
      <c r="I87" s="3">
        <v>15911</v>
      </c>
      <c r="J87" s="3">
        <v>123242</v>
      </c>
      <c r="K87" s="3">
        <v>7557</v>
      </c>
      <c r="L87" s="3">
        <v>632</v>
      </c>
      <c r="M87" s="3">
        <v>6046</v>
      </c>
      <c r="N87" s="3">
        <v>9090</v>
      </c>
      <c r="O87" s="3">
        <v>-30968</v>
      </c>
      <c r="Q87" s="2">
        <f>SUM(OSRRefD28_0x)+IFERROR(SUM(OSRRefE28_0x),0)</f>
        <v>366976.91</v>
      </c>
    </row>
    <row r="88" spans="1:17" x14ac:dyDescent="0.3">
      <c r="A88" s="5"/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</row>
    <row r="89" spans="1:17" s="15" customFormat="1" ht="15" thickBot="1" x14ac:dyDescent="0.35">
      <c r="A89" s="6"/>
      <c r="B89" s="17" t="s">
        <v>124</v>
      </c>
      <c r="C89" s="17"/>
      <c r="D89" s="7">
        <f t="shared" ref="D89:O89" si="4">IFERROR(+D84-D87, 0)</f>
        <v>-60963.830000000031</v>
      </c>
      <c r="E89" s="7">
        <f t="shared" si="4"/>
        <v>185992.53746101027</v>
      </c>
      <c r="F89" s="7">
        <f t="shared" si="4"/>
        <v>190198.87326101027</v>
      </c>
      <c r="G89" s="7">
        <f t="shared" si="4"/>
        <v>-59942.137548737199</v>
      </c>
      <c r="H89" s="7">
        <f t="shared" si="4"/>
        <v>-63806.564838989718</v>
      </c>
      <c r="I89" s="7">
        <f t="shared" si="4"/>
        <v>-45339.292318989712</v>
      </c>
      <c r="J89" s="7">
        <f t="shared" si="4"/>
        <v>96158.855083762784</v>
      </c>
      <c r="K89" s="7">
        <f t="shared" si="4"/>
        <v>149565.30461101027</v>
      </c>
      <c r="L89" s="7">
        <f t="shared" si="4"/>
        <v>-40896.229754989719</v>
      </c>
      <c r="M89" s="7">
        <f t="shared" si="4"/>
        <v>-55270.975590737195</v>
      </c>
      <c r="N89" s="7">
        <f t="shared" si="4"/>
        <v>-34167.145897489718</v>
      </c>
      <c r="O89" s="7">
        <f t="shared" si="4"/>
        <v>-12163.963591039719</v>
      </c>
      <c r="Q89" s="7">
        <f>IFERROR(+Q84-Q87, 0)</f>
        <v>249365.43087582005</v>
      </c>
    </row>
    <row r="90" spans="1:17" ht="15" thickTop="1" x14ac:dyDescent="0.3">
      <c r="A90" s="5"/>
      <c r="B90" s="5"/>
      <c r="C90" s="5"/>
      <c r="D90" s="4">
        <f t="shared" ref="D90:O90" si="5">IFERROR(D89/D10, 0)</f>
        <v>-1.0847347762341291</v>
      </c>
      <c r="E90" s="4">
        <f t="shared" si="5"/>
        <v>0.13335341180541255</v>
      </c>
      <c r="F90" s="4">
        <f t="shared" si="5"/>
        <v>0.50746358289824323</v>
      </c>
      <c r="G90" s="4">
        <f t="shared" si="5"/>
        <v>-1.9071631418624626</v>
      </c>
      <c r="H90" s="4">
        <f t="shared" si="5"/>
        <v>-6.2616844788017385</v>
      </c>
      <c r="I90" s="4">
        <f t="shared" si="5"/>
        <v>-0.78086375693625398</v>
      </c>
      <c r="J90" s="4">
        <f t="shared" si="5"/>
        <v>9.1731612280279651E-2</v>
      </c>
      <c r="K90" s="4">
        <f t="shared" si="5"/>
        <v>1.0968414829202866</v>
      </c>
      <c r="L90" s="4">
        <f t="shared" si="5"/>
        <v>-2.3837858332355863</v>
      </c>
      <c r="M90" s="4">
        <f t="shared" si="5"/>
        <v>-3.1304358626380377</v>
      </c>
      <c r="N90" s="4">
        <f t="shared" si="5"/>
        <v>-0.69492028998087574</v>
      </c>
      <c r="O90" s="4">
        <f t="shared" si="5"/>
        <v>-0.46797074562534985</v>
      </c>
      <c r="P90" s="18"/>
      <c r="Q90" s="4">
        <f>IFERROR(Q89/Q10, 0)</f>
        <v>7.7442281159612686E-2</v>
      </c>
    </row>
    <row r="91" spans="1:17" x14ac:dyDescent="0.3">
      <c r="A91" s="5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x14ac:dyDescent="0.3">
      <c r="A92" s="5"/>
      <c r="B92" s="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</row>
    <row r="93" spans="1:17" s="15" customFormat="1" ht="15" thickBot="1" x14ac:dyDescent="0.35">
      <c r="A93" s="6"/>
      <c r="B93" s="17" t="s">
        <v>294</v>
      </c>
      <c r="C93" s="17"/>
      <c r="D93" s="7">
        <f t="shared" ref="D93:O93" si="6">IFERROR(SUM(D89:D92), 0)</f>
        <v>-60964.914734776263</v>
      </c>
      <c r="E93" s="7">
        <f t="shared" si="6"/>
        <v>185992.67081442208</v>
      </c>
      <c r="F93" s="7">
        <f t="shared" si="6"/>
        <v>190199.38072459318</v>
      </c>
      <c r="G93" s="7">
        <f t="shared" si="6"/>
        <v>-59944.044711879062</v>
      </c>
      <c r="H93" s="7">
        <f t="shared" si="6"/>
        <v>-63812.826523468517</v>
      </c>
      <c r="I93" s="7">
        <f t="shared" si="6"/>
        <v>-45340.073182746652</v>
      </c>
      <c r="J93" s="7">
        <f t="shared" si="6"/>
        <v>96158.946815375064</v>
      </c>
      <c r="K93" s="7">
        <f t="shared" si="6"/>
        <v>149566.40145249318</v>
      </c>
      <c r="L93" s="7">
        <f t="shared" si="6"/>
        <v>-40898.613540822953</v>
      </c>
      <c r="M93" s="7">
        <f t="shared" si="6"/>
        <v>-55274.106026599831</v>
      </c>
      <c r="N93" s="7">
        <f t="shared" si="6"/>
        <v>-34167.840817779695</v>
      </c>
      <c r="O93" s="7">
        <f t="shared" si="6"/>
        <v>-12164.431561785344</v>
      </c>
      <c r="Q93" s="7">
        <f>IFERROR(SUM(Q89:Q92), 0)</f>
        <v>249365.5083181012</v>
      </c>
    </row>
    <row r="94" spans="1:17" ht="15" thickTop="1" x14ac:dyDescent="0.3">
      <c r="A94" s="5"/>
      <c r="C94" s="5"/>
      <c r="D94" s="4">
        <f t="shared" ref="D94:O94" si="7">IFERROR(D93/D10, 0)</f>
        <v>-1.0847540770151787</v>
      </c>
      <c r="E94" s="4">
        <f t="shared" si="7"/>
        <v>0.13335350741748755</v>
      </c>
      <c r="F94" s="4">
        <f t="shared" si="7"/>
        <v>0.50746493684573812</v>
      </c>
      <c r="G94" s="4">
        <f t="shared" si="7"/>
        <v>-1.9072238215678989</v>
      </c>
      <c r="H94" s="4">
        <f t="shared" si="7"/>
        <v>-6.2622989718811102</v>
      </c>
      <c r="I94" s="4">
        <f t="shared" si="7"/>
        <v>-0.78087720549655804</v>
      </c>
      <c r="J94" s="4">
        <f t="shared" si="7"/>
        <v>9.1731699788483487E-2</v>
      </c>
      <c r="K94" s="4">
        <f t="shared" si="7"/>
        <v>1.0968495266389937</v>
      </c>
      <c r="L94" s="4">
        <f t="shared" si="7"/>
        <v>-2.383924780882662</v>
      </c>
      <c r="M94" s="4">
        <f t="shared" si="7"/>
        <v>-3.1306131641708106</v>
      </c>
      <c r="N94" s="4">
        <f t="shared" si="7"/>
        <v>-0.6949344238570524</v>
      </c>
      <c r="O94" s="4">
        <f t="shared" si="7"/>
        <v>-0.46798874934733753</v>
      </c>
      <c r="P94" s="18"/>
      <c r="Q94" s="4">
        <f>IFERROR(Q93/Q10, 0)</f>
        <v>7.7442305209886569E-2</v>
      </c>
    </row>
    <row r="95" spans="1:17" x14ac:dyDescent="0.3">
      <c r="A95" s="5"/>
      <c r="B95" s="30">
        <v>44462.678423958336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</row>
    <row r="96" spans="1:17" x14ac:dyDescent="0.3">
      <c r="A96" s="5"/>
      <c r="B96" s="31" t="s">
        <v>54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  <row r="97" spans="1:17" x14ac:dyDescent="0.3">
      <c r="A97" s="5"/>
      <c r="B97" s="2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  <row r="98" spans="1:17" x14ac:dyDescent="0.3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92D050"/>
    <outlinePr summaryBelow="0" summaryRight="0"/>
    <pageSetUpPr fitToPage="1"/>
  </sheetPr>
  <dimension ref="A2:R3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","324", " - ", "Textbook Rental")</f>
        <v>Department 324 - Textbook Rental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5913.22</v>
      </c>
      <c r="E10" s="3">
        <f>SUM(OSRRefE11x_0)</f>
        <v>803071</v>
      </c>
      <c r="F10" s="3">
        <f>SUM(OSRRefE11x_1)</f>
        <v>94301</v>
      </c>
      <c r="G10" s="3">
        <f>SUM(OSRRefE11x_2)</f>
        <v>4499</v>
      </c>
      <c r="H10" s="3">
        <f>SUM(OSRRefE11x_3)</f>
        <v>4054</v>
      </c>
      <c r="I10" s="3">
        <f>SUM(OSRRefE11x_4)</f>
        <v>7944</v>
      </c>
      <c r="J10" s="3">
        <f>SUM(OSRRefE11x_5)</f>
        <v>541997</v>
      </c>
      <c r="K10" s="3">
        <f>SUM(OSRRefE11x_6)</f>
        <v>60222</v>
      </c>
      <c r="L10" s="3">
        <f>SUM(OSRRefE11x_7)</f>
        <v>2071</v>
      </c>
      <c r="M10" s="3">
        <f>SUM(OSRRefE11x_8)</f>
        <v>1208</v>
      </c>
      <c r="N10" s="3">
        <f>SUM(OSRRefE11x_9)</f>
        <v>6600</v>
      </c>
      <c r="O10" s="3">
        <f>SUM(OSRRefE11x_10)</f>
        <v>-3801</v>
      </c>
      <c r="P10" s="24"/>
      <c r="Q10" s="3">
        <f>SUM(OSRRefG11x)</f>
        <v>1528079.22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--3909.05</f>
        <v>3909.05</v>
      </c>
      <c r="E11" s="2">
        <v>803071</v>
      </c>
      <c r="F11" s="2">
        <v>94301</v>
      </c>
      <c r="G11" s="2">
        <v>4499</v>
      </c>
      <c r="H11" s="2">
        <v>4054</v>
      </c>
      <c r="I11" s="2">
        <v>7944</v>
      </c>
      <c r="J11" s="2">
        <v>541997</v>
      </c>
      <c r="K11" s="2">
        <v>60222</v>
      </c>
      <c r="L11" s="2">
        <v>2071</v>
      </c>
      <c r="M11" s="2">
        <v>1208</v>
      </c>
      <c r="N11" s="2">
        <v>6600</v>
      </c>
      <c r="O11" s="2">
        <v>-3801</v>
      </c>
      <c r="Q11" s="2">
        <f>SUM(OSRRefD11_0x)+IFERROR(SUM(OSRRefE11_0x),0)</f>
        <v>1526075.05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--2004.17</f>
        <v>2004.17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2004.17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2010.03</v>
      </c>
      <c r="E14" s="3">
        <f>SUM(OSRRefE14x_0)</f>
        <v>582227</v>
      </c>
      <c r="F14" s="3">
        <f>SUM(OSRRefE14x_1)</f>
        <v>68368</v>
      </c>
      <c r="G14" s="3">
        <f>SUM(OSRRefE14x_2)</f>
        <v>3262</v>
      </c>
      <c r="H14" s="3">
        <f>SUM(OSRRefE14x_3)</f>
        <v>2939</v>
      </c>
      <c r="I14" s="3">
        <f>SUM(OSRRefE14x_4)</f>
        <v>5759</v>
      </c>
      <c r="J14" s="3">
        <f>SUM(OSRRefE14x_5)</f>
        <v>392948</v>
      </c>
      <c r="K14" s="3">
        <f>SUM(OSRRefE14x_6)</f>
        <v>43661</v>
      </c>
      <c r="L14" s="3">
        <f>SUM(OSRRefE14x_7)</f>
        <v>1501</v>
      </c>
      <c r="M14" s="3">
        <f>SUM(OSRRefE14x_8)</f>
        <v>876</v>
      </c>
      <c r="N14" s="3">
        <f>SUM(OSRRefE14x_9)</f>
        <v>4785</v>
      </c>
      <c r="O14" s="3">
        <f>SUM(OSRRefE14x_10)</f>
        <v>-2756</v>
      </c>
      <c r="Q14" s="3">
        <f>SUM(OSRRefG14x)</f>
        <v>1105580.03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>
        <v>2010.03</v>
      </c>
      <c r="E15" s="2">
        <v>582227</v>
      </c>
      <c r="F15" s="2">
        <v>68368</v>
      </c>
      <c r="G15" s="2">
        <v>3262</v>
      </c>
      <c r="H15" s="2">
        <v>2939</v>
      </c>
      <c r="I15" s="2">
        <v>5759</v>
      </c>
      <c r="J15" s="2">
        <v>392948</v>
      </c>
      <c r="K15" s="2">
        <v>43661</v>
      </c>
      <c r="L15" s="2">
        <v>1501</v>
      </c>
      <c r="M15" s="2">
        <v>876</v>
      </c>
      <c r="N15" s="2">
        <v>4785</v>
      </c>
      <c r="O15" s="2">
        <v>-2756</v>
      </c>
      <c r="Q15" s="2">
        <f>SUM(OSRRefD14_0x)+IFERROR(SUM(OSRRefE14_0x),0)</f>
        <v>1105580.03</v>
      </c>
    </row>
    <row r="16" spans="1:18" x14ac:dyDescent="0.3">
      <c r="A16" s="5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15" customFormat="1" x14ac:dyDescent="0.3">
      <c r="A17" s="6"/>
      <c r="B17" s="17" t="s">
        <v>105</v>
      </c>
      <c r="C17" s="17"/>
      <c r="D17" s="8">
        <f t="shared" ref="D17:O17" si="0">IFERROR(+D10-D14, 0)</f>
        <v>3903.1900000000005</v>
      </c>
      <c r="E17" s="8">
        <f t="shared" si="0"/>
        <v>220844</v>
      </c>
      <c r="F17" s="8">
        <f t="shared" si="0"/>
        <v>25933</v>
      </c>
      <c r="G17" s="8">
        <f t="shared" si="0"/>
        <v>1237</v>
      </c>
      <c r="H17" s="8">
        <f t="shared" si="0"/>
        <v>1115</v>
      </c>
      <c r="I17" s="8">
        <f t="shared" si="0"/>
        <v>2185</v>
      </c>
      <c r="J17" s="8">
        <f t="shared" si="0"/>
        <v>149049</v>
      </c>
      <c r="K17" s="8">
        <f t="shared" si="0"/>
        <v>16561</v>
      </c>
      <c r="L17" s="8">
        <f t="shared" si="0"/>
        <v>570</v>
      </c>
      <c r="M17" s="8">
        <f t="shared" si="0"/>
        <v>332</v>
      </c>
      <c r="N17" s="8">
        <f t="shared" si="0"/>
        <v>1815</v>
      </c>
      <c r="O17" s="8">
        <f t="shared" si="0"/>
        <v>-1045</v>
      </c>
      <c r="Q17" s="8">
        <f>IFERROR(+Q10-Q14, 0)</f>
        <v>422499.18999999994</v>
      </c>
    </row>
    <row r="18" spans="1:17" s="6" customFormat="1" x14ac:dyDescent="0.3">
      <c r="B18" s="16"/>
      <c r="C18" s="16"/>
      <c r="D18" s="4">
        <f t="shared" ref="D18:O18" si="1">IFERROR(D17/D10, 0)</f>
        <v>0.66007860353580627</v>
      </c>
      <c r="E18" s="4">
        <f t="shared" si="1"/>
        <v>0.27499934625954614</v>
      </c>
      <c r="F18" s="4">
        <f t="shared" si="1"/>
        <v>0.27500238597681892</v>
      </c>
      <c r="G18" s="4">
        <f t="shared" si="1"/>
        <v>0.27494998888641919</v>
      </c>
      <c r="H18" s="4">
        <f t="shared" si="1"/>
        <v>0.2750370004933399</v>
      </c>
      <c r="I18" s="4">
        <f t="shared" si="1"/>
        <v>0.27505035246727089</v>
      </c>
      <c r="J18" s="4">
        <f t="shared" si="1"/>
        <v>0.27499967711998408</v>
      </c>
      <c r="K18" s="4">
        <f t="shared" si="1"/>
        <v>0.2749991697386337</v>
      </c>
      <c r="L18" s="4">
        <f t="shared" si="1"/>
        <v>0.27522935779816515</v>
      </c>
      <c r="M18" s="4">
        <f t="shared" si="1"/>
        <v>0.27483443708609273</v>
      </c>
      <c r="N18" s="4">
        <f t="shared" si="1"/>
        <v>0.27500000000000002</v>
      </c>
      <c r="O18" s="4">
        <f t="shared" si="1"/>
        <v>0.27492765061825836</v>
      </c>
      <c r="P18" s="18"/>
      <c r="Q18" s="4">
        <f>IFERROR(Q17/Q10, 0)</f>
        <v>0.2764903707021158</v>
      </c>
    </row>
    <row r="19" spans="1:17" x14ac:dyDescent="0.3">
      <c r="A19" s="5"/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s="15" customFormat="1" x14ac:dyDescent="0.3">
      <c r="A20" s="6"/>
      <c r="B20" s="16" t="s">
        <v>255</v>
      </c>
      <c r="C20" s="6"/>
      <c r="D20" s="13">
        <f t="shared" ref="D20:O20" si="2">SUM(0)</f>
        <v>0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Q20" s="13">
        <f>SUM(0)</f>
        <v>0</v>
      </c>
    </row>
    <row r="21" spans="1:17" s="28" customFormat="1" x14ac:dyDescent="0.3">
      <c r="A21" s="21"/>
      <c r="B21" s="21"/>
      <c r="C21" s="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Q21" s="1"/>
    </row>
    <row r="22" spans="1:17" s="9" customFormat="1" x14ac:dyDescent="0.3">
      <c r="A22" s="22"/>
      <c r="B22" s="16" t="s">
        <v>293</v>
      </c>
      <c r="C22" s="23"/>
      <c r="D22" s="3">
        <f>0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2">
        <f>SUM(OSRRefD23_0x)+IFERROR(SUM(OSRRefE23_0x),0)</f>
        <v>0</v>
      </c>
    </row>
    <row r="23" spans="1:17" x14ac:dyDescent="0.3">
      <c r="A23" s="5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</row>
    <row r="24" spans="1:17" s="15" customFormat="1" x14ac:dyDescent="0.3">
      <c r="A24" s="6"/>
      <c r="B24" s="17" t="s">
        <v>276</v>
      </c>
      <c r="C24" s="17"/>
      <c r="D24" s="8">
        <f t="shared" ref="D24:O24" si="3">IFERROR(+D17-D20+D22, 0)</f>
        <v>3903.1900000000005</v>
      </c>
      <c r="E24" s="8">
        <f t="shared" si="3"/>
        <v>220844</v>
      </c>
      <c r="F24" s="8">
        <f t="shared" si="3"/>
        <v>25933</v>
      </c>
      <c r="G24" s="8">
        <f t="shared" si="3"/>
        <v>1237</v>
      </c>
      <c r="H24" s="8">
        <f t="shared" si="3"/>
        <v>1115</v>
      </c>
      <c r="I24" s="8">
        <f t="shared" si="3"/>
        <v>2185</v>
      </c>
      <c r="J24" s="8">
        <f t="shared" si="3"/>
        <v>149049</v>
      </c>
      <c r="K24" s="8">
        <f t="shared" si="3"/>
        <v>16561</v>
      </c>
      <c r="L24" s="8">
        <f t="shared" si="3"/>
        <v>570</v>
      </c>
      <c r="M24" s="8">
        <f t="shared" si="3"/>
        <v>332</v>
      </c>
      <c r="N24" s="8">
        <f t="shared" si="3"/>
        <v>1815</v>
      </c>
      <c r="O24" s="8">
        <f t="shared" si="3"/>
        <v>-1045</v>
      </c>
      <c r="Q24" s="8">
        <f>IFERROR(+Q17-Q20+Q22, 0)</f>
        <v>422499.18999999994</v>
      </c>
    </row>
    <row r="25" spans="1:17" s="6" customFormat="1" x14ac:dyDescent="0.3">
      <c r="B25" s="16"/>
      <c r="C25" s="16"/>
      <c r="D25" s="4">
        <f t="shared" ref="D25:O25" si="4">IFERROR(D24/D10, 0)</f>
        <v>0.66007860353580627</v>
      </c>
      <c r="E25" s="4">
        <f t="shared" si="4"/>
        <v>0.27499934625954614</v>
      </c>
      <c r="F25" s="4">
        <f t="shared" si="4"/>
        <v>0.27500238597681892</v>
      </c>
      <c r="G25" s="4">
        <f t="shared" si="4"/>
        <v>0.27494998888641919</v>
      </c>
      <c r="H25" s="4">
        <f t="shared" si="4"/>
        <v>0.2750370004933399</v>
      </c>
      <c r="I25" s="4">
        <f t="shared" si="4"/>
        <v>0.27505035246727089</v>
      </c>
      <c r="J25" s="4">
        <f t="shared" si="4"/>
        <v>0.27499967711998408</v>
      </c>
      <c r="K25" s="4">
        <f t="shared" si="4"/>
        <v>0.2749991697386337</v>
      </c>
      <c r="L25" s="4">
        <f t="shared" si="4"/>
        <v>0.27522935779816515</v>
      </c>
      <c r="M25" s="4">
        <f t="shared" si="4"/>
        <v>0.27483443708609273</v>
      </c>
      <c r="N25" s="4">
        <f t="shared" si="4"/>
        <v>0.27500000000000002</v>
      </c>
      <c r="O25" s="4">
        <f t="shared" si="4"/>
        <v>0.27492765061825836</v>
      </c>
      <c r="P25" s="18"/>
      <c r="Q25" s="4">
        <f>IFERROR(Q24/Q10, 0)</f>
        <v>0.2764903707021158</v>
      </c>
    </row>
    <row r="26" spans="1:17" x14ac:dyDescent="0.3">
      <c r="A26" s="5"/>
      <c r="B26" s="6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</row>
    <row r="27" spans="1:17" s="15" customFormat="1" x14ac:dyDescent="0.3">
      <c r="A27" s="25"/>
      <c r="B27" s="6" t="s">
        <v>125</v>
      </c>
      <c r="C27" s="6"/>
      <c r="D27" s="3">
        <v>2731.88</v>
      </c>
      <c r="E27" s="3">
        <v>86380</v>
      </c>
      <c r="F27" s="3">
        <v>7453</v>
      </c>
      <c r="G27" s="3">
        <v>6357</v>
      </c>
      <c r="H27" s="3">
        <v>9688</v>
      </c>
      <c r="I27" s="3">
        <v>5131</v>
      </c>
      <c r="J27" s="3">
        <v>64036</v>
      </c>
      <c r="K27" s="3">
        <v>2880</v>
      </c>
      <c r="L27" s="3">
        <v>-461</v>
      </c>
      <c r="M27" s="3">
        <v>2038</v>
      </c>
      <c r="N27" s="3">
        <v>2272</v>
      </c>
      <c r="O27" s="3">
        <v>-16708</v>
      </c>
      <c r="Q27" s="2">
        <f>SUM(OSRRefD28_0x)+IFERROR(SUM(OSRRefE28_0x),0)</f>
        <v>171797.88</v>
      </c>
    </row>
    <row r="28" spans="1:17" x14ac:dyDescent="0.3">
      <c r="A28" s="5"/>
      <c r="B28" s="6"/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</row>
    <row r="29" spans="1:17" s="15" customFormat="1" ht="15" thickBot="1" x14ac:dyDescent="0.35">
      <c r="A29" s="6"/>
      <c r="B29" s="17" t="s">
        <v>124</v>
      </c>
      <c r="C29" s="17"/>
      <c r="D29" s="7">
        <f t="shared" ref="D29:O29" si="5">IFERROR(+D24-D27, 0)</f>
        <v>1171.3100000000004</v>
      </c>
      <c r="E29" s="7">
        <f t="shared" si="5"/>
        <v>134464</v>
      </c>
      <c r="F29" s="7">
        <f t="shared" si="5"/>
        <v>18480</v>
      </c>
      <c r="G29" s="7">
        <f t="shared" si="5"/>
        <v>-5120</v>
      </c>
      <c r="H29" s="7">
        <f t="shared" si="5"/>
        <v>-8573</v>
      </c>
      <c r="I29" s="7">
        <f t="shared" si="5"/>
        <v>-2946</v>
      </c>
      <c r="J29" s="7">
        <f t="shared" si="5"/>
        <v>85013</v>
      </c>
      <c r="K29" s="7">
        <f t="shared" si="5"/>
        <v>13681</v>
      </c>
      <c r="L29" s="7">
        <f t="shared" si="5"/>
        <v>1031</v>
      </c>
      <c r="M29" s="7">
        <f t="shared" si="5"/>
        <v>-1706</v>
      </c>
      <c r="N29" s="7">
        <f t="shared" si="5"/>
        <v>-457</v>
      </c>
      <c r="O29" s="7">
        <f t="shared" si="5"/>
        <v>15663</v>
      </c>
      <c r="Q29" s="7">
        <f>IFERROR(+Q24-Q27, 0)</f>
        <v>250701.30999999994</v>
      </c>
    </row>
    <row r="30" spans="1:17" ht="15" thickTop="1" x14ac:dyDescent="0.3">
      <c r="A30" s="5"/>
      <c r="B30" s="5"/>
      <c r="C30" s="5"/>
      <c r="D30" s="4">
        <f t="shared" ref="D30:O30" si="6">IFERROR(D29/D10, 0)</f>
        <v>0.1980832778080302</v>
      </c>
      <c r="E30" s="4">
        <f t="shared" si="6"/>
        <v>0.1674372502555814</v>
      </c>
      <c r="F30" s="4">
        <f t="shared" si="6"/>
        <v>0.19596822939311354</v>
      </c>
      <c r="G30" s="4">
        <f t="shared" si="6"/>
        <v>-1.1380306734829961</v>
      </c>
      <c r="H30" s="4">
        <f t="shared" si="6"/>
        <v>-2.1147015293537246</v>
      </c>
      <c r="I30" s="4">
        <f t="shared" si="6"/>
        <v>-0.37084592145015105</v>
      </c>
      <c r="J30" s="4">
        <f t="shared" si="6"/>
        <v>0.15685142168683591</v>
      </c>
      <c r="K30" s="4">
        <f t="shared" si="6"/>
        <v>0.2271761150410149</v>
      </c>
      <c r="L30" s="4">
        <f t="shared" si="6"/>
        <v>0.49782713664896183</v>
      </c>
      <c r="M30" s="4">
        <f t="shared" si="6"/>
        <v>-1.4122516556291391</v>
      </c>
      <c r="N30" s="4">
        <f t="shared" si="6"/>
        <v>-6.9242424242424244E-2</v>
      </c>
      <c r="O30" s="4">
        <f t="shared" si="6"/>
        <v>-4.1207576953433307</v>
      </c>
      <c r="P30" s="18"/>
      <c r="Q30" s="4">
        <f>IFERROR(Q29/Q10, 0)</f>
        <v>0.16406303202002834</v>
      </c>
    </row>
    <row r="31" spans="1:17" x14ac:dyDescent="0.3">
      <c r="A31" s="5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x14ac:dyDescent="0.3">
      <c r="A32" s="5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s="15" customFormat="1" ht="15" thickBot="1" x14ac:dyDescent="0.35">
      <c r="A33" s="6"/>
      <c r="B33" s="17" t="s">
        <v>294</v>
      </c>
      <c r="C33" s="17"/>
      <c r="D33" s="7">
        <f t="shared" ref="D33:O33" si="7">IFERROR(SUM(D29:D32), 0)</f>
        <v>1171.5080832778085</v>
      </c>
      <c r="E33" s="7">
        <f t="shared" si="7"/>
        <v>134464.16743725026</v>
      </c>
      <c r="F33" s="7">
        <f t="shared" si="7"/>
        <v>18480.195968229393</v>
      </c>
      <c r="G33" s="7">
        <f t="shared" si="7"/>
        <v>-5121.1380306734827</v>
      </c>
      <c r="H33" s="7">
        <f t="shared" si="7"/>
        <v>-8575.1147015293536</v>
      </c>
      <c r="I33" s="7">
        <f t="shared" si="7"/>
        <v>-2946.3708459214499</v>
      </c>
      <c r="J33" s="7">
        <f t="shared" si="7"/>
        <v>85013.156851421692</v>
      </c>
      <c r="K33" s="7">
        <f t="shared" si="7"/>
        <v>13681.22717611504</v>
      </c>
      <c r="L33" s="7">
        <f t="shared" si="7"/>
        <v>1031.497827136649</v>
      </c>
      <c r="M33" s="7">
        <f t="shared" si="7"/>
        <v>-1707.4122516556292</v>
      </c>
      <c r="N33" s="7">
        <f t="shared" si="7"/>
        <v>-457.06924242424242</v>
      </c>
      <c r="O33" s="7">
        <f t="shared" si="7"/>
        <v>15658.879242304656</v>
      </c>
      <c r="Q33" s="7">
        <f>IFERROR(SUM(Q29:Q32), 0)</f>
        <v>250701.47406303196</v>
      </c>
    </row>
    <row r="34" spans="1:17" ht="15" thickTop="1" x14ac:dyDescent="0.3">
      <c r="A34" s="5"/>
      <c r="C34" s="5"/>
      <c r="D34" s="4">
        <f t="shared" ref="D34:O34" si="8">IFERROR(D33/D10, 0)</f>
        <v>0.1981167761858697</v>
      </c>
      <c r="E34" s="4">
        <f t="shared" si="8"/>
        <v>0.16743745875177943</v>
      </c>
      <c r="F34" s="4">
        <f t="shared" si="8"/>
        <v>0.19597030750712499</v>
      </c>
      <c r="G34" s="4">
        <f t="shared" si="8"/>
        <v>-1.1382836253997517</v>
      </c>
      <c r="H34" s="4">
        <f t="shared" si="8"/>
        <v>-2.1152231626860765</v>
      </c>
      <c r="I34" s="4">
        <f t="shared" si="8"/>
        <v>-0.37089260396795692</v>
      </c>
      <c r="J34" s="4">
        <f t="shared" si="8"/>
        <v>0.15685171108220469</v>
      </c>
      <c r="K34" s="4">
        <f t="shared" si="8"/>
        <v>0.22717988735204811</v>
      </c>
      <c r="L34" s="4">
        <f t="shared" si="8"/>
        <v>0.49806751672460114</v>
      </c>
      <c r="M34" s="4">
        <f t="shared" si="8"/>
        <v>-1.4134207381255208</v>
      </c>
      <c r="N34" s="4">
        <f t="shared" si="8"/>
        <v>-6.9252915518824607E-2</v>
      </c>
      <c r="O34" s="4">
        <f t="shared" si="8"/>
        <v>-4.1196735707194572</v>
      </c>
      <c r="P34" s="18"/>
      <c r="Q34" s="4">
        <f>IFERROR(Q33/Q10, 0)</f>
        <v>0.16406313938555617</v>
      </c>
    </row>
    <row r="35" spans="1:17" x14ac:dyDescent="0.3">
      <c r="A35" s="5"/>
      <c r="B35" s="30">
        <v>44462.678423958336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A36" s="5"/>
      <c r="B36" s="31" t="s">
        <v>54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A37" s="5"/>
      <c r="B37" s="2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  <row r="38" spans="1:17" x14ac:dyDescent="0.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outlinePr summaryBelow="0" summaryRight="0"/>
    <pageSetUpPr fitToPage="1"/>
  </sheetPr>
  <dimension ref="A2:R122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22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155851.6</v>
      </c>
      <c r="E10" s="3">
        <f>SUM(OSRRefE11x_0)</f>
        <v>446761</v>
      </c>
      <c r="F10" s="3">
        <f>SUM(OSRRefE11x_1)</f>
        <v>246410</v>
      </c>
      <c r="G10" s="3">
        <f>SUM(OSRRefE11x_2)</f>
        <v>251754</v>
      </c>
      <c r="H10" s="3">
        <f>SUM(OSRRefE11x_3)</f>
        <v>189085</v>
      </c>
      <c r="I10" s="3">
        <f>SUM(OSRRefE11x_4)</f>
        <v>308306</v>
      </c>
      <c r="J10" s="3">
        <f>SUM(OSRRefE11x_5)</f>
        <v>264105</v>
      </c>
      <c r="K10" s="3">
        <f>SUM(OSRRefE11x_6)</f>
        <v>240108</v>
      </c>
      <c r="L10" s="3">
        <f>SUM(OSRRefE11x_7)</f>
        <v>257549</v>
      </c>
      <c r="M10" s="3">
        <f>SUM(OSRRefE11x_8)</f>
        <v>255732</v>
      </c>
      <c r="N10" s="3">
        <f>SUM(OSRRefE11x_9)</f>
        <v>264303</v>
      </c>
      <c r="O10" s="3">
        <f>SUM(OSRRefE11x_10)</f>
        <v>255409</v>
      </c>
      <c r="P10" s="24"/>
      <c r="Q10" s="3">
        <f>SUM(OSRRefG11x)</f>
        <v>3135373.6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--150984.27</f>
        <v>150984.26999999999</v>
      </c>
      <c r="E11" s="2">
        <v>446761</v>
      </c>
      <c r="F11" s="2">
        <v>246410</v>
      </c>
      <c r="G11" s="2">
        <v>251754</v>
      </c>
      <c r="H11" s="2">
        <v>189085</v>
      </c>
      <c r="I11" s="2">
        <v>308306</v>
      </c>
      <c r="J11" s="2">
        <v>264105</v>
      </c>
      <c r="K11" s="2">
        <v>240108</v>
      </c>
      <c r="L11" s="2">
        <v>257549</v>
      </c>
      <c r="M11" s="2">
        <v>255732</v>
      </c>
      <c r="N11" s="2">
        <v>264303</v>
      </c>
      <c r="O11" s="2">
        <v>255409</v>
      </c>
      <c r="Q11" s="2">
        <f>SUM(OSRRefD11_0x)+IFERROR(SUM(OSRRefE11_0x),0)</f>
        <v>3130506.27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--9632.79</f>
        <v>9632.7900000000009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9632.7900000000009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-4645.61</f>
        <v>-4645.6099999999997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-4645.6099999999997</v>
      </c>
    </row>
    <row r="14" spans="1:18" s="9" customFormat="1" hidden="1" outlineLevel="1" x14ac:dyDescent="0.3">
      <c r="A14" s="22"/>
      <c r="B14" s="10" t="str">
        <f>CONCATENATE("          ","4300", " - ","NON-TAX RETURNS")</f>
        <v xml:space="preserve">          4300 - NON-TAX RETURNS</v>
      </c>
      <c r="C14" s="23"/>
      <c r="D14" s="2">
        <f>-119.85</f>
        <v>-119.85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-119.85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82719.690000000017</v>
      </c>
      <c r="E16" s="3">
        <f>SUM(OSRRefE14x_0)</f>
        <v>233899</v>
      </c>
      <c r="F16" s="3">
        <f>SUM(OSRRefE14x_1)</f>
        <v>120926</v>
      </c>
      <c r="G16" s="3">
        <f>SUM(OSRRefE14x_2)</f>
        <v>123586</v>
      </c>
      <c r="H16" s="3">
        <f>SUM(OSRRefE14x_3)</f>
        <v>95814</v>
      </c>
      <c r="I16" s="3">
        <f>SUM(OSRRefE14x_4)</f>
        <v>153260</v>
      </c>
      <c r="J16" s="3">
        <f>SUM(OSRRefE14x_5)</f>
        <v>131183</v>
      </c>
      <c r="K16" s="3">
        <f>SUM(OSRRefE14x_6)</f>
        <v>119972</v>
      </c>
      <c r="L16" s="3">
        <f>SUM(OSRRefE14x_7)</f>
        <v>125394</v>
      </c>
      <c r="M16" s="3">
        <f>SUM(OSRRefE14x_8)</f>
        <v>123280</v>
      </c>
      <c r="N16" s="3">
        <f>SUM(OSRRefE14x_9)</f>
        <v>131541</v>
      </c>
      <c r="O16" s="3">
        <f>SUM(OSRRefE14x_10)</f>
        <v>133657</v>
      </c>
      <c r="Q16" s="3">
        <f>SUM(OSRRefG14x)</f>
        <v>1575231.69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>
        <v>80555.63</v>
      </c>
      <c r="E17" s="2">
        <v>233899</v>
      </c>
      <c r="F17" s="2">
        <v>120926</v>
      </c>
      <c r="G17" s="2">
        <v>123586</v>
      </c>
      <c r="H17" s="2">
        <v>95814</v>
      </c>
      <c r="I17" s="2">
        <v>153260</v>
      </c>
      <c r="J17" s="2">
        <v>131183</v>
      </c>
      <c r="K17" s="2">
        <v>119972</v>
      </c>
      <c r="L17" s="2">
        <v>125394</v>
      </c>
      <c r="M17" s="2">
        <v>123280</v>
      </c>
      <c r="N17" s="2">
        <v>131541</v>
      </c>
      <c r="O17" s="2">
        <v>133657</v>
      </c>
      <c r="Q17" s="2">
        <f>SUM(OSRRefD14_0x)+IFERROR(SUM(OSRRefE14_0x),0)</f>
        <v>1573067.63</v>
      </c>
    </row>
    <row r="18" spans="1:17" s="9" customFormat="1" hidden="1" outlineLevel="1" x14ac:dyDescent="0.3">
      <c r="A18" s="22"/>
      <c r="B18" s="10" t="str">
        <f>CONCATENATE("          ","5040", " - ","PURCHASES @ COST-LOGO CLOTHING")</f>
        <v xml:space="preserve">          5040 - PURCHASES @ COST-LOGO CLOTHING</v>
      </c>
      <c r="C18" s="23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0</v>
      </c>
    </row>
    <row r="19" spans="1:17" s="9" customFormat="1" hidden="1" outlineLevel="1" x14ac:dyDescent="0.3">
      <c r="A19" s="22"/>
      <c r="B19" s="10" t="str">
        <f>CONCATENATE("          ","5041", " - ","PURCHASES @ COST-LOGO GIFTS")</f>
        <v xml:space="preserve">          5041 - PURCHASES @ COST-LOGO GIFTS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0</v>
      </c>
    </row>
    <row r="20" spans="1:17" s="9" customFormat="1" hidden="1" outlineLevel="1" x14ac:dyDescent="0.3">
      <c r="A20" s="22"/>
      <c r="B20" s="10" t="str">
        <f>CONCATENATE("          ","5042", " - ","PURCHASES @ COST-EVERYDAY GIFT")</f>
        <v xml:space="preserve">          5042 - PURCHASES @ COST-EVERYDAY GIFT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SUM(OSRRefD14_3x)+IFERROR(SUM(OSRRefE14_3x),0)</f>
        <v>0</v>
      </c>
    </row>
    <row r="21" spans="1:17" s="9" customFormat="1" hidden="1" outlineLevel="1" x14ac:dyDescent="0.3">
      <c r="A21" s="22"/>
      <c r="B21" s="10" t="str">
        <f>CONCATENATE("          ","5043", " - ","PURCHASES @ COST-CARDS")</f>
        <v xml:space="preserve">          5043 - PURCHASES @ COST-CARDS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SUM(OSRRefD14_4x)+IFERROR(SUM(OSRRefE14_4x),0)</f>
        <v>0</v>
      </c>
    </row>
    <row r="22" spans="1:17" s="9" customFormat="1" hidden="1" outlineLevel="1" x14ac:dyDescent="0.3">
      <c r="A22" s="22"/>
      <c r="B22" s="10" t="str">
        <f>CONCATENATE("          ","5044", " - ","PURCHASES @ COST-ACCESSORIES")</f>
        <v xml:space="preserve">          5044 - PURCHASES @ COST-ACCESSORIES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SUM(OSRRefD14_5x)+IFERROR(SUM(OSRRefE14_5x),0)</f>
        <v>0</v>
      </c>
    </row>
    <row r="23" spans="1:17" s="9" customFormat="1" hidden="1" outlineLevel="1" x14ac:dyDescent="0.3">
      <c r="A23" s="22"/>
      <c r="B23" s="10" t="str">
        <f>CONCATENATE("          ","5045", " - ","PURCHASES @ COST-SPECIAL ORDER")</f>
        <v xml:space="preserve">          5045 - PURCHASES @ COST-SPECIAL ORDER</v>
      </c>
      <c r="C23" s="23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SUM(OSRRefD14_6x)+IFERROR(SUM(OSRRefE14_6x),0)</f>
        <v>0</v>
      </c>
    </row>
    <row r="24" spans="1:17" s="9" customFormat="1" hidden="1" outlineLevel="1" x14ac:dyDescent="0.3">
      <c r="A24" s="22"/>
      <c r="B24" s="10" t="str">
        <f>CONCATENATE("          ","5200", " - ","PURCHASES OFFSET")</f>
        <v xml:space="preserve">          5200 - PURCHASES OFFSET</v>
      </c>
      <c r="C24" s="23"/>
      <c r="D24" s="2">
        <v>-81956.95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SUM(OSRRefD14_7x)+IFERROR(SUM(OSRRefE14_7x),0)</f>
        <v>-81956.95</v>
      </c>
    </row>
    <row r="25" spans="1:17" s="9" customFormat="1" hidden="1" outlineLevel="1" x14ac:dyDescent="0.3">
      <c r="A25" s="22"/>
      <c r="B25" s="10" t="str">
        <f>CONCATENATE("          ","5300", " - ","COG$ OFFSET")</f>
        <v xml:space="preserve">          5300 - COG$ OFFSET</v>
      </c>
      <c r="C25" s="23"/>
      <c r="D25" s="2">
        <v>82719.69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SUM(OSRRefD14_8x)+IFERROR(SUM(OSRRefE14_8x),0)</f>
        <v>82719.69</v>
      </c>
    </row>
    <row r="26" spans="1:17" s="9" customFormat="1" hidden="1" outlineLevel="1" x14ac:dyDescent="0.3">
      <c r="A26" s="22"/>
      <c r="B26" s="10" t="str">
        <f>CONCATENATE("          ","5500", " - ","FREIGHT-IN")</f>
        <v xml:space="preserve">          5500 - FREIGHT-IN</v>
      </c>
      <c r="C26" s="23"/>
      <c r="D26" s="2">
        <v>1401.32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SUM(OSRRefD14_9x)+IFERROR(SUM(OSRRefE14_9x),0)</f>
        <v>1401.32</v>
      </c>
    </row>
    <row r="27" spans="1:17" s="9" customFormat="1" hidden="1" outlineLevel="1" x14ac:dyDescent="0.3">
      <c r="A27" s="22"/>
      <c r="B27" s="10" t="str">
        <f>CONCATENATE("          ","5540", " - ","FREIGHT-IN-LOGO CLOTHING")</f>
        <v xml:space="preserve">          5540 - FREIGHT-IN-LOGO CLOTHING</v>
      </c>
      <c r="C27" s="23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>
        <f>SUM(OSRRefD14_10x)+IFERROR(SUM(OSRRefE14_10x),0)</f>
        <v>0</v>
      </c>
    </row>
    <row r="28" spans="1:17" s="9" customFormat="1" hidden="1" outlineLevel="1" x14ac:dyDescent="0.3">
      <c r="A28" s="22"/>
      <c r="B28" s="10" t="str">
        <f>CONCATENATE("          ","5541", " - ","FREIGHT-IN-LOGO GIFTS")</f>
        <v xml:space="preserve">          5541 - FREIGHT-IN-LOGO GIFTS</v>
      </c>
      <c r="C28" s="23"/>
      <c r="D28" s="2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>
        <f>SUM(OSRRefD14_11x)+IFERROR(SUM(OSRRefE14_11x),0)</f>
        <v>0</v>
      </c>
    </row>
    <row r="29" spans="1:17" s="9" customFormat="1" hidden="1" outlineLevel="1" x14ac:dyDescent="0.3">
      <c r="A29" s="22"/>
      <c r="B29" s="10" t="str">
        <f>CONCATENATE("          ","5542", " - ","FREIGHT-IN-EVERYDAY GIFTS")</f>
        <v xml:space="preserve">          5542 - FREIGHT-IN-EVERYDAY GIFTS</v>
      </c>
      <c r="C29" s="23"/>
      <c r="D29" s="2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>
        <f>SUM(OSRRefD14_12x)+IFERROR(SUM(OSRRefE14_12x),0)</f>
        <v>0</v>
      </c>
    </row>
    <row r="30" spans="1:17" s="9" customFormat="1" hidden="1" outlineLevel="1" x14ac:dyDescent="0.3">
      <c r="A30" s="22"/>
      <c r="B30" s="10" t="str">
        <f>CONCATENATE("          ","5544", " - ","FREIGHT-IN-ACCESSORIES")</f>
        <v xml:space="preserve">          5544 - FREIGHT-IN-ACCESSORIES</v>
      </c>
      <c r="C30" s="23"/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>
        <f>SUM(OSRRefD14_13x)+IFERROR(SUM(OSRRefE14_13x),0)</f>
        <v>0</v>
      </c>
    </row>
    <row r="31" spans="1:17" s="9" customFormat="1" hidden="1" outlineLevel="1" x14ac:dyDescent="0.3">
      <c r="A31" s="22"/>
      <c r="B31" s="10" t="str">
        <f>CONCATENATE("          ","5545", " - ","FREIGHT-IN-SPECIAL ORDERS")</f>
        <v xml:space="preserve">          5545 - FREIGHT-IN-SPECIAL ORDERS</v>
      </c>
      <c r="C31" s="23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>
        <f>SUM(OSRRefD14_14x)+IFERROR(SUM(OSRRefE14_14x),0)</f>
        <v>0</v>
      </c>
    </row>
    <row r="32" spans="1:17" x14ac:dyDescent="0.3">
      <c r="A32" s="5"/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s="15" customFormat="1" x14ac:dyDescent="0.3">
      <c r="A33" s="6"/>
      <c r="B33" s="17" t="s">
        <v>105</v>
      </c>
      <c r="C33" s="17"/>
      <c r="D33" s="8">
        <f t="shared" ref="D33:O33" si="0">IFERROR(+D10-D16, 0)</f>
        <v>73131.909999999989</v>
      </c>
      <c r="E33" s="8">
        <f t="shared" si="0"/>
        <v>212862</v>
      </c>
      <c r="F33" s="8">
        <f t="shared" si="0"/>
        <v>125484</v>
      </c>
      <c r="G33" s="8">
        <f t="shared" si="0"/>
        <v>128168</v>
      </c>
      <c r="H33" s="8">
        <f t="shared" si="0"/>
        <v>93271</v>
      </c>
      <c r="I33" s="8">
        <f t="shared" si="0"/>
        <v>155046</v>
      </c>
      <c r="J33" s="8">
        <f t="shared" si="0"/>
        <v>132922</v>
      </c>
      <c r="K33" s="8">
        <f t="shared" si="0"/>
        <v>120136</v>
      </c>
      <c r="L33" s="8">
        <f t="shared" si="0"/>
        <v>132155</v>
      </c>
      <c r="M33" s="8">
        <f t="shared" si="0"/>
        <v>132452</v>
      </c>
      <c r="N33" s="8">
        <f t="shared" si="0"/>
        <v>132762</v>
      </c>
      <c r="O33" s="8">
        <f t="shared" si="0"/>
        <v>121752</v>
      </c>
      <c r="Q33" s="8">
        <f>IFERROR(+Q10-Q16, 0)</f>
        <v>1560141.9100000001</v>
      </c>
    </row>
    <row r="34" spans="1:17" s="6" customFormat="1" x14ac:dyDescent="0.3">
      <c r="B34" s="16"/>
      <c r="C34" s="16"/>
      <c r="D34" s="4">
        <f t="shared" ref="D34:O34" si="1">IFERROR(D33/D10, 0)</f>
        <v>0.46924067510375245</v>
      </c>
      <c r="E34" s="4">
        <f t="shared" si="1"/>
        <v>0.4764560917358498</v>
      </c>
      <c r="F34" s="4">
        <f t="shared" si="1"/>
        <v>0.50924881295401969</v>
      </c>
      <c r="G34" s="4">
        <f t="shared" si="1"/>
        <v>0.50910015332427683</v>
      </c>
      <c r="H34" s="4">
        <f t="shared" si="1"/>
        <v>0.49327551101356532</v>
      </c>
      <c r="I34" s="4">
        <f t="shared" si="1"/>
        <v>0.50289647298463214</v>
      </c>
      <c r="J34" s="4">
        <f t="shared" si="1"/>
        <v>0.50329225118797449</v>
      </c>
      <c r="K34" s="4">
        <f t="shared" si="1"/>
        <v>0.50034151298582308</v>
      </c>
      <c r="L34" s="4">
        <f t="shared" si="1"/>
        <v>0.51312565764184681</v>
      </c>
      <c r="M34" s="4">
        <f t="shared" si="1"/>
        <v>0.51793283593762218</v>
      </c>
      <c r="N34" s="4">
        <f t="shared" si="1"/>
        <v>0.5023098489233947</v>
      </c>
      <c r="O34" s="4">
        <f t="shared" si="1"/>
        <v>0.4766942433508608</v>
      </c>
      <c r="P34" s="18"/>
      <c r="Q34" s="4">
        <f>IFERROR(Q33/Q10, 0)</f>
        <v>0.49759362329261181</v>
      </c>
    </row>
    <row r="35" spans="1:17" x14ac:dyDescent="0.3">
      <c r="A35" s="5"/>
      <c r="B35" s="6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</row>
    <row r="36" spans="1:17" s="15" customFormat="1" x14ac:dyDescent="0.3">
      <c r="A36" s="6"/>
      <c r="B36" s="16" t="s">
        <v>255</v>
      </c>
      <c r="C36" s="6"/>
      <c r="D36" s="13">
        <f>SUM(OSRRefD20x_0)</f>
        <v>96192.790000000037</v>
      </c>
      <c r="E36" s="13">
        <f>SUM(OSRRefE20x_0)</f>
        <v>94649.394707692321</v>
      </c>
      <c r="F36" s="13">
        <f>SUM(OSRRefE20x_1)</f>
        <v>95794.496517692329</v>
      </c>
      <c r="G36" s="13">
        <f>SUM(OSRRefE20x_2)</f>
        <v>125276.62064711537</v>
      </c>
      <c r="H36" s="13">
        <f>SUM(OSRRefE20x_3)</f>
        <v>97504.496517692329</v>
      </c>
      <c r="I36" s="13">
        <f>SUM(OSRRefE20x_4)</f>
        <v>101370.98195769233</v>
      </c>
      <c r="J36" s="13">
        <f>SUM(OSRRefE20x_5)</f>
        <v>127338.87842736537</v>
      </c>
      <c r="K36" s="13">
        <f>SUM(OSRRefE20x_6)</f>
        <v>101846.10274189233</v>
      </c>
      <c r="L36" s="13">
        <f>SUM(OSRRefE20x_7)</f>
        <v>99962.102741892333</v>
      </c>
      <c r="M36" s="13">
        <f>SUM(OSRRefE20x_8)</f>
        <v>134986.87842736539</v>
      </c>
      <c r="N36" s="13">
        <f>SUM(OSRRefE20x_9)</f>
        <v>101708.10274189233</v>
      </c>
      <c r="O36" s="13">
        <f>SUM(OSRRefE20x_10)</f>
        <v>100885.05380519232</v>
      </c>
      <c r="Q36" s="13">
        <f>SUM(OSRRefG20x)</f>
        <v>1277515.8992334844</v>
      </c>
    </row>
    <row r="37" spans="1:17" s="34" customFormat="1" collapsed="1" x14ac:dyDescent="0.3">
      <c r="A37" s="35"/>
      <c r="B37" s="14" t="str">
        <f>CONCATENATE("     ","*Benefits                                         ")</f>
        <v xml:space="preserve">     *Benefits                                         </v>
      </c>
      <c r="C37" s="14"/>
      <c r="D37" s="1">
        <f>SUM(OSRRefD21_0x_0)</f>
        <v>13678.2</v>
      </c>
      <c r="E37" s="1">
        <f>SUM(OSRRefE21_0x_0)</f>
        <v>17997.187015384625</v>
      </c>
      <c r="F37" s="1">
        <f>SUM(OSRRefE21_0x_1)</f>
        <v>19939.288825384625</v>
      </c>
      <c r="G37" s="1">
        <f>SUM(OSRRefE21_0x_2)</f>
        <v>23371.361031730768</v>
      </c>
      <c r="H37" s="1">
        <f>SUM(OSRRefE21_0x_3)</f>
        <v>19939.288825384625</v>
      </c>
      <c r="I37" s="1">
        <f>SUM(OSRRefE21_0x_4)</f>
        <v>20278.174265384623</v>
      </c>
      <c r="J37" s="1">
        <f>SUM(OSRRefE21_0x_5)</f>
        <v>23816.346311980771</v>
      </c>
      <c r="K37" s="1">
        <f>SUM(OSRRefE21_0x_6)</f>
        <v>20295.277049584627</v>
      </c>
      <c r="L37" s="1">
        <f>SUM(OSRRefE21_0x_7)</f>
        <v>20295.277049584627</v>
      </c>
      <c r="M37" s="1">
        <f>SUM(OSRRefE21_0x_8)</f>
        <v>23816.346311980771</v>
      </c>
      <c r="N37" s="1">
        <f>SUM(OSRRefE21_0x_9)</f>
        <v>20295.277049584627</v>
      </c>
      <c r="O37" s="1">
        <f>SUM(OSRRefE21_0x_10)</f>
        <v>18217.228112884623</v>
      </c>
      <c r="Q37" s="2">
        <f>SUM(OSRRefD20_0x)+IFERROR(SUM(OSRRefE20_0x),0)</f>
        <v>241939.25184886935</v>
      </c>
    </row>
    <row r="38" spans="1:17" s="34" customFormat="1" hidden="1" outlineLevel="1" x14ac:dyDescent="0.3">
      <c r="A38" s="35"/>
      <c r="B38" s="10" t="str">
        <f>CONCATENATE("          ","6111", " - ","F.I.C.A.")</f>
        <v xml:space="preserve">          6111 - F.I.C.A.</v>
      </c>
      <c r="C38" s="14"/>
      <c r="D38" s="2">
        <v>3257.4</v>
      </c>
      <c r="E38" s="2">
        <v>2881.2956307692298</v>
      </c>
      <c r="F38" s="2">
        <v>4823.3974407692303</v>
      </c>
      <c r="G38" s="2">
        <v>6029.2468009615404</v>
      </c>
      <c r="H38" s="2">
        <v>4823.3974407692303</v>
      </c>
      <c r="I38" s="2">
        <v>4980.1308807692303</v>
      </c>
      <c r="J38" s="2">
        <v>6286.0661749615401</v>
      </c>
      <c r="K38" s="2">
        <v>5028.8529399692297</v>
      </c>
      <c r="L38" s="2">
        <v>5028.8529399692297</v>
      </c>
      <c r="M38" s="2">
        <v>6286.0661749615401</v>
      </c>
      <c r="N38" s="2">
        <v>5028.8529399692297</v>
      </c>
      <c r="O38" s="2">
        <v>2950.8040032692302</v>
      </c>
      <c r="P38" s="9"/>
      <c r="Q38" s="2">
        <f>SUM(OSRRefD21_0_0x)+IFERROR(SUM(OSRRefE21_0_0x),0)</f>
        <v>57404.363367138452</v>
      </c>
    </row>
    <row r="39" spans="1:17" s="34" customFormat="1" hidden="1" outlineLevel="1" x14ac:dyDescent="0.3">
      <c r="A39" s="35"/>
      <c r="B39" s="10" t="str">
        <f>CONCATENATE("          ","6112", " - ","COMPENSATION INSURANCE")</f>
        <v xml:space="preserve">          6112 - COMPENSATION INSURANCE</v>
      </c>
      <c r="C39" s="14"/>
      <c r="D39" s="2">
        <v>734.03</v>
      </c>
      <c r="E39" s="2">
        <v>1017.888</v>
      </c>
      <c r="F39" s="2">
        <v>1017.888</v>
      </c>
      <c r="G39" s="2">
        <v>1272.3599999999999</v>
      </c>
      <c r="H39" s="2">
        <v>1017.888</v>
      </c>
      <c r="I39" s="2">
        <v>1064.0640000000001</v>
      </c>
      <c r="J39" s="2">
        <v>1327.7448750000001</v>
      </c>
      <c r="K39" s="2">
        <v>1062.1958999999999</v>
      </c>
      <c r="L39" s="2">
        <v>1062.1958999999999</v>
      </c>
      <c r="M39" s="2">
        <v>1327.7448750000001</v>
      </c>
      <c r="N39" s="2">
        <v>1062.1958999999999</v>
      </c>
      <c r="O39" s="2">
        <v>1062.1958999999999</v>
      </c>
      <c r="P39" s="9"/>
      <c r="Q39" s="2">
        <f>SUM(OSRRefD21_0_1x)+IFERROR(SUM(OSRRefE21_0_1x),0)</f>
        <v>13028.391350000004</v>
      </c>
    </row>
    <row r="40" spans="1:17" s="34" customFormat="1" hidden="1" outlineLevel="1" x14ac:dyDescent="0.3">
      <c r="A40" s="35"/>
      <c r="B40" s="10" t="str">
        <f>CONCATENATE("          ","6113", " - ","GROUP INSURANCE")</f>
        <v xml:space="preserve">          6113 - GROUP INSURANCE</v>
      </c>
      <c r="C40" s="14"/>
      <c r="D40" s="2">
        <v>4811.13</v>
      </c>
      <c r="E40" s="2">
        <v>7772.9230769230799</v>
      </c>
      <c r="F40" s="2">
        <v>7772.9230769230799</v>
      </c>
      <c r="G40" s="2">
        <v>8382.1538461538494</v>
      </c>
      <c r="H40" s="2">
        <v>7772.9230769230799</v>
      </c>
      <c r="I40" s="2">
        <v>7772.9230769230799</v>
      </c>
      <c r="J40" s="2">
        <v>8382.1538461538494</v>
      </c>
      <c r="K40" s="2">
        <v>7772.9230769230799</v>
      </c>
      <c r="L40" s="2">
        <v>7772.9230769230799</v>
      </c>
      <c r="M40" s="2">
        <v>8382.1538461538494</v>
      </c>
      <c r="N40" s="2">
        <v>7772.9230769230799</v>
      </c>
      <c r="O40" s="2">
        <v>7772.9230769230799</v>
      </c>
      <c r="P40" s="9"/>
      <c r="Q40" s="2">
        <f>SUM(OSRRefD21_0_2x)+IFERROR(SUM(OSRRefE21_0_2x),0)</f>
        <v>92140.976153846175</v>
      </c>
    </row>
    <row r="41" spans="1:17" s="34" customFormat="1" hidden="1" outlineLevel="1" x14ac:dyDescent="0.3">
      <c r="A41" s="35"/>
      <c r="B41" s="10" t="str">
        <f>CONCATENATE("          ","6114", " - ","STATE UNEMPLOYMENT INSURANCE")</f>
        <v xml:space="preserve">          6114 - STATE UNEMPLOYMENT INSURANCE</v>
      </c>
      <c r="C41" s="14"/>
      <c r="D41" s="2">
        <v>128.94999999999999</v>
      </c>
      <c r="E41" s="2">
        <v>137.023384615385</v>
      </c>
      <c r="F41" s="2">
        <v>137.023384615385</v>
      </c>
      <c r="G41" s="2">
        <v>171.27923076923099</v>
      </c>
      <c r="H41" s="2">
        <v>137.023384615385</v>
      </c>
      <c r="I41" s="2">
        <v>143.23938461538501</v>
      </c>
      <c r="J41" s="2">
        <v>178.734887019231</v>
      </c>
      <c r="K41" s="2">
        <v>142.98790961538501</v>
      </c>
      <c r="L41" s="2">
        <v>142.98790961538501</v>
      </c>
      <c r="M41" s="2">
        <v>178.734887019231</v>
      </c>
      <c r="N41" s="2">
        <v>142.98790961538501</v>
      </c>
      <c r="O41" s="2">
        <v>142.98790961538501</v>
      </c>
      <c r="P41" s="9"/>
      <c r="Q41" s="2">
        <f>SUM(OSRRefD21_0_3x)+IFERROR(SUM(OSRRefE21_0_3x),0)</f>
        <v>1783.9601817307732</v>
      </c>
    </row>
    <row r="42" spans="1:17" s="34" customFormat="1" hidden="1" outlineLevel="1" x14ac:dyDescent="0.3">
      <c r="A42" s="35"/>
      <c r="B42" s="10" t="str">
        <f>CONCATENATE("          ","6115", " - ","P.E.R.S.")</f>
        <v xml:space="preserve">          6115 - P.E.R.S.</v>
      </c>
      <c r="C42" s="14"/>
      <c r="D42" s="2">
        <v>1579.48</v>
      </c>
      <c r="E42" s="2">
        <v>1413.3438461538501</v>
      </c>
      <c r="F42" s="2">
        <v>1413.3438461538501</v>
      </c>
      <c r="G42" s="2">
        <v>1766.6798076923101</v>
      </c>
      <c r="H42" s="2">
        <v>1413.3438461538501</v>
      </c>
      <c r="I42" s="2">
        <v>1413.3438461538501</v>
      </c>
      <c r="J42" s="2">
        <v>1766.6798076923101</v>
      </c>
      <c r="K42" s="2">
        <v>1413.3438461538501</v>
      </c>
      <c r="L42" s="2">
        <v>1413.3438461538501</v>
      </c>
      <c r="M42" s="2">
        <v>1766.6798076923101</v>
      </c>
      <c r="N42" s="2">
        <v>1413.3438461538501</v>
      </c>
      <c r="O42" s="2">
        <v>1413.3438461538501</v>
      </c>
      <c r="P42" s="9"/>
      <c r="Q42" s="2">
        <f>SUM(OSRRefD21_0_4x)+IFERROR(SUM(OSRRefE21_0_4x),0)</f>
        <v>18186.270192307729</v>
      </c>
    </row>
    <row r="43" spans="1:17" s="34" customFormat="1" hidden="1" outlineLevel="1" x14ac:dyDescent="0.3">
      <c r="A43" s="35"/>
      <c r="B43" s="10" t="str">
        <f>CONCATENATE("          ","6116", " - ","EDUCATIONAL BENEFITS")</f>
        <v xml:space="preserve">          6116 - EDUCATIONAL BENEFITS</v>
      </c>
      <c r="C43" s="14"/>
      <c r="D43" s="2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9"/>
      <c r="Q43" s="2">
        <f>SUM(OSRRefD21_0_5x)+IFERROR(SUM(OSRRefE21_0_5x),0)</f>
        <v>0</v>
      </c>
    </row>
    <row r="44" spans="1:17" s="34" customFormat="1" hidden="1" outlineLevel="1" x14ac:dyDescent="0.3">
      <c r="A44" s="35"/>
      <c r="B44" s="10" t="str">
        <f>CONCATENATE("          ","6118", " - ","VACATION")</f>
        <v xml:space="preserve">          6118 - VACATION</v>
      </c>
      <c r="C44" s="14"/>
      <c r="D44" s="2">
        <v>1659.06</v>
      </c>
      <c r="E44" s="2">
        <v>1233.7115384615399</v>
      </c>
      <c r="F44" s="2">
        <v>1233.7115384615399</v>
      </c>
      <c r="G44" s="2">
        <v>1542.1394230769199</v>
      </c>
      <c r="H44" s="2">
        <v>1233.7115384615399</v>
      </c>
      <c r="I44" s="2">
        <v>1233.7115384615399</v>
      </c>
      <c r="J44" s="2">
        <v>1542.1394230769199</v>
      </c>
      <c r="K44" s="2">
        <v>1233.7115384615399</v>
      </c>
      <c r="L44" s="2">
        <v>1233.7115384615399</v>
      </c>
      <c r="M44" s="2">
        <v>1542.1394230769199</v>
      </c>
      <c r="N44" s="2">
        <v>1233.7115384615399</v>
      </c>
      <c r="O44" s="2">
        <v>1233.7115384615399</v>
      </c>
      <c r="P44" s="9"/>
      <c r="Q44" s="2">
        <f>SUM(OSRRefD21_0_6x)+IFERROR(SUM(OSRRefE21_0_6x),0)</f>
        <v>16155.170576923078</v>
      </c>
    </row>
    <row r="45" spans="1:17" s="34" customFormat="1" hidden="1" outlineLevel="1" x14ac:dyDescent="0.3">
      <c r="A45" s="35"/>
      <c r="B45" s="10" t="str">
        <f>CONCATENATE("          ","6119", " - ","SICK LEAVE")</f>
        <v xml:space="preserve">          6119 - SICK LEAVE</v>
      </c>
      <c r="C45" s="14"/>
      <c r="D45" s="2">
        <v>1120.42</v>
      </c>
      <c r="E45" s="2">
        <v>2666.0015384615399</v>
      </c>
      <c r="F45" s="2">
        <v>2666.0015384615399</v>
      </c>
      <c r="G45" s="2">
        <v>3332.5019230769199</v>
      </c>
      <c r="H45" s="2">
        <v>2666.0015384615399</v>
      </c>
      <c r="I45" s="2">
        <v>2795.7615384615401</v>
      </c>
      <c r="J45" s="2">
        <v>3457.8272980769202</v>
      </c>
      <c r="K45" s="2">
        <v>2766.2618384615398</v>
      </c>
      <c r="L45" s="2">
        <v>2766.2618384615398</v>
      </c>
      <c r="M45" s="2">
        <v>3457.8272980769202</v>
      </c>
      <c r="N45" s="2">
        <v>2766.2618384615398</v>
      </c>
      <c r="O45" s="2">
        <v>2766.2618384615398</v>
      </c>
      <c r="P45" s="9"/>
      <c r="Q45" s="2">
        <f>SUM(OSRRefD21_0_7x)+IFERROR(SUM(OSRRefE21_0_7x),0)</f>
        <v>33227.39002692308</v>
      </c>
    </row>
    <row r="46" spans="1:17" s="34" customFormat="1" hidden="1" outlineLevel="1" x14ac:dyDescent="0.3">
      <c r="A46" s="35"/>
      <c r="B46" s="10" t="str">
        <f>CONCATENATE("          ","6156", " - ","EMPLOYEE MEALS")</f>
        <v xml:space="preserve">          6156 - EMPLOYEE MEALS</v>
      </c>
      <c r="C46" s="14"/>
      <c r="D46" s="2">
        <v>387.73</v>
      </c>
      <c r="E46" s="2">
        <v>875</v>
      </c>
      <c r="F46" s="2">
        <v>875</v>
      </c>
      <c r="G46" s="2">
        <v>875</v>
      </c>
      <c r="H46" s="2">
        <v>875</v>
      </c>
      <c r="I46" s="2">
        <v>875</v>
      </c>
      <c r="J46" s="2">
        <v>875</v>
      </c>
      <c r="K46" s="2">
        <v>875</v>
      </c>
      <c r="L46" s="2">
        <v>875</v>
      </c>
      <c r="M46" s="2">
        <v>875</v>
      </c>
      <c r="N46" s="2">
        <v>875</v>
      </c>
      <c r="O46" s="2">
        <v>875</v>
      </c>
      <c r="P46" s="9"/>
      <c r="Q46" s="2">
        <f>SUM(OSRRefD21_0_8x)+IFERROR(SUM(OSRRefE21_0_8x),0)</f>
        <v>10012.73</v>
      </c>
    </row>
    <row r="47" spans="1:17" s="34" customFormat="1" collapsed="1" x14ac:dyDescent="0.3">
      <c r="A47" s="35"/>
      <c r="B47" s="14" t="str">
        <f>CONCATENATE("     ","*Payroll                                          ")</f>
        <v xml:space="preserve">     *Payroll                                          </v>
      </c>
      <c r="C47" s="14"/>
      <c r="D47" s="1">
        <f>SUM(OSRRefD21_1x_0)</f>
        <v>59216.320000000007</v>
      </c>
      <c r="E47" s="1">
        <f>SUM(OSRRefE21_1x_0)</f>
        <v>62244.207692307704</v>
      </c>
      <c r="F47" s="1">
        <f>SUM(OSRRefE21_1x_1)</f>
        <v>62244.207692307704</v>
      </c>
      <c r="G47" s="1">
        <f>SUM(OSRRefE21_1x_2)</f>
        <v>77805.259615384595</v>
      </c>
      <c r="H47" s="1">
        <f>SUM(OSRRefE21_1x_3)</f>
        <v>62244.207692307704</v>
      </c>
      <c r="I47" s="1">
        <f>SUM(OSRRefE21_1x_4)</f>
        <v>65101.807692307702</v>
      </c>
      <c r="J47" s="1">
        <f>SUM(OSRRefE21_1x_5)</f>
        <v>81308.532115384602</v>
      </c>
      <c r="K47" s="1">
        <f>SUM(OSRRefE21_1x_6)</f>
        <v>65046.825692307699</v>
      </c>
      <c r="L47" s="1">
        <f>SUM(OSRRefE21_1x_7)</f>
        <v>65046.825692307699</v>
      </c>
      <c r="M47" s="1">
        <f>SUM(OSRRefE21_1x_8)</f>
        <v>81308.532115384602</v>
      </c>
      <c r="N47" s="1">
        <f>SUM(OSRRefE21_1x_9)</f>
        <v>65046.825692307699</v>
      </c>
      <c r="O47" s="1">
        <f>SUM(OSRRefE21_1x_10)</f>
        <v>65046.825692307699</v>
      </c>
      <c r="Q47" s="2">
        <f>SUM(OSRRefD20_1x)+IFERROR(SUM(OSRRefE20_1x),0)</f>
        <v>811660.37738461536</v>
      </c>
    </row>
    <row r="48" spans="1:17" s="34" customFormat="1" hidden="1" outlineLevel="1" x14ac:dyDescent="0.3">
      <c r="A48" s="35"/>
      <c r="B48" s="10" t="str">
        <f>CONCATENATE("          ","6001", " - ","ADMINISTRATIVE SALARIES")</f>
        <v xml:space="preserve">          6001 - ADMINISTRATIVE SALARIES</v>
      </c>
      <c r="C48" s="14"/>
      <c r="D48" s="2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9"/>
      <c r="Q48" s="2">
        <f>SUM(OSRRefD21_1_0x)+IFERROR(SUM(OSRRefE21_1_0x),0)</f>
        <v>0</v>
      </c>
    </row>
    <row r="49" spans="1:17" s="34" customFormat="1" hidden="1" outlineLevel="1" x14ac:dyDescent="0.3">
      <c r="A49" s="35"/>
      <c r="B49" s="10" t="str">
        <f>CONCATENATE("          ","6002", " - ","STAFF SALARIES")</f>
        <v xml:space="preserve">          6002 - STAFF SALARIES</v>
      </c>
      <c r="C49" s="14"/>
      <c r="D49" s="2">
        <v>17125.82</v>
      </c>
      <c r="E49" s="2">
        <v>14790.807692307701</v>
      </c>
      <c r="F49" s="2">
        <v>14790.807692307701</v>
      </c>
      <c r="G49" s="2">
        <v>18488.509615384599</v>
      </c>
      <c r="H49" s="2">
        <v>14790.807692307701</v>
      </c>
      <c r="I49" s="2">
        <v>14790.807692307701</v>
      </c>
      <c r="J49" s="2">
        <v>18488.509615384599</v>
      </c>
      <c r="K49" s="2">
        <v>14790.807692307701</v>
      </c>
      <c r="L49" s="2">
        <v>14790.807692307701</v>
      </c>
      <c r="M49" s="2">
        <v>18488.509615384599</v>
      </c>
      <c r="N49" s="2">
        <v>14790.807692307701</v>
      </c>
      <c r="O49" s="2">
        <v>14790.807692307701</v>
      </c>
      <c r="P49" s="9"/>
      <c r="Q49" s="2">
        <f>SUM(OSRRefD21_1_1x)+IFERROR(SUM(OSRRefE21_1_1x),0)</f>
        <v>190917.81038461538</v>
      </c>
    </row>
    <row r="50" spans="1:17" s="34" customFormat="1" hidden="1" outlineLevel="1" x14ac:dyDescent="0.3">
      <c r="A50" s="35"/>
      <c r="B50" s="10" t="str">
        <f>CONCATENATE("          ","6003", " - ","STAFF HOURLY-9 MONTH")</f>
        <v xml:space="preserve">          6003 - STAFF HOURLY-9 MONTH</v>
      </c>
      <c r="C50" s="14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9"/>
      <c r="Q50" s="2">
        <f>SUM(OSRRefD21_1_2x)+IFERROR(SUM(OSRRefE21_1_2x),0)</f>
        <v>0</v>
      </c>
    </row>
    <row r="51" spans="1:17" s="34" customFormat="1" hidden="1" outlineLevel="1" x14ac:dyDescent="0.3">
      <c r="A51" s="35"/>
      <c r="B51" s="10" t="str">
        <f>CONCATENATE("          ","6004", " - ","STAFF HOURLY")</f>
        <v xml:space="preserve">          6004 - STAFF HOURLY</v>
      </c>
      <c r="C51" s="14"/>
      <c r="D51" s="2">
        <v>8345.83</v>
      </c>
      <c r="E51" s="2">
        <v>17630.400000000001</v>
      </c>
      <c r="F51" s="2">
        <v>17630.400000000001</v>
      </c>
      <c r="G51" s="2">
        <v>22038</v>
      </c>
      <c r="H51" s="2">
        <v>17630.400000000001</v>
      </c>
      <c r="I51" s="2">
        <v>19576</v>
      </c>
      <c r="J51" s="2">
        <v>22931.759999999998</v>
      </c>
      <c r="K51" s="2">
        <v>18345.407999999999</v>
      </c>
      <c r="L51" s="2">
        <v>18345.407999999999</v>
      </c>
      <c r="M51" s="2">
        <v>22931.759999999998</v>
      </c>
      <c r="N51" s="2">
        <v>18345.407999999999</v>
      </c>
      <c r="O51" s="2">
        <v>18345.407999999999</v>
      </c>
      <c r="P51" s="9"/>
      <c r="Q51" s="2">
        <f>SUM(OSRRefD21_1_3x)+IFERROR(SUM(OSRRefE21_1_3x),0)</f>
        <v>222096.182</v>
      </c>
    </row>
    <row r="52" spans="1:17" s="34" customFormat="1" hidden="1" outlineLevel="1" x14ac:dyDescent="0.3">
      <c r="A52" s="35"/>
      <c r="B52" s="10" t="str">
        <f>CONCATENATE("          ","6005", " - ","TEMPORARY WAGES-HOURLY")</f>
        <v xml:space="preserve">          6005 - TEMPORARY WAGES-HOURLY</v>
      </c>
      <c r="C52" s="14"/>
      <c r="D52" s="2">
        <v>3365.77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9"/>
      <c r="Q52" s="2">
        <f>SUM(OSRRefD21_1_4x)+IFERROR(SUM(OSRRefE21_1_4x),0)</f>
        <v>3365.77</v>
      </c>
    </row>
    <row r="53" spans="1:17" s="34" customFormat="1" hidden="1" outlineLevel="1" x14ac:dyDescent="0.3">
      <c r="A53" s="35"/>
      <c r="B53" s="10" t="str">
        <f>CONCATENATE("          ","6006", " - ","TEMPORARY PART TIME")</f>
        <v xml:space="preserve">          6006 - TEMPORARY PART TIME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SUM(OSRRefD21_1_5x)+IFERROR(SUM(OSRRefE21_1_5x),0)</f>
        <v>0</v>
      </c>
    </row>
    <row r="54" spans="1:17" s="34" customFormat="1" hidden="1" outlineLevel="1" x14ac:dyDescent="0.3">
      <c r="A54" s="35"/>
      <c r="B54" s="10" t="str">
        <f>CONCATENATE("          ","6007", " - ","STUDENT HOURLY")</f>
        <v xml:space="preserve">          6007 - STUDENT HOURLY</v>
      </c>
      <c r="C54" s="14"/>
      <c r="D54" s="2">
        <v>22560.71</v>
      </c>
      <c r="E54" s="2">
        <v>2223</v>
      </c>
      <c r="F54" s="2">
        <v>27600</v>
      </c>
      <c r="G54" s="2">
        <v>34500</v>
      </c>
      <c r="H54" s="2">
        <v>27600</v>
      </c>
      <c r="I54" s="2">
        <v>27600</v>
      </c>
      <c r="J54" s="2">
        <v>36915</v>
      </c>
      <c r="K54" s="2">
        <v>29532</v>
      </c>
      <c r="L54" s="2">
        <v>29532</v>
      </c>
      <c r="M54" s="2">
        <v>36915</v>
      </c>
      <c r="N54" s="2">
        <v>29532</v>
      </c>
      <c r="O54" s="2">
        <v>2378.61</v>
      </c>
      <c r="P54" s="9"/>
      <c r="Q54" s="2">
        <f>SUM(OSRRefD21_1_6x)+IFERROR(SUM(OSRRefE21_1_6x),0)</f>
        <v>306888.32000000001</v>
      </c>
    </row>
    <row r="55" spans="1:17" s="34" customFormat="1" hidden="1" outlineLevel="1" x14ac:dyDescent="0.3">
      <c r="A55" s="35"/>
      <c r="B55" s="10" t="str">
        <f>CONCATENATE("          ","6008", " - ","STUDENT HOURLY-FICA EXEMPT")</f>
        <v xml:space="preserve">          6008 - STUDENT HOURLY-FICA EXEMPT</v>
      </c>
      <c r="C55" s="14"/>
      <c r="D55" s="2">
        <v>7818.19</v>
      </c>
      <c r="E55" s="2">
        <v>27600</v>
      </c>
      <c r="F55" s="2">
        <v>2223</v>
      </c>
      <c r="G55" s="2">
        <v>2778.75</v>
      </c>
      <c r="H55" s="2">
        <v>2223</v>
      </c>
      <c r="I55" s="2">
        <v>3135</v>
      </c>
      <c r="J55" s="2">
        <v>2973.2624999999998</v>
      </c>
      <c r="K55" s="2">
        <v>2378.61</v>
      </c>
      <c r="L55" s="2">
        <v>2378.61</v>
      </c>
      <c r="M55" s="2">
        <v>2973.2624999999998</v>
      </c>
      <c r="N55" s="2">
        <v>2378.61</v>
      </c>
      <c r="O55" s="2">
        <v>29532</v>
      </c>
      <c r="P55" s="9"/>
      <c r="Q55" s="2">
        <f>SUM(OSRRefD21_1_7x)+IFERROR(SUM(OSRRefE21_1_7x),0)</f>
        <v>88392.294999999998</v>
      </c>
    </row>
    <row r="56" spans="1:17" s="34" customFormat="1" hidden="1" outlineLevel="1" x14ac:dyDescent="0.3">
      <c r="A56" s="35"/>
      <c r="B56" s="10" t="str">
        <f>CONCATENATE("          ","6009", " - ","TEMPORARY-SEASONAL")</f>
        <v xml:space="preserve">          6009 - TEMPORARY-SEASONAL</v>
      </c>
      <c r="C56" s="14"/>
      <c r="D56" s="2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9"/>
      <c r="Q56" s="2">
        <f>SUM(OSRRefD21_1_8x)+IFERROR(SUM(OSRRefE21_1_8x),0)</f>
        <v>0</v>
      </c>
    </row>
    <row r="57" spans="1:17" s="34" customFormat="1" hidden="1" outlineLevel="1" x14ac:dyDescent="0.3">
      <c r="A57" s="35"/>
      <c r="B57" s="10" t="str">
        <f>CONCATENATE("          ","6010", " - ","GRATUITY")</f>
        <v xml:space="preserve">          6010 - GRATUITY</v>
      </c>
      <c r="C57" s="14"/>
      <c r="D57" s="2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9"/>
      <c r="Q57" s="2">
        <f>SUM(OSRRefD21_1_9x)+IFERROR(SUM(OSRRefE21_1_9x),0)</f>
        <v>0</v>
      </c>
    </row>
    <row r="58" spans="1:17" s="34" customFormat="1" collapsed="1" x14ac:dyDescent="0.3">
      <c r="A58" s="35"/>
      <c r="B58" s="14" t="str">
        <f>CONCATENATE("     ","Advertising/Promo                                 ")</f>
        <v xml:space="preserve">     Advertising/Promo                                 </v>
      </c>
      <c r="C58" s="14"/>
      <c r="D58" s="1">
        <f>SUM(OSRRefD21_2x_0)</f>
        <v>393.63</v>
      </c>
      <c r="E58" s="1">
        <f>SUM(OSRRefE21_2x_0)</f>
        <v>100</v>
      </c>
      <c r="F58" s="1">
        <f>SUM(OSRRefE21_2x_1)</f>
        <v>100</v>
      </c>
      <c r="G58" s="1">
        <f>SUM(OSRRefE21_2x_2)</f>
        <v>100</v>
      </c>
      <c r="H58" s="1">
        <f>SUM(OSRRefE21_2x_3)</f>
        <v>100</v>
      </c>
      <c r="I58" s="1">
        <f>SUM(OSRRefE21_2x_4)</f>
        <v>100</v>
      </c>
      <c r="J58" s="1">
        <f>SUM(OSRRefE21_2x_5)</f>
        <v>100</v>
      </c>
      <c r="K58" s="1">
        <f>SUM(OSRRefE21_2x_6)</f>
        <v>100</v>
      </c>
      <c r="L58" s="1">
        <f>SUM(OSRRefE21_2x_7)</f>
        <v>100</v>
      </c>
      <c r="M58" s="1">
        <f>SUM(OSRRefE21_2x_8)</f>
        <v>100</v>
      </c>
      <c r="N58" s="1">
        <f>SUM(OSRRefE21_2x_9)</f>
        <v>100</v>
      </c>
      <c r="O58" s="1">
        <f>SUM(OSRRefE21_2x_10)</f>
        <v>100</v>
      </c>
      <c r="Q58" s="2">
        <f>SUM(OSRRefD20_2x)+IFERROR(SUM(OSRRefE20_2x),0)</f>
        <v>1493.63</v>
      </c>
    </row>
    <row r="59" spans="1:17" s="34" customFormat="1" hidden="1" outlineLevel="1" x14ac:dyDescent="0.3">
      <c r="A59" s="35"/>
      <c r="B59" s="10" t="str">
        <f>CONCATENATE("          ","6362", " - ","ADVERTISING EXPENSE")</f>
        <v xml:space="preserve">          6362 - ADVERTISING EXPENSE</v>
      </c>
      <c r="C59" s="14"/>
      <c r="D59" s="2">
        <v>393.63</v>
      </c>
      <c r="E59" s="2">
        <v>100</v>
      </c>
      <c r="F59" s="2">
        <v>100</v>
      </c>
      <c r="G59" s="2">
        <v>100</v>
      </c>
      <c r="H59" s="2">
        <v>100</v>
      </c>
      <c r="I59" s="2">
        <v>100</v>
      </c>
      <c r="J59" s="2">
        <v>100</v>
      </c>
      <c r="K59" s="2">
        <v>100</v>
      </c>
      <c r="L59" s="2">
        <v>100</v>
      </c>
      <c r="M59" s="2">
        <v>100</v>
      </c>
      <c r="N59" s="2">
        <v>100</v>
      </c>
      <c r="O59" s="2">
        <v>100</v>
      </c>
      <c r="P59" s="9"/>
      <c r="Q59" s="2">
        <f>SUM(OSRRefD21_2_0x)+IFERROR(SUM(OSRRefE21_2_0x),0)</f>
        <v>1493.63</v>
      </c>
    </row>
    <row r="60" spans="1:17" s="34" customFormat="1" collapsed="1" x14ac:dyDescent="0.3">
      <c r="A60" s="35"/>
      <c r="B60" s="14" t="str">
        <f>CONCATENATE("     ","Bad Debts/Over/Short                              ")</f>
        <v xml:space="preserve">     Bad Debts/Over/Short                              </v>
      </c>
      <c r="C60" s="14"/>
      <c r="D60" s="1">
        <f>SUM(OSRRefD21_3x_0)</f>
        <v>0.6</v>
      </c>
      <c r="E60" s="1">
        <f>SUM(OSRRefE21_3x_0)</f>
        <v>10</v>
      </c>
      <c r="F60" s="1">
        <f>SUM(OSRRefE21_3x_1)</f>
        <v>10</v>
      </c>
      <c r="G60" s="1">
        <f>SUM(OSRRefE21_3x_2)</f>
        <v>10</v>
      </c>
      <c r="H60" s="1">
        <f>SUM(OSRRefE21_3x_3)</f>
        <v>10</v>
      </c>
      <c r="I60" s="1">
        <f>SUM(OSRRefE21_3x_4)</f>
        <v>10</v>
      </c>
      <c r="J60" s="1">
        <f>SUM(OSRRefE21_3x_5)</f>
        <v>10</v>
      </c>
      <c r="K60" s="1">
        <f>SUM(OSRRefE21_3x_6)</f>
        <v>10</v>
      </c>
      <c r="L60" s="1">
        <f>SUM(OSRRefE21_3x_7)</f>
        <v>10</v>
      </c>
      <c r="M60" s="1">
        <f>SUM(OSRRefE21_3x_8)</f>
        <v>10</v>
      </c>
      <c r="N60" s="1">
        <f>SUM(OSRRefE21_3x_9)</f>
        <v>10</v>
      </c>
      <c r="O60" s="1">
        <f>SUM(OSRRefE21_3x_10)</f>
        <v>10</v>
      </c>
      <c r="Q60" s="2">
        <f>SUM(OSRRefD20_3x)+IFERROR(SUM(OSRRefE20_3x),0)</f>
        <v>110.6</v>
      </c>
    </row>
    <row r="61" spans="1:17" s="34" customFormat="1" hidden="1" outlineLevel="1" x14ac:dyDescent="0.3">
      <c r="A61" s="35"/>
      <c r="B61" s="10" t="str">
        <f>CONCATENATE("          ","6272", " - ","CASH (OVER/SHORT)")</f>
        <v xml:space="preserve">          6272 - CASH (OVER/SHORT)</v>
      </c>
      <c r="C61" s="14"/>
      <c r="D61" s="2">
        <v>0.6</v>
      </c>
      <c r="E61" s="2">
        <v>10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v>10</v>
      </c>
      <c r="N61" s="2">
        <v>10</v>
      </c>
      <c r="O61" s="2">
        <v>10</v>
      </c>
      <c r="P61" s="9"/>
      <c r="Q61" s="2">
        <f>SUM(OSRRefD21_3_0x)+IFERROR(SUM(OSRRefE21_3_0x),0)</f>
        <v>110.6</v>
      </c>
    </row>
    <row r="62" spans="1:17" s="34" customFormat="1" collapsed="1" x14ac:dyDescent="0.3">
      <c r="A62" s="35"/>
      <c r="B62" s="14" t="str">
        <f>CONCATENATE("     ","Bank/card Fees                                    ")</f>
        <v xml:space="preserve">     Bank/card Fees                                    </v>
      </c>
      <c r="C62" s="14"/>
      <c r="D62" s="1">
        <f>SUM(OSRRefD21_4x_0)</f>
        <v>492.32</v>
      </c>
      <c r="E62" s="1">
        <f>SUM(OSRRefE21_4x_0)</f>
        <v>507</v>
      </c>
      <c r="F62" s="1">
        <f>SUM(OSRRefE21_4x_1)</f>
        <v>444</v>
      </c>
      <c r="G62" s="1">
        <f>SUM(OSRRefE21_4x_2)</f>
        <v>417</v>
      </c>
      <c r="H62" s="1">
        <f>SUM(OSRRefE21_4x_3)</f>
        <v>391</v>
      </c>
      <c r="I62" s="1">
        <f>SUM(OSRRefE21_4x_4)</f>
        <v>864</v>
      </c>
      <c r="J62" s="1">
        <f>SUM(OSRRefE21_4x_5)</f>
        <v>417</v>
      </c>
      <c r="K62" s="1">
        <f>SUM(OSRRefE21_4x_6)</f>
        <v>457</v>
      </c>
      <c r="L62" s="1">
        <f>SUM(OSRRefE21_4x_7)</f>
        <v>534</v>
      </c>
      <c r="M62" s="1">
        <f>SUM(OSRRefE21_4x_8)</f>
        <v>1188</v>
      </c>
      <c r="N62" s="1">
        <f>SUM(OSRRefE21_4x_9)</f>
        <v>1229</v>
      </c>
      <c r="O62" s="1">
        <f>SUM(OSRRefE21_4x_10)</f>
        <v>1118</v>
      </c>
      <c r="Q62" s="2">
        <f>SUM(OSRRefD20_4x)+IFERROR(SUM(OSRRefE20_4x),0)</f>
        <v>8058.32</v>
      </c>
    </row>
    <row r="63" spans="1:17" s="34" customFormat="1" hidden="1" outlineLevel="1" x14ac:dyDescent="0.3">
      <c r="A63" s="35"/>
      <c r="B63" s="10" t="str">
        <f>CONCATENATE("          ","6381", " - ","BANK/CREDIT CARD FEES")</f>
        <v xml:space="preserve">          6381 - BANK/CREDIT CARD FEES</v>
      </c>
      <c r="C63" s="14"/>
      <c r="D63" s="2">
        <v>492.32</v>
      </c>
      <c r="E63" s="2">
        <v>507</v>
      </c>
      <c r="F63" s="2">
        <v>444</v>
      </c>
      <c r="G63" s="2">
        <v>417</v>
      </c>
      <c r="H63" s="2">
        <v>391</v>
      </c>
      <c r="I63" s="2">
        <v>864</v>
      </c>
      <c r="J63" s="2">
        <v>417</v>
      </c>
      <c r="K63" s="2">
        <v>457</v>
      </c>
      <c r="L63" s="2">
        <v>534</v>
      </c>
      <c r="M63" s="2">
        <v>1188</v>
      </c>
      <c r="N63" s="2">
        <v>1229</v>
      </c>
      <c r="O63" s="2">
        <v>1118</v>
      </c>
      <c r="P63" s="9"/>
      <c r="Q63" s="2">
        <f>SUM(OSRRefD21_4_0x)+IFERROR(SUM(OSRRefE21_4_0x),0)</f>
        <v>8058.32</v>
      </c>
    </row>
    <row r="64" spans="1:17" s="34" customFormat="1" collapsed="1" x14ac:dyDescent="0.3">
      <c r="A64" s="35"/>
      <c r="B64" s="14" t="str">
        <f>CONCATENATE("     ","Employees' Appreciation                           ")</f>
        <v xml:space="preserve">     Employees' Appreciation                           </v>
      </c>
      <c r="C64" s="14"/>
      <c r="D64" s="1">
        <f>SUM(OSRRefD21_5x_0)</f>
        <v>216.44</v>
      </c>
      <c r="E64" s="1">
        <f>SUM(OSRRefE21_5x_0)</f>
        <v>75</v>
      </c>
      <c r="F64" s="1">
        <f>SUM(OSRRefE21_5x_1)</f>
        <v>75</v>
      </c>
      <c r="G64" s="1">
        <f>SUM(OSRRefE21_5x_2)</f>
        <v>75</v>
      </c>
      <c r="H64" s="1">
        <f>SUM(OSRRefE21_5x_3)</f>
        <v>75</v>
      </c>
      <c r="I64" s="1">
        <f>SUM(OSRRefE21_5x_4)</f>
        <v>75</v>
      </c>
      <c r="J64" s="1">
        <f>SUM(OSRRefE21_5x_5)</f>
        <v>75</v>
      </c>
      <c r="K64" s="1">
        <f>SUM(OSRRefE21_5x_6)</f>
        <v>75</v>
      </c>
      <c r="L64" s="1">
        <f>SUM(OSRRefE21_5x_7)</f>
        <v>75</v>
      </c>
      <c r="M64" s="1">
        <f>SUM(OSRRefE21_5x_8)</f>
        <v>75</v>
      </c>
      <c r="N64" s="1">
        <f>SUM(OSRRefE21_5x_9)</f>
        <v>75</v>
      </c>
      <c r="O64" s="1">
        <f>SUM(OSRRefE21_5x_10)</f>
        <v>75</v>
      </c>
      <c r="Q64" s="2">
        <f>SUM(OSRRefD20_5x)+IFERROR(SUM(OSRRefE20_5x),0)</f>
        <v>1041.44</v>
      </c>
    </row>
    <row r="65" spans="1:17" s="34" customFormat="1" hidden="1" outlineLevel="1" x14ac:dyDescent="0.3">
      <c r="A65" s="35"/>
      <c r="B65" s="10" t="str">
        <f>CONCATENATE("          ","6277", " - ","EMPLOYEE APPRECIATION")</f>
        <v xml:space="preserve">          6277 - EMPLOYEE APPRECIATION</v>
      </c>
      <c r="C65" s="14"/>
      <c r="D65" s="2">
        <v>216.44</v>
      </c>
      <c r="E65" s="2">
        <v>75</v>
      </c>
      <c r="F65" s="2">
        <v>75</v>
      </c>
      <c r="G65" s="2">
        <v>75</v>
      </c>
      <c r="H65" s="2">
        <v>75</v>
      </c>
      <c r="I65" s="2">
        <v>75</v>
      </c>
      <c r="J65" s="2">
        <v>75</v>
      </c>
      <c r="K65" s="2">
        <v>75</v>
      </c>
      <c r="L65" s="2">
        <v>75</v>
      </c>
      <c r="M65" s="2">
        <v>75</v>
      </c>
      <c r="N65" s="2">
        <v>75</v>
      </c>
      <c r="O65" s="2">
        <v>75</v>
      </c>
      <c r="P65" s="9"/>
      <c r="Q65" s="2">
        <f>SUM(OSRRefD21_5_0x)+IFERROR(SUM(OSRRefE21_5_0x),0)</f>
        <v>1041.44</v>
      </c>
    </row>
    <row r="66" spans="1:17" s="34" customFormat="1" collapsed="1" x14ac:dyDescent="0.3">
      <c r="A66" s="35"/>
      <c r="B66" s="14" t="str">
        <f>CONCATENATE("     ","Freight out/Postage                               ")</f>
        <v xml:space="preserve">     Freight out/Postage                               </v>
      </c>
      <c r="C66" s="14"/>
      <c r="D66" s="1">
        <f>SUM(OSRRefD21_6x_0)</f>
        <v>857.13</v>
      </c>
      <c r="E66" s="1">
        <f>SUM(OSRRefE21_6x_0)</f>
        <v>50</v>
      </c>
      <c r="F66" s="1">
        <f>SUM(OSRRefE21_6x_1)</f>
        <v>50</v>
      </c>
      <c r="G66" s="1">
        <f>SUM(OSRRefE21_6x_2)</f>
        <v>50</v>
      </c>
      <c r="H66" s="1">
        <f>SUM(OSRRefE21_6x_3)</f>
        <v>50</v>
      </c>
      <c r="I66" s="1">
        <f>SUM(OSRRefE21_6x_4)</f>
        <v>50</v>
      </c>
      <c r="J66" s="1">
        <f>SUM(OSRRefE21_6x_5)</f>
        <v>50</v>
      </c>
      <c r="K66" s="1">
        <f>SUM(OSRRefE21_6x_6)</f>
        <v>50</v>
      </c>
      <c r="L66" s="1">
        <f>SUM(OSRRefE21_6x_7)</f>
        <v>50</v>
      </c>
      <c r="M66" s="1">
        <f>SUM(OSRRefE21_6x_8)</f>
        <v>50</v>
      </c>
      <c r="N66" s="1">
        <f>SUM(OSRRefE21_6x_9)</f>
        <v>50</v>
      </c>
      <c r="O66" s="1">
        <f>SUM(OSRRefE21_6x_10)</f>
        <v>50</v>
      </c>
      <c r="Q66" s="2">
        <f>SUM(OSRRefD20_6x)+IFERROR(SUM(OSRRefE20_6x),0)</f>
        <v>1407.13</v>
      </c>
    </row>
    <row r="67" spans="1:17" s="34" customFormat="1" hidden="1" outlineLevel="1" x14ac:dyDescent="0.3">
      <c r="A67" s="35"/>
      <c r="B67" s="10" t="str">
        <f>CONCATENATE("          ","6305", " - ","FREIGHT OUT")</f>
        <v xml:space="preserve">          6305 - FREIGHT OUT</v>
      </c>
      <c r="C67" s="14"/>
      <c r="D67" s="2">
        <v>845.71</v>
      </c>
      <c r="E67" s="2">
        <v>50</v>
      </c>
      <c r="F67" s="2">
        <v>50</v>
      </c>
      <c r="G67" s="2">
        <v>50</v>
      </c>
      <c r="H67" s="2">
        <v>50</v>
      </c>
      <c r="I67" s="2">
        <v>50</v>
      </c>
      <c r="J67" s="2">
        <v>50</v>
      </c>
      <c r="K67" s="2">
        <v>50</v>
      </c>
      <c r="L67" s="2">
        <v>50</v>
      </c>
      <c r="M67" s="2">
        <v>50</v>
      </c>
      <c r="N67" s="2">
        <v>50</v>
      </c>
      <c r="O67" s="2">
        <v>50</v>
      </c>
      <c r="P67" s="9"/>
      <c r="Q67" s="2">
        <f>SUM(OSRRefD21_6_0x)+IFERROR(SUM(OSRRefE21_6_0x),0)</f>
        <v>1395.71</v>
      </c>
    </row>
    <row r="68" spans="1:17" s="34" customFormat="1" hidden="1" outlineLevel="1" x14ac:dyDescent="0.3">
      <c r="A68" s="35"/>
      <c r="B68" s="10" t="str">
        <f>CONCATENATE("          ","6307", " - ","POSTAGE")</f>
        <v xml:space="preserve">          6307 - POSTAGE</v>
      </c>
      <c r="C68" s="14"/>
      <c r="D68" s="2">
        <v>11.42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2">
        <f>SUM(OSRRefD21_6_1x)+IFERROR(SUM(OSRRefE21_6_1x),0)</f>
        <v>11.42</v>
      </c>
    </row>
    <row r="69" spans="1:17" s="34" customFormat="1" collapsed="1" x14ac:dyDescent="0.3">
      <c r="A69" s="35"/>
      <c r="B69" s="14" t="str">
        <f>CONCATENATE("     ","General                                           ")</f>
        <v xml:space="preserve">     General                                           </v>
      </c>
      <c r="C69" s="14"/>
      <c r="D69" s="1">
        <f>SUM(OSRRefD21_7x_0)</f>
        <v>0</v>
      </c>
      <c r="E69" s="1">
        <f>SUM(OSRRefE21_7x_0)</f>
        <v>0</v>
      </c>
      <c r="F69" s="1">
        <f>SUM(OSRRefE21_7x_1)</f>
        <v>0</v>
      </c>
      <c r="G69" s="1">
        <f>SUM(OSRRefE21_7x_2)</f>
        <v>0</v>
      </c>
      <c r="H69" s="1">
        <f>SUM(OSRRefE21_7x_3)</f>
        <v>0</v>
      </c>
      <c r="I69" s="1">
        <f>SUM(OSRRefE21_7x_4)</f>
        <v>1125</v>
      </c>
      <c r="J69" s="1">
        <f>SUM(OSRRefE21_7x_5)</f>
        <v>0</v>
      </c>
      <c r="K69" s="1">
        <f>SUM(OSRRefE21_7x_6)</f>
        <v>0</v>
      </c>
      <c r="L69" s="1">
        <f>SUM(OSRRefE21_7x_7)</f>
        <v>0</v>
      </c>
      <c r="M69" s="1">
        <f>SUM(OSRRefE21_7x_8)</f>
        <v>0</v>
      </c>
      <c r="N69" s="1">
        <f>SUM(OSRRefE21_7x_9)</f>
        <v>0</v>
      </c>
      <c r="O69" s="1">
        <f>SUM(OSRRefE21_7x_10)</f>
        <v>1000</v>
      </c>
      <c r="Q69" s="2">
        <f>SUM(OSRRefD20_7x)+IFERROR(SUM(OSRRefE20_7x),0)</f>
        <v>2125</v>
      </c>
    </row>
    <row r="70" spans="1:17" s="34" customFormat="1" hidden="1" outlineLevel="1" x14ac:dyDescent="0.3">
      <c r="A70" s="35"/>
      <c r="B70" s="10" t="str">
        <f>CONCATENATE("          ","6276", " - ","PROPERTY TAX")</f>
        <v xml:space="preserve">          6276 - PROPERTY TAX</v>
      </c>
      <c r="C70" s="14"/>
      <c r="D70" s="2"/>
      <c r="E70" s="2"/>
      <c r="F70" s="2"/>
      <c r="G70" s="2"/>
      <c r="H70" s="2"/>
      <c r="I70" s="2">
        <v>1125</v>
      </c>
      <c r="J70" s="2"/>
      <c r="K70" s="2"/>
      <c r="L70" s="2"/>
      <c r="M70" s="2"/>
      <c r="N70" s="2"/>
      <c r="O70" s="2"/>
      <c r="P70" s="9"/>
      <c r="Q70" s="2">
        <f>SUM(OSRRefD21_7_0x)+IFERROR(SUM(OSRRefE21_7_0x),0)</f>
        <v>1125</v>
      </c>
    </row>
    <row r="71" spans="1:17" s="34" customFormat="1" hidden="1" outlineLevel="1" x14ac:dyDescent="0.3">
      <c r="A71" s="35"/>
      <c r="B71" s="10" t="str">
        <f>CONCATENATE("          ","6279", " - ","GENERAL EXPENSE")</f>
        <v xml:space="preserve">          6279 - GENERAL EXPENSE</v>
      </c>
      <c r="C71" s="14"/>
      <c r="D71" s="2"/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1000</v>
      </c>
      <c r="P71" s="9"/>
      <c r="Q71" s="2">
        <f>SUM(OSRRefD21_7_1x)+IFERROR(SUM(OSRRefE21_7_1x),0)</f>
        <v>1000</v>
      </c>
    </row>
    <row r="72" spans="1:17" s="34" customFormat="1" collapsed="1" x14ac:dyDescent="0.3">
      <c r="A72" s="35"/>
      <c r="B72" s="14" t="str">
        <f>CONCATENATE("     ","Insurance                                         ")</f>
        <v xml:space="preserve">     Insurance                                         </v>
      </c>
      <c r="C72" s="14"/>
      <c r="D72" s="1">
        <f>SUM(OSRRefD21_8x_0)</f>
        <v>219.08</v>
      </c>
      <c r="E72" s="1">
        <f>SUM(OSRRefE21_8x_0)</f>
        <v>175</v>
      </c>
      <c r="F72" s="1">
        <f>SUM(OSRRefE21_8x_1)</f>
        <v>175</v>
      </c>
      <c r="G72" s="1">
        <f>SUM(OSRRefE21_8x_2)</f>
        <v>175</v>
      </c>
      <c r="H72" s="1">
        <f>SUM(OSRRefE21_8x_3)</f>
        <v>175</v>
      </c>
      <c r="I72" s="1">
        <f>SUM(OSRRefE21_8x_4)</f>
        <v>175</v>
      </c>
      <c r="J72" s="1">
        <f>SUM(OSRRefE21_8x_5)</f>
        <v>175</v>
      </c>
      <c r="K72" s="1">
        <f>SUM(OSRRefE21_8x_6)</f>
        <v>175</v>
      </c>
      <c r="L72" s="1">
        <f>SUM(OSRRefE21_8x_7)</f>
        <v>175</v>
      </c>
      <c r="M72" s="1">
        <f>SUM(OSRRefE21_8x_8)</f>
        <v>175</v>
      </c>
      <c r="N72" s="1">
        <f>SUM(OSRRefE21_8x_9)</f>
        <v>175</v>
      </c>
      <c r="O72" s="1">
        <f>SUM(OSRRefE21_8x_10)</f>
        <v>175</v>
      </c>
      <c r="Q72" s="2">
        <f>SUM(OSRRefD20_8x)+IFERROR(SUM(OSRRefE20_8x),0)</f>
        <v>2144.08</v>
      </c>
    </row>
    <row r="73" spans="1:17" s="34" customFormat="1" hidden="1" outlineLevel="1" x14ac:dyDescent="0.3">
      <c r="A73" s="35"/>
      <c r="B73" s="10" t="str">
        <f>CONCATENATE("          ","6314", " - ","LIABILITY INSURANCE")</f>
        <v xml:space="preserve">          6314 - LIABILITY INSURANCE</v>
      </c>
      <c r="C73" s="14"/>
      <c r="D73" s="2">
        <v>219.08</v>
      </c>
      <c r="E73" s="2">
        <v>175</v>
      </c>
      <c r="F73" s="2">
        <v>175</v>
      </c>
      <c r="G73" s="2">
        <v>175</v>
      </c>
      <c r="H73" s="2">
        <v>175</v>
      </c>
      <c r="I73" s="2">
        <v>175</v>
      </c>
      <c r="J73" s="2">
        <v>175</v>
      </c>
      <c r="K73" s="2">
        <v>175</v>
      </c>
      <c r="L73" s="2">
        <v>175</v>
      </c>
      <c r="M73" s="2">
        <v>175</v>
      </c>
      <c r="N73" s="2">
        <v>175</v>
      </c>
      <c r="O73" s="2">
        <v>175</v>
      </c>
      <c r="P73" s="9"/>
      <c r="Q73" s="2">
        <f>SUM(OSRRefD21_8_0x)+IFERROR(SUM(OSRRefE21_8_0x),0)</f>
        <v>2144.08</v>
      </c>
    </row>
    <row r="74" spans="1:17" s="34" customFormat="1" collapsed="1" x14ac:dyDescent="0.3">
      <c r="A74" s="35"/>
      <c r="B74" s="14" t="str">
        <f>CONCATENATE("     ","Inventory Adjustment                              ")</f>
        <v xml:space="preserve">     Inventory Adjustment                              </v>
      </c>
      <c r="C74" s="14"/>
      <c r="D74" s="1">
        <f>SUM(OSRRefD21_9x_0)</f>
        <v>3450</v>
      </c>
      <c r="E74" s="1">
        <f>SUM(OSRRefE21_9x_0)</f>
        <v>3450</v>
      </c>
      <c r="F74" s="1">
        <f>SUM(OSRRefE21_9x_1)</f>
        <v>3450</v>
      </c>
      <c r="G74" s="1">
        <f>SUM(OSRRefE21_9x_2)</f>
        <v>3450</v>
      </c>
      <c r="H74" s="1">
        <f>SUM(OSRRefE21_9x_3)</f>
        <v>3450</v>
      </c>
      <c r="I74" s="1">
        <f>SUM(OSRRefE21_9x_4)</f>
        <v>3450</v>
      </c>
      <c r="J74" s="1">
        <f>SUM(OSRRefE21_9x_5)</f>
        <v>3450</v>
      </c>
      <c r="K74" s="1">
        <f>SUM(OSRRefE21_9x_6)</f>
        <v>3450</v>
      </c>
      <c r="L74" s="1">
        <f>SUM(OSRRefE21_9x_7)</f>
        <v>3450</v>
      </c>
      <c r="M74" s="1">
        <f>SUM(OSRRefE21_9x_8)</f>
        <v>3450</v>
      </c>
      <c r="N74" s="1">
        <f>SUM(OSRRefE21_9x_9)</f>
        <v>3450</v>
      </c>
      <c r="O74" s="1">
        <f>SUM(OSRRefE21_9x_10)</f>
        <v>3450</v>
      </c>
      <c r="Q74" s="2">
        <f>SUM(OSRRefD20_9x)+IFERROR(SUM(OSRRefE20_9x),0)</f>
        <v>41400</v>
      </c>
    </row>
    <row r="75" spans="1:17" s="34" customFormat="1" hidden="1" outlineLevel="1" x14ac:dyDescent="0.3">
      <c r="A75" s="35"/>
      <c r="B75" s="10" t="str">
        <f>CONCATENATE("          ","6408", " - ","INVENTORY ADJUSTMENT")</f>
        <v xml:space="preserve">          6408 - INVENTORY ADJUSTMENT</v>
      </c>
      <c r="C75" s="14"/>
      <c r="D75" s="2">
        <v>3450</v>
      </c>
      <c r="E75" s="2">
        <v>3450</v>
      </c>
      <c r="F75" s="2">
        <v>3450</v>
      </c>
      <c r="G75" s="2">
        <v>3450</v>
      </c>
      <c r="H75" s="2">
        <v>3450</v>
      </c>
      <c r="I75" s="2">
        <v>3450</v>
      </c>
      <c r="J75" s="2">
        <v>3450</v>
      </c>
      <c r="K75" s="2">
        <v>3450</v>
      </c>
      <c r="L75" s="2">
        <v>3450</v>
      </c>
      <c r="M75" s="2">
        <v>3450</v>
      </c>
      <c r="N75" s="2">
        <v>3450</v>
      </c>
      <c r="O75" s="2">
        <v>3450</v>
      </c>
      <c r="P75" s="9"/>
      <c r="Q75" s="2">
        <f>SUM(OSRRefD21_9_0x)+IFERROR(SUM(OSRRefE21_9_0x),0)</f>
        <v>41400</v>
      </c>
    </row>
    <row r="76" spans="1:17" s="34" customFormat="1" collapsed="1" x14ac:dyDescent="0.3">
      <c r="A76" s="35"/>
      <c r="B76" s="14" t="str">
        <f>CONCATENATE("     ","Professional Services                             ")</f>
        <v xml:space="preserve">     Professional Services                             </v>
      </c>
      <c r="C76" s="14"/>
      <c r="D76" s="1">
        <f>SUM(OSRRefD21_10x_0)</f>
        <v>0</v>
      </c>
      <c r="E76" s="1">
        <f>SUM(OSRRefE21_10x_0)</f>
        <v>0</v>
      </c>
      <c r="F76" s="1">
        <f>SUM(OSRRefE21_10x_1)</f>
        <v>0</v>
      </c>
      <c r="G76" s="1">
        <f>SUM(OSRRefE21_10x_2)</f>
        <v>250</v>
      </c>
      <c r="H76" s="1">
        <f>SUM(OSRRefE21_10x_3)</f>
        <v>0</v>
      </c>
      <c r="I76" s="1">
        <f>SUM(OSRRefE21_10x_4)</f>
        <v>0</v>
      </c>
      <c r="J76" s="1">
        <f>SUM(OSRRefE21_10x_5)</f>
        <v>250</v>
      </c>
      <c r="K76" s="1">
        <f>SUM(OSRRefE21_10x_6)</f>
        <v>0</v>
      </c>
      <c r="L76" s="1">
        <f>SUM(OSRRefE21_10x_7)</f>
        <v>0</v>
      </c>
      <c r="M76" s="1">
        <f>SUM(OSRRefE21_10x_8)</f>
        <v>250</v>
      </c>
      <c r="N76" s="1">
        <f>SUM(OSRRefE21_10x_9)</f>
        <v>0</v>
      </c>
      <c r="O76" s="1">
        <f>SUM(OSRRefE21_10x_10)</f>
        <v>0</v>
      </c>
      <c r="Q76" s="2">
        <f>SUM(OSRRefD20_10x)+IFERROR(SUM(OSRRefE20_10x),0)</f>
        <v>750</v>
      </c>
    </row>
    <row r="77" spans="1:17" s="34" customFormat="1" hidden="1" outlineLevel="1" x14ac:dyDescent="0.3">
      <c r="A77" s="35"/>
      <c r="B77" s="10" t="str">
        <f>CONCATENATE("          ","6336", " - ","PROFESSIONAL SERVICES")</f>
        <v xml:space="preserve">          6336 - PROFESSIONAL SERVICES</v>
      </c>
      <c r="C77" s="14"/>
      <c r="D77" s="2"/>
      <c r="E77" s="2">
        <v>0</v>
      </c>
      <c r="F77" s="2">
        <v>0</v>
      </c>
      <c r="G77" s="2">
        <v>250</v>
      </c>
      <c r="H77" s="2">
        <v>0</v>
      </c>
      <c r="I77" s="2">
        <v>0</v>
      </c>
      <c r="J77" s="2">
        <v>250</v>
      </c>
      <c r="K77" s="2">
        <v>0</v>
      </c>
      <c r="L77" s="2">
        <v>0</v>
      </c>
      <c r="M77" s="2">
        <v>250</v>
      </c>
      <c r="N77" s="2">
        <v>0</v>
      </c>
      <c r="O77" s="2">
        <v>0</v>
      </c>
      <c r="P77" s="9"/>
      <c r="Q77" s="2">
        <f>SUM(OSRRefD21_10_0x)+IFERROR(SUM(OSRRefE21_10_0x),0)</f>
        <v>750</v>
      </c>
    </row>
    <row r="78" spans="1:17" s="34" customFormat="1" collapsed="1" x14ac:dyDescent="0.3">
      <c r="A78" s="35"/>
      <c r="B78" s="14" t="str">
        <f>CONCATENATE("     ","Rent                                              ")</f>
        <v xml:space="preserve">     Rent                                              </v>
      </c>
      <c r="C78" s="14"/>
      <c r="D78" s="1">
        <f>SUM(OSRRefD21_11x_0)</f>
        <v>6900</v>
      </c>
      <c r="E78" s="1">
        <f>SUM(OSRRefE21_11x_0)</f>
        <v>6900</v>
      </c>
      <c r="F78" s="1">
        <f>SUM(OSRRefE21_11x_1)</f>
        <v>6900</v>
      </c>
      <c r="G78" s="1">
        <f>SUM(OSRRefE21_11x_2)</f>
        <v>6900</v>
      </c>
      <c r="H78" s="1">
        <f>SUM(OSRRefE21_11x_3)</f>
        <v>6900</v>
      </c>
      <c r="I78" s="1">
        <f>SUM(OSRRefE21_11x_4)</f>
        <v>6900</v>
      </c>
      <c r="J78" s="1">
        <f>SUM(OSRRefE21_11x_5)</f>
        <v>6900</v>
      </c>
      <c r="K78" s="1">
        <f>SUM(OSRRefE21_11x_6)</f>
        <v>6900</v>
      </c>
      <c r="L78" s="1">
        <f>SUM(OSRRefE21_11x_7)</f>
        <v>6900</v>
      </c>
      <c r="M78" s="1">
        <f>SUM(OSRRefE21_11x_8)</f>
        <v>6900</v>
      </c>
      <c r="N78" s="1">
        <f>SUM(OSRRefE21_11x_9)</f>
        <v>6900</v>
      </c>
      <c r="O78" s="1">
        <f>SUM(OSRRefE21_11x_10)</f>
        <v>6900</v>
      </c>
      <c r="Q78" s="2">
        <f>SUM(OSRRefD20_11x)+IFERROR(SUM(OSRRefE20_11x),0)</f>
        <v>82800</v>
      </c>
    </row>
    <row r="79" spans="1:17" s="34" customFormat="1" hidden="1" outlineLevel="1" x14ac:dyDescent="0.3">
      <c r="A79" s="35"/>
      <c r="B79" s="10" t="str">
        <f>CONCATENATE("          ","6273", " - ","RENT")</f>
        <v xml:space="preserve">          6273 - RENT</v>
      </c>
      <c r="C79" s="14"/>
      <c r="D79" s="2">
        <v>6900</v>
      </c>
      <c r="E79" s="2">
        <v>6900</v>
      </c>
      <c r="F79" s="2">
        <v>6900</v>
      </c>
      <c r="G79" s="2">
        <v>6900</v>
      </c>
      <c r="H79" s="2">
        <v>6900</v>
      </c>
      <c r="I79" s="2">
        <v>6900</v>
      </c>
      <c r="J79" s="2">
        <v>6900</v>
      </c>
      <c r="K79" s="2">
        <v>6900</v>
      </c>
      <c r="L79" s="2">
        <v>6900</v>
      </c>
      <c r="M79" s="2">
        <v>6900</v>
      </c>
      <c r="N79" s="2">
        <v>6900</v>
      </c>
      <c r="O79" s="2">
        <v>6900</v>
      </c>
      <c r="P79" s="9"/>
      <c r="Q79" s="2">
        <f>SUM(OSRRefD21_11_0x)+IFERROR(SUM(OSRRefE21_11_0x),0)</f>
        <v>82800</v>
      </c>
    </row>
    <row r="80" spans="1:17" s="34" customFormat="1" collapsed="1" x14ac:dyDescent="0.3">
      <c r="A80" s="35"/>
      <c r="B80" s="14" t="str">
        <f>CONCATENATE("     ","Repair and Maintenance                            ")</f>
        <v xml:space="preserve">     Repair and Maintenance                            </v>
      </c>
      <c r="C80" s="14"/>
      <c r="D80" s="1">
        <f>SUM(OSRRefD21_12x_0)</f>
        <v>0</v>
      </c>
      <c r="E80" s="1">
        <f>SUM(OSRRefE21_12x_0)</f>
        <v>115</v>
      </c>
      <c r="F80" s="1">
        <f>SUM(OSRRefE21_12x_1)</f>
        <v>115</v>
      </c>
      <c r="G80" s="1">
        <f>SUM(OSRRefE21_12x_2)</f>
        <v>115</v>
      </c>
      <c r="H80" s="1">
        <f>SUM(OSRRefE21_12x_3)</f>
        <v>115</v>
      </c>
      <c r="I80" s="1">
        <f>SUM(OSRRefE21_12x_4)</f>
        <v>115</v>
      </c>
      <c r="J80" s="1">
        <f>SUM(OSRRefE21_12x_5)</f>
        <v>615</v>
      </c>
      <c r="K80" s="1">
        <f>SUM(OSRRefE21_12x_6)</f>
        <v>115</v>
      </c>
      <c r="L80" s="1">
        <f>SUM(OSRRefE21_12x_7)</f>
        <v>115</v>
      </c>
      <c r="M80" s="1">
        <f>SUM(OSRRefE21_12x_8)</f>
        <v>115</v>
      </c>
      <c r="N80" s="1">
        <f>SUM(OSRRefE21_12x_9)</f>
        <v>115</v>
      </c>
      <c r="O80" s="1">
        <f>SUM(OSRRefE21_12x_10)</f>
        <v>115</v>
      </c>
      <c r="Q80" s="2">
        <f>SUM(OSRRefD20_12x)+IFERROR(SUM(OSRRefE20_12x),0)</f>
        <v>1765</v>
      </c>
    </row>
    <row r="81" spans="1:17" s="34" customFormat="1" hidden="1" outlineLevel="1" x14ac:dyDescent="0.3">
      <c r="A81" s="35"/>
      <c r="B81" s="10" t="str">
        <f>CONCATENATE("          ","6373", " - ","MAINTENANCE CONTRACTS")</f>
        <v xml:space="preserve">          6373 - MAINTENANCE CONTRACTS</v>
      </c>
      <c r="C81" s="14"/>
      <c r="D81" s="2"/>
      <c r="E81" s="2">
        <v>115</v>
      </c>
      <c r="F81" s="2">
        <v>115</v>
      </c>
      <c r="G81" s="2">
        <v>115</v>
      </c>
      <c r="H81" s="2">
        <v>115</v>
      </c>
      <c r="I81" s="2">
        <v>115</v>
      </c>
      <c r="J81" s="2">
        <v>115</v>
      </c>
      <c r="K81" s="2">
        <v>115</v>
      </c>
      <c r="L81" s="2">
        <v>115</v>
      </c>
      <c r="M81" s="2">
        <v>115</v>
      </c>
      <c r="N81" s="2">
        <v>115</v>
      </c>
      <c r="O81" s="2">
        <v>115</v>
      </c>
      <c r="P81" s="9"/>
      <c r="Q81" s="2">
        <f>SUM(OSRRefD21_12_0x)+IFERROR(SUM(OSRRefE21_12_0x),0)</f>
        <v>1265</v>
      </c>
    </row>
    <row r="82" spans="1:17" s="34" customFormat="1" hidden="1" outlineLevel="1" x14ac:dyDescent="0.3">
      <c r="A82" s="35"/>
      <c r="B82" s="10" t="str">
        <f>CONCATENATE("          ","6375", " - ","OUTSIDE REPAIRS &amp; MAINTENANCE")</f>
        <v xml:space="preserve">          6375 - OUTSIDE REPAIRS &amp; MAINTENANCE</v>
      </c>
      <c r="C82" s="14"/>
      <c r="D82" s="2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500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9"/>
      <c r="Q82" s="2">
        <f>SUM(OSRRefD21_12_1x)+IFERROR(SUM(OSRRefE21_12_1x),0)</f>
        <v>500</v>
      </c>
    </row>
    <row r="83" spans="1:17" s="34" customFormat="1" collapsed="1" x14ac:dyDescent="0.3">
      <c r="A83" s="35"/>
      <c r="B83" s="14" t="str">
        <f>CONCATENATE("     ","Royalty &amp; Commissions                             ")</f>
        <v xml:space="preserve">     Royalty &amp; Commissions                             </v>
      </c>
      <c r="C83" s="14"/>
      <c r="D83" s="1">
        <f>SUM(OSRRefD21_13x_0)</f>
        <v>7349.0400000000009</v>
      </c>
      <c r="E83" s="1">
        <f>SUM(OSRRefE21_13x_0)</f>
        <v>2080</v>
      </c>
      <c r="F83" s="1">
        <f>SUM(OSRRefE21_13x_1)</f>
        <v>1266</v>
      </c>
      <c r="G83" s="1">
        <f>SUM(OSRRefE21_13x_2)</f>
        <v>11612</v>
      </c>
      <c r="H83" s="1">
        <f>SUM(OSRRefE21_13x_3)</f>
        <v>3014</v>
      </c>
      <c r="I83" s="1">
        <f>SUM(OSRRefE21_13x_4)</f>
        <v>1906</v>
      </c>
      <c r="J83" s="1">
        <f>SUM(OSRRefE21_13x_5)</f>
        <v>9106</v>
      </c>
      <c r="K83" s="1">
        <f>SUM(OSRRefE21_13x_6)</f>
        <v>1446</v>
      </c>
      <c r="L83" s="1">
        <f>SUM(OSRRefE21_13x_7)</f>
        <v>2085</v>
      </c>
      <c r="M83" s="1">
        <f>SUM(OSRRefE21_13x_8)</f>
        <v>16503</v>
      </c>
      <c r="N83" s="1">
        <f>SUM(OSRRefE21_13x_9)</f>
        <v>3156</v>
      </c>
      <c r="O83" s="1">
        <f>SUM(OSRRefE21_13x_10)</f>
        <v>3322</v>
      </c>
      <c r="Q83" s="2">
        <f>SUM(OSRRefD20_13x)+IFERROR(SUM(OSRRefE20_13x),0)</f>
        <v>62845.04</v>
      </c>
    </row>
    <row r="84" spans="1:17" s="34" customFormat="1" hidden="1" outlineLevel="1" x14ac:dyDescent="0.3">
      <c r="A84" s="35"/>
      <c r="B84" s="10" t="str">
        <f>CONCATENATE("          ","6252", " - ","ROYALTY DUE CSTV")</f>
        <v xml:space="preserve">          6252 - ROYALTY DUE CSTV</v>
      </c>
      <c r="C84" s="14"/>
      <c r="D84" s="2"/>
      <c r="E84" s="2">
        <v>2080</v>
      </c>
      <c r="F84" s="2">
        <v>1266</v>
      </c>
      <c r="G84" s="2">
        <v>1122</v>
      </c>
      <c r="H84" s="2">
        <v>3014</v>
      </c>
      <c r="I84" s="2">
        <v>1906</v>
      </c>
      <c r="J84" s="2">
        <v>821</v>
      </c>
      <c r="K84" s="2">
        <v>446</v>
      </c>
      <c r="L84" s="2">
        <v>1085</v>
      </c>
      <c r="M84" s="2">
        <v>948</v>
      </c>
      <c r="N84" s="2">
        <v>2156</v>
      </c>
      <c r="O84" s="2">
        <v>3322</v>
      </c>
      <c r="P84" s="9"/>
      <c r="Q84" s="2">
        <f>SUM(OSRRefD21_13_0x)+IFERROR(SUM(OSRRefE21_13_0x),0)</f>
        <v>18166</v>
      </c>
    </row>
    <row r="85" spans="1:17" s="34" customFormat="1" hidden="1" outlineLevel="1" x14ac:dyDescent="0.3">
      <c r="A85" s="35"/>
      <c r="B85" s="10" t="str">
        <f>CONCATENATE("          ","6253", " - ","ROYALTY DUE ATHLETICS-LRG")</f>
        <v xml:space="preserve">          6253 - ROYALTY DUE ATHLETICS-LRG</v>
      </c>
      <c r="C85" s="14"/>
      <c r="D85" s="2">
        <v>14376.54</v>
      </c>
      <c r="E85" s="2">
        <v>0</v>
      </c>
      <c r="F85" s="2">
        <v>0</v>
      </c>
      <c r="G85" s="2">
        <v>10490</v>
      </c>
      <c r="H85" s="2">
        <v>0</v>
      </c>
      <c r="I85" s="2">
        <v>0</v>
      </c>
      <c r="J85" s="2">
        <v>7785</v>
      </c>
      <c r="K85" s="2">
        <v>0</v>
      </c>
      <c r="L85" s="2">
        <v>0</v>
      </c>
      <c r="M85" s="2">
        <v>14555</v>
      </c>
      <c r="N85" s="2">
        <v>0</v>
      </c>
      <c r="O85" s="2">
        <v>0</v>
      </c>
      <c r="P85" s="9"/>
      <c r="Q85" s="2">
        <f>SUM(OSRRefD21_13_1x)+IFERROR(SUM(OSRRefE21_13_1x),0)</f>
        <v>47206.54</v>
      </c>
    </row>
    <row r="86" spans="1:17" s="34" customFormat="1" hidden="1" outlineLevel="1" x14ac:dyDescent="0.3">
      <c r="A86" s="35"/>
      <c r="B86" s="10" t="str">
        <f>CONCATENATE("          ","6254", " - ","ROYALTY &amp; COMMISSIONS")</f>
        <v xml:space="preserve">          6254 - ROYALTY &amp; COMMISSIONS</v>
      </c>
      <c r="C86" s="14"/>
      <c r="D86" s="2">
        <v>-7027.5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500</v>
      </c>
      <c r="K86" s="2">
        <v>1000</v>
      </c>
      <c r="L86" s="2">
        <v>1000</v>
      </c>
      <c r="M86" s="2">
        <v>1000</v>
      </c>
      <c r="N86" s="2">
        <v>1000</v>
      </c>
      <c r="O86" s="2">
        <v>0</v>
      </c>
      <c r="P86" s="9"/>
      <c r="Q86" s="2">
        <f>SUM(OSRRefD21_13_2x)+IFERROR(SUM(OSRRefE21_13_2x),0)</f>
        <v>-2527.5</v>
      </c>
    </row>
    <row r="87" spans="1:17" s="34" customFormat="1" collapsed="1" x14ac:dyDescent="0.3">
      <c r="A87" s="35"/>
      <c r="B87" s="14" t="str">
        <f>CONCATENATE("     ","Services                                          ")</f>
        <v xml:space="preserve">     Services                                          </v>
      </c>
      <c r="C87" s="14"/>
      <c r="D87" s="1">
        <f>SUM(OSRRefD21_14x_0)</f>
        <v>155.59</v>
      </c>
      <c r="E87" s="1">
        <f>SUM(OSRRefE21_14x_0)</f>
        <v>60</v>
      </c>
      <c r="F87" s="1">
        <f>SUM(OSRRefE21_14x_1)</f>
        <v>120</v>
      </c>
      <c r="G87" s="1">
        <f>SUM(OSRRefE21_14x_2)</f>
        <v>60</v>
      </c>
      <c r="H87" s="1">
        <f>SUM(OSRRefE21_14x_3)</f>
        <v>60</v>
      </c>
      <c r="I87" s="1">
        <f>SUM(OSRRefE21_14x_4)</f>
        <v>120</v>
      </c>
      <c r="J87" s="1">
        <f>SUM(OSRRefE21_14x_5)</f>
        <v>60</v>
      </c>
      <c r="K87" s="1">
        <f>SUM(OSRRefE21_14x_6)</f>
        <v>60</v>
      </c>
      <c r="L87" s="1">
        <f>SUM(OSRRefE21_14x_7)</f>
        <v>120</v>
      </c>
      <c r="M87" s="1">
        <f>SUM(OSRRefE21_14x_8)</f>
        <v>60</v>
      </c>
      <c r="N87" s="1">
        <f>SUM(OSRRefE21_14x_9)</f>
        <v>60</v>
      </c>
      <c r="O87" s="1">
        <f>SUM(OSRRefE21_14x_10)</f>
        <v>120</v>
      </c>
      <c r="Q87" s="2">
        <f>SUM(OSRRefD20_14x)+IFERROR(SUM(OSRRefE20_14x),0)</f>
        <v>1055.5899999999999</v>
      </c>
    </row>
    <row r="88" spans="1:17" s="34" customFormat="1" hidden="1" outlineLevel="1" x14ac:dyDescent="0.3">
      <c r="A88" s="35"/>
      <c r="B88" s="10" t="str">
        <f>CONCATENATE("          ","6284", " - ","TRASH REMOVAL EXPENSE")</f>
        <v xml:space="preserve">          6284 - TRASH REMOVAL EXPENSE</v>
      </c>
      <c r="C88" s="14"/>
      <c r="D88" s="2">
        <v>142.57</v>
      </c>
      <c r="E88" s="2">
        <v>60</v>
      </c>
      <c r="F88" s="2">
        <v>120</v>
      </c>
      <c r="G88" s="2">
        <v>60</v>
      </c>
      <c r="H88" s="2">
        <v>60</v>
      </c>
      <c r="I88" s="2">
        <v>120</v>
      </c>
      <c r="J88" s="2">
        <v>60</v>
      </c>
      <c r="K88" s="2">
        <v>60</v>
      </c>
      <c r="L88" s="2">
        <v>120</v>
      </c>
      <c r="M88" s="2">
        <v>60</v>
      </c>
      <c r="N88" s="2">
        <v>60</v>
      </c>
      <c r="O88" s="2">
        <v>120</v>
      </c>
      <c r="P88" s="9"/>
      <c r="Q88" s="2">
        <f>SUM(OSRRefD21_14_0x)+IFERROR(SUM(OSRRefE21_14_0x),0)</f>
        <v>1042.57</v>
      </c>
    </row>
    <row r="89" spans="1:17" s="34" customFormat="1" hidden="1" outlineLevel="1" x14ac:dyDescent="0.3">
      <c r="A89" s="35"/>
      <c r="B89" s="10" t="str">
        <f>CONCATENATE("          ","6285", " - ","JANITORIAL SERVICES")</f>
        <v xml:space="preserve">          6285 - JANITORIAL SERVICES</v>
      </c>
      <c r="C89" s="14"/>
      <c r="D89" s="2">
        <v>13.02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2">
        <f>SUM(OSRRefD21_14_1x)+IFERROR(SUM(OSRRefE21_14_1x),0)</f>
        <v>13.02</v>
      </c>
    </row>
    <row r="90" spans="1:17" s="34" customFormat="1" collapsed="1" x14ac:dyDescent="0.3">
      <c r="A90" s="35"/>
      <c r="B90" s="14" t="str">
        <f>CONCATENATE("     ","Subscriptions &amp; Dues                              ")</f>
        <v xml:space="preserve">     Subscriptions &amp; Dues                              </v>
      </c>
      <c r="C90" s="14"/>
      <c r="D90" s="1">
        <f>SUM(OSRRefD21_15x_0)</f>
        <v>0</v>
      </c>
      <c r="E90" s="1">
        <f>SUM(OSRRefE21_15x_0)</f>
        <v>61</v>
      </c>
      <c r="F90" s="1">
        <f>SUM(OSRRefE21_15x_1)</f>
        <v>81</v>
      </c>
      <c r="G90" s="1">
        <f>SUM(OSRRefE21_15x_2)</f>
        <v>61</v>
      </c>
      <c r="H90" s="1">
        <f>SUM(OSRRefE21_15x_3)</f>
        <v>81</v>
      </c>
      <c r="I90" s="1">
        <f>SUM(OSRRefE21_15x_4)</f>
        <v>61</v>
      </c>
      <c r="J90" s="1">
        <f>SUM(OSRRefE21_15x_5)</f>
        <v>181</v>
      </c>
      <c r="K90" s="1">
        <f>SUM(OSRRefE21_15x_6)</f>
        <v>161</v>
      </c>
      <c r="L90" s="1">
        <f>SUM(OSRRefE21_15x_7)</f>
        <v>181</v>
      </c>
      <c r="M90" s="1">
        <f>SUM(OSRRefE21_15x_8)</f>
        <v>161</v>
      </c>
      <c r="N90" s="1">
        <f>SUM(OSRRefE21_15x_9)</f>
        <v>181</v>
      </c>
      <c r="O90" s="1">
        <f>SUM(OSRRefE21_15x_10)</f>
        <v>361</v>
      </c>
      <c r="Q90" s="2">
        <f>SUM(OSRRefD20_15x)+IFERROR(SUM(OSRRefE20_15x),0)</f>
        <v>1571</v>
      </c>
    </row>
    <row r="91" spans="1:17" s="34" customFormat="1" hidden="1" outlineLevel="1" x14ac:dyDescent="0.3">
      <c r="A91" s="35"/>
      <c r="B91" s="10" t="str">
        <f>CONCATENATE("          ","6258", " - ","MEMBERSHIP DUES")</f>
        <v xml:space="preserve">          6258 - MEMBERSHIP DUES</v>
      </c>
      <c r="C91" s="14"/>
      <c r="D91" s="2"/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200</v>
      </c>
      <c r="P91" s="9"/>
      <c r="Q91" s="2">
        <f>SUM(OSRRefD21_15_0x)+IFERROR(SUM(OSRRefE21_15_0x),0)</f>
        <v>200</v>
      </c>
    </row>
    <row r="92" spans="1:17" s="34" customFormat="1" hidden="1" outlineLevel="1" x14ac:dyDescent="0.3">
      <c r="A92" s="35"/>
      <c r="B92" s="10" t="str">
        <f>CONCATENATE("          ","6275", " - ","SUBSCRIPTIONS")</f>
        <v xml:space="preserve">          6275 - SUBSCRIPTIONS</v>
      </c>
      <c r="C92" s="14"/>
      <c r="D92" s="2"/>
      <c r="E92" s="2">
        <v>61</v>
      </c>
      <c r="F92" s="2">
        <v>81</v>
      </c>
      <c r="G92" s="2">
        <v>61</v>
      </c>
      <c r="H92" s="2">
        <v>81</v>
      </c>
      <c r="I92" s="2">
        <v>61</v>
      </c>
      <c r="J92" s="2">
        <v>181</v>
      </c>
      <c r="K92" s="2">
        <v>161</v>
      </c>
      <c r="L92" s="2">
        <v>181</v>
      </c>
      <c r="M92" s="2">
        <v>161</v>
      </c>
      <c r="N92" s="2">
        <v>181</v>
      </c>
      <c r="O92" s="2">
        <v>161</v>
      </c>
      <c r="P92" s="9"/>
      <c r="Q92" s="2">
        <f>SUM(OSRRefD21_15_1x)+IFERROR(SUM(OSRRefE21_15_1x),0)</f>
        <v>1371</v>
      </c>
    </row>
    <row r="93" spans="1:17" s="34" customFormat="1" collapsed="1" x14ac:dyDescent="0.3">
      <c r="A93" s="35"/>
      <c r="B93" s="14" t="str">
        <f>CONCATENATE("     ","Supplies                                          ")</f>
        <v xml:space="preserve">     Supplies                                          </v>
      </c>
      <c r="C93" s="14"/>
      <c r="D93" s="1">
        <f>SUM(OSRRefD21_16x_0)</f>
        <v>2772.92</v>
      </c>
      <c r="E93" s="1">
        <f>SUM(OSRRefE21_16x_0)</f>
        <v>105</v>
      </c>
      <c r="F93" s="1">
        <f>SUM(OSRRefE21_16x_1)</f>
        <v>105</v>
      </c>
      <c r="G93" s="1">
        <f>SUM(OSRRefE21_16x_2)</f>
        <v>105</v>
      </c>
      <c r="H93" s="1">
        <f>SUM(OSRRefE21_16x_3)</f>
        <v>105</v>
      </c>
      <c r="I93" s="1">
        <f>SUM(OSRRefE21_16x_4)</f>
        <v>145</v>
      </c>
      <c r="J93" s="1">
        <f>SUM(OSRRefE21_16x_5)</f>
        <v>105</v>
      </c>
      <c r="K93" s="1">
        <f>SUM(OSRRefE21_16x_6)</f>
        <v>105</v>
      </c>
      <c r="L93" s="1">
        <f>SUM(OSRRefE21_16x_7)</f>
        <v>105</v>
      </c>
      <c r="M93" s="1">
        <f>SUM(OSRRefE21_16x_8)</f>
        <v>105</v>
      </c>
      <c r="N93" s="1">
        <f>SUM(OSRRefE21_16x_9)</f>
        <v>145</v>
      </c>
      <c r="O93" s="1">
        <f>SUM(OSRRefE21_16x_10)</f>
        <v>105</v>
      </c>
      <c r="Q93" s="2">
        <f>SUM(OSRRefD20_16x)+IFERROR(SUM(OSRRefE20_16x),0)</f>
        <v>4007.92</v>
      </c>
    </row>
    <row r="94" spans="1:17" s="34" customFormat="1" hidden="1" outlineLevel="1" x14ac:dyDescent="0.3">
      <c r="A94" s="35"/>
      <c r="B94" s="10" t="str">
        <f>CONCATENATE("          ","6235", " - ","COVID-19 EXPENSES")</f>
        <v xml:space="preserve">          6235 - COVID-19 EXPENSES</v>
      </c>
      <c r="C94" s="14"/>
      <c r="D94" s="2"/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9"/>
      <c r="Q94" s="2">
        <f>SUM(OSRRefD21_16_0x)+IFERROR(SUM(OSRRefE21_16_0x),0)</f>
        <v>0</v>
      </c>
    </row>
    <row r="95" spans="1:17" s="34" customFormat="1" hidden="1" outlineLevel="1" x14ac:dyDescent="0.3">
      <c r="A95" s="35"/>
      <c r="B95" s="10" t="str">
        <f>CONCATENATE("          ","6237", " - ","JANITORIAL SUPPLIES")</f>
        <v xml:space="preserve">          6237 - JANITORIAL SUPPLIES</v>
      </c>
      <c r="C95" s="14"/>
      <c r="D95" s="2"/>
      <c r="E95" s="2">
        <v>10</v>
      </c>
      <c r="F95" s="2">
        <v>10</v>
      </c>
      <c r="G95" s="2">
        <v>10</v>
      </c>
      <c r="H95" s="2">
        <v>10</v>
      </c>
      <c r="I95" s="2">
        <v>50</v>
      </c>
      <c r="J95" s="2">
        <v>10</v>
      </c>
      <c r="K95" s="2">
        <v>10</v>
      </c>
      <c r="L95" s="2">
        <v>10</v>
      </c>
      <c r="M95" s="2">
        <v>10</v>
      </c>
      <c r="N95" s="2">
        <v>50</v>
      </c>
      <c r="O95" s="2">
        <v>10</v>
      </c>
      <c r="P95" s="9"/>
      <c r="Q95" s="2">
        <f>SUM(OSRRefD21_16_1x)+IFERROR(SUM(OSRRefE21_16_1x),0)</f>
        <v>190</v>
      </c>
    </row>
    <row r="96" spans="1:17" s="34" customFormat="1" hidden="1" outlineLevel="1" x14ac:dyDescent="0.3">
      <c r="A96" s="35"/>
      <c r="B96" s="10" t="str">
        <f>CONCATENATE("          ","6241", " - ","OFFICE EXPENSE")</f>
        <v xml:space="preserve">          6241 - OFFICE EXPENSE</v>
      </c>
      <c r="C96" s="14"/>
      <c r="D96" s="2">
        <v>131.47999999999999</v>
      </c>
      <c r="E96" s="2">
        <v>45</v>
      </c>
      <c r="F96" s="2">
        <v>45</v>
      </c>
      <c r="G96" s="2">
        <v>45</v>
      </c>
      <c r="H96" s="2">
        <v>45</v>
      </c>
      <c r="I96" s="2">
        <v>45</v>
      </c>
      <c r="J96" s="2">
        <v>45</v>
      </c>
      <c r="K96" s="2">
        <v>45</v>
      </c>
      <c r="L96" s="2">
        <v>45</v>
      </c>
      <c r="M96" s="2">
        <v>45</v>
      </c>
      <c r="N96" s="2">
        <v>45</v>
      </c>
      <c r="O96" s="2">
        <v>45</v>
      </c>
      <c r="P96" s="9"/>
      <c r="Q96" s="2">
        <f>SUM(OSRRefD21_16_2x)+IFERROR(SUM(OSRRefE21_16_2x),0)</f>
        <v>626.48</v>
      </c>
    </row>
    <row r="97" spans="1:17" s="34" customFormat="1" hidden="1" outlineLevel="1" x14ac:dyDescent="0.3">
      <c r="A97" s="35"/>
      <c r="B97" s="10" t="str">
        <f>CONCATENATE("          ","6247", " - ","STORE SUPPLIES")</f>
        <v xml:space="preserve">          6247 - STORE SUPPLIES</v>
      </c>
      <c r="C97" s="14"/>
      <c r="D97" s="2">
        <v>2641.44</v>
      </c>
      <c r="E97" s="2">
        <v>50</v>
      </c>
      <c r="F97" s="2">
        <v>50</v>
      </c>
      <c r="G97" s="2">
        <v>50</v>
      </c>
      <c r="H97" s="2">
        <v>50</v>
      </c>
      <c r="I97" s="2">
        <v>50</v>
      </c>
      <c r="J97" s="2">
        <v>50</v>
      </c>
      <c r="K97" s="2">
        <v>50</v>
      </c>
      <c r="L97" s="2">
        <v>50</v>
      </c>
      <c r="M97" s="2">
        <v>50</v>
      </c>
      <c r="N97" s="2">
        <v>50</v>
      </c>
      <c r="O97" s="2">
        <v>50</v>
      </c>
      <c r="P97" s="9"/>
      <c r="Q97" s="2">
        <f>SUM(OSRRefD21_16_3x)+IFERROR(SUM(OSRRefE21_16_3x),0)</f>
        <v>3191.44</v>
      </c>
    </row>
    <row r="98" spans="1:17" s="34" customFormat="1" collapsed="1" x14ac:dyDescent="0.3">
      <c r="A98" s="35"/>
      <c r="B98" s="14" t="str">
        <f>CONCATENATE("     ","Telephone/Data Lines                              ")</f>
        <v xml:space="preserve">     Telephone/Data Lines                              </v>
      </c>
      <c r="C98" s="14"/>
      <c r="D98" s="1">
        <f>SUM(OSRRefD21_17x_0)</f>
        <v>266.89</v>
      </c>
      <c r="E98" s="1">
        <f>SUM(OSRRefE21_17x_0)</f>
        <v>550</v>
      </c>
      <c r="F98" s="1">
        <f>SUM(OSRRefE21_17x_1)</f>
        <v>550</v>
      </c>
      <c r="G98" s="1">
        <f>SUM(OSRRefE21_17x_2)</f>
        <v>550</v>
      </c>
      <c r="H98" s="1">
        <f>SUM(OSRRefE21_17x_3)</f>
        <v>550</v>
      </c>
      <c r="I98" s="1">
        <f>SUM(OSRRefE21_17x_4)</f>
        <v>550</v>
      </c>
      <c r="J98" s="1">
        <f>SUM(OSRRefE21_17x_5)</f>
        <v>550</v>
      </c>
      <c r="K98" s="1">
        <f>SUM(OSRRefE21_17x_6)</f>
        <v>550</v>
      </c>
      <c r="L98" s="1">
        <f>SUM(OSRRefE21_17x_7)</f>
        <v>550</v>
      </c>
      <c r="M98" s="1">
        <f>SUM(OSRRefE21_17x_8)</f>
        <v>550</v>
      </c>
      <c r="N98" s="1">
        <f>SUM(OSRRefE21_17x_9)</f>
        <v>550</v>
      </c>
      <c r="O98" s="1">
        <f>SUM(OSRRefE21_17x_10)</f>
        <v>550</v>
      </c>
      <c r="Q98" s="2">
        <f>SUM(OSRRefD20_17x)+IFERROR(SUM(OSRRefE20_17x),0)</f>
        <v>6316.89</v>
      </c>
    </row>
    <row r="99" spans="1:17" s="34" customFormat="1" hidden="1" outlineLevel="1" x14ac:dyDescent="0.3">
      <c r="A99" s="35"/>
      <c r="B99" s="10" t="str">
        <f>CONCATENATE("          ","6309", " - ","TELEPHONE")</f>
        <v xml:space="preserve">          6309 - TELEPHONE</v>
      </c>
      <c r="C99" s="14"/>
      <c r="D99" s="2">
        <v>266.89</v>
      </c>
      <c r="E99" s="2">
        <v>550</v>
      </c>
      <c r="F99" s="2">
        <v>550</v>
      </c>
      <c r="G99" s="2">
        <v>550</v>
      </c>
      <c r="H99" s="2">
        <v>550</v>
      </c>
      <c r="I99" s="2">
        <v>550</v>
      </c>
      <c r="J99" s="2">
        <v>550</v>
      </c>
      <c r="K99" s="2">
        <v>550</v>
      </c>
      <c r="L99" s="2">
        <v>550</v>
      </c>
      <c r="M99" s="2">
        <v>550</v>
      </c>
      <c r="N99" s="2">
        <v>550</v>
      </c>
      <c r="O99" s="2">
        <v>550</v>
      </c>
      <c r="P99" s="9"/>
      <c r="Q99" s="2">
        <f>SUM(OSRRefD21_17_0x)+IFERROR(SUM(OSRRefE21_17_0x),0)</f>
        <v>6316.89</v>
      </c>
    </row>
    <row r="100" spans="1:17" s="34" customFormat="1" collapsed="1" x14ac:dyDescent="0.3">
      <c r="A100" s="35"/>
      <c r="B100" s="14" t="str">
        <f>CONCATENATE("     ","Travel                                            ")</f>
        <v xml:space="preserve">     Travel                                            </v>
      </c>
      <c r="C100" s="14"/>
      <c r="D100" s="1">
        <f>SUM(OSRRefD21_18x_0)</f>
        <v>188.14</v>
      </c>
      <c r="E100" s="1">
        <f>SUM(OSRRefE21_18x_0)</f>
        <v>50</v>
      </c>
      <c r="F100" s="1">
        <f>SUM(OSRRefE21_18x_1)</f>
        <v>50</v>
      </c>
      <c r="G100" s="1">
        <f>SUM(OSRRefE21_18x_2)</f>
        <v>50</v>
      </c>
      <c r="H100" s="1">
        <f>SUM(OSRRefE21_18x_3)</f>
        <v>125</v>
      </c>
      <c r="I100" s="1">
        <f>SUM(OSRRefE21_18x_4)</f>
        <v>225</v>
      </c>
      <c r="J100" s="1">
        <f>SUM(OSRRefE21_18x_5)</f>
        <v>50</v>
      </c>
      <c r="K100" s="1">
        <f>SUM(OSRRefE21_18x_6)</f>
        <v>50</v>
      </c>
      <c r="L100" s="1">
        <f>SUM(OSRRefE21_18x_7)</f>
        <v>50</v>
      </c>
      <c r="M100" s="1">
        <f>SUM(OSRRefE21_18x_8)</f>
        <v>50</v>
      </c>
      <c r="N100" s="1">
        <f>SUM(OSRRefE21_18x_9)</f>
        <v>50</v>
      </c>
      <c r="O100" s="1">
        <f>SUM(OSRRefE21_18x_10)</f>
        <v>50</v>
      </c>
      <c r="Q100" s="2">
        <f>SUM(OSRRefD20_18x)+IFERROR(SUM(OSRRefE20_18x),0)</f>
        <v>988.14</v>
      </c>
    </row>
    <row r="101" spans="1:17" s="34" customFormat="1" hidden="1" outlineLevel="1" x14ac:dyDescent="0.3">
      <c r="A101" s="35"/>
      <c r="B101" s="10" t="str">
        <f>CONCATENATE("          ","6294", " - ","TRAVEL OPERATIONAL")</f>
        <v xml:space="preserve">          6294 - TRAVEL OPERATIONAL</v>
      </c>
      <c r="C101" s="14"/>
      <c r="D101" s="2">
        <v>188.14</v>
      </c>
      <c r="E101" s="2">
        <v>25</v>
      </c>
      <c r="F101" s="2">
        <v>25</v>
      </c>
      <c r="G101" s="2">
        <v>25</v>
      </c>
      <c r="H101" s="2">
        <v>25</v>
      </c>
      <c r="I101" s="2">
        <v>25</v>
      </c>
      <c r="J101" s="2">
        <v>25</v>
      </c>
      <c r="K101" s="2">
        <v>25</v>
      </c>
      <c r="L101" s="2">
        <v>25</v>
      </c>
      <c r="M101" s="2">
        <v>25</v>
      </c>
      <c r="N101" s="2">
        <v>25</v>
      </c>
      <c r="O101" s="2">
        <v>25</v>
      </c>
      <c r="P101" s="9"/>
      <c r="Q101" s="2">
        <f>SUM(OSRRefD21_18_0x)+IFERROR(SUM(OSRRefE21_18_0x),0)</f>
        <v>463.14</v>
      </c>
    </row>
    <row r="102" spans="1:17" s="34" customFormat="1" hidden="1" outlineLevel="1" x14ac:dyDescent="0.3">
      <c r="A102" s="35"/>
      <c r="B102" s="10" t="str">
        <f>CONCATENATE("          ","6298", " - ","VEHICLE MILEAGE")</f>
        <v xml:space="preserve">          6298 - VEHICLE MILEAGE</v>
      </c>
      <c r="C102" s="14"/>
      <c r="D102" s="2"/>
      <c r="E102" s="2">
        <v>25</v>
      </c>
      <c r="F102" s="2">
        <v>25</v>
      </c>
      <c r="G102" s="2">
        <v>25</v>
      </c>
      <c r="H102" s="2">
        <v>100</v>
      </c>
      <c r="I102" s="2">
        <v>200</v>
      </c>
      <c r="J102" s="2">
        <v>25</v>
      </c>
      <c r="K102" s="2">
        <v>25</v>
      </c>
      <c r="L102" s="2">
        <v>25</v>
      </c>
      <c r="M102" s="2">
        <v>25</v>
      </c>
      <c r="N102" s="2">
        <v>25</v>
      </c>
      <c r="O102" s="2">
        <v>25</v>
      </c>
      <c r="P102" s="9"/>
      <c r="Q102" s="2">
        <f>SUM(OSRRefD21_18_1x)+IFERROR(SUM(OSRRefE21_18_1x),0)</f>
        <v>525</v>
      </c>
    </row>
    <row r="103" spans="1:17" s="34" customFormat="1" collapsed="1" x14ac:dyDescent="0.3">
      <c r="A103" s="35"/>
      <c r="B103" s="14" t="str">
        <f>CONCATENATE("     ","Utilities                                         ")</f>
        <v xml:space="preserve">     Utilities                                         </v>
      </c>
      <c r="C103" s="14"/>
      <c r="D103" s="1">
        <f>SUM(OSRRefD21_19x_0)</f>
        <v>36.49</v>
      </c>
      <c r="E103" s="1">
        <f>SUM(OSRRefE21_19x_0)</f>
        <v>120</v>
      </c>
      <c r="F103" s="1">
        <f>SUM(OSRRefE21_19x_1)</f>
        <v>120</v>
      </c>
      <c r="G103" s="1">
        <f>SUM(OSRRefE21_19x_2)</f>
        <v>120</v>
      </c>
      <c r="H103" s="1">
        <f>SUM(OSRRefE21_19x_3)</f>
        <v>120</v>
      </c>
      <c r="I103" s="1">
        <f>SUM(OSRRefE21_19x_4)</f>
        <v>120</v>
      </c>
      <c r="J103" s="1">
        <f>SUM(OSRRefE21_19x_5)</f>
        <v>120</v>
      </c>
      <c r="K103" s="1">
        <f>SUM(OSRRefE21_19x_6)</f>
        <v>2800</v>
      </c>
      <c r="L103" s="1">
        <f>SUM(OSRRefE21_19x_7)</f>
        <v>120</v>
      </c>
      <c r="M103" s="1">
        <f>SUM(OSRRefE21_19x_8)</f>
        <v>120</v>
      </c>
      <c r="N103" s="1">
        <f>SUM(OSRRefE21_19x_9)</f>
        <v>120</v>
      </c>
      <c r="O103" s="1">
        <f>SUM(OSRRefE21_19x_10)</f>
        <v>120</v>
      </c>
      <c r="Q103" s="2">
        <f>SUM(OSRRefD20_19x)+IFERROR(SUM(OSRRefE20_19x),0)</f>
        <v>4036.49</v>
      </c>
    </row>
    <row r="104" spans="1:17" s="34" customFormat="1" hidden="1" outlineLevel="1" x14ac:dyDescent="0.3">
      <c r="A104" s="35"/>
      <c r="B104" s="10" t="str">
        <f>CONCATENATE("          ","6274", " - ","UTILITIES")</f>
        <v xml:space="preserve">          6274 - UTILITIES</v>
      </c>
      <c r="C104" s="14"/>
      <c r="D104" s="2">
        <v>36.49</v>
      </c>
      <c r="E104" s="2">
        <v>120</v>
      </c>
      <c r="F104" s="2">
        <v>120</v>
      </c>
      <c r="G104" s="2">
        <v>120</v>
      </c>
      <c r="H104" s="2">
        <v>120</v>
      </c>
      <c r="I104" s="2">
        <v>120</v>
      </c>
      <c r="J104" s="2">
        <v>120</v>
      </c>
      <c r="K104" s="2">
        <v>2800</v>
      </c>
      <c r="L104" s="2">
        <v>120</v>
      </c>
      <c r="M104" s="2">
        <v>120</v>
      </c>
      <c r="N104" s="2">
        <v>120</v>
      </c>
      <c r="O104" s="2">
        <v>120</v>
      </c>
      <c r="P104" s="9"/>
      <c r="Q104" s="2">
        <f>SUM(OSRRefD21_19_0x)+IFERROR(SUM(OSRRefE21_19_0x),0)</f>
        <v>4036.49</v>
      </c>
    </row>
    <row r="105" spans="1:17" s="28" customFormat="1" x14ac:dyDescent="0.3">
      <c r="A105" s="21"/>
      <c r="B105" s="21"/>
      <c r="C105" s="2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</row>
    <row r="106" spans="1:17" s="9" customFormat="1" x14ac:dyDescent="0.3">
      <c r="A106" s="22"/>
      <c r="B106" s="16" t="s">
        <v>293</v>
      </c>
      <c r="C106" s="23"/>
      <c r="D106" s="3">
        <f>--35082.02</f>
        <v>35082.019999999997</v>
      </c>
      <c r="E106" s="3">
        <v>0</v>
      </c>
      <c r="F106" s="3">
        <v>0</v>
      </c>
      <c r="G106" s="3">
        <v>20980</v>
      </c>
      <c r="H106" s="3">
        <v>0</v>
      </c>
      <c r="I106" s="3">
        <v>58333</v>
      </c>
      <c r="J106" s="3">
        <v>15571</v>
      </c>
      <c r="K106" s="3">
        <v>0</v>
      </c>
      <c r="L106" s="3">
        <v>58333</v>
      </c>
      <c r="M106" s="3">
        <v>29111</v>
      </c>
      <c r="N106" s="3">
        <v>250000</v>
      </c>
      <c r="O106" s="3">
        <v>208334</v>
      </c>
      <c r="Q106" s="2">
        <f>SUM(OSRRefD23_0x)+IFERROR(SUM(OSRRefE23_0x),0)</f>
        <v>675744.02</v>
      </c>
    </row>
    <row r="107" spans="1:17" x14ac:dyDescent="0.3">
      <c r="A107" s="5"/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Q107" s="3"/>
    </row>
    <row r="108" spans="1:17" s="15" customFormat="1" x14ac:dyDescent="0.3">
      <c r="A108" s="6"/>
      <c r="B108" s="17" t="s">
        <v>276</v>
      </c>
      <c r="C108" s="17"/>
      <c r="D108" s="8">
        <f t="shared" ref="D108:O108" si="2">IFERROR(+D33-D36+D106, 0)</f>
        <v>12021.139999999948</v>
      </c>
      <c r="E108" s="8">
        <f t="shared" si="2"/>
        <v>118212.60529230768</v>
      </c>
      <c r="F108" s="8">
        <f t="shared" si="2"/>
        <v>29689.503482307671</v>
      </c>
      <c r="G108" s="8">
        <f t="shared" si="2"/>
        <v>23871.379352884629</v>
      </c>
      <c r="H108" s="8">
        <f t="shared" si="2"/>
        <v>-4233.4965176923288</v>
      </c>
      <c r="I108" s="8">
        <f t="shared" si="2"/>
        <v>112008.01804230767</v>
      </c>
      <c r="J108" s="8">
        <f t="shared" si="2"/>
        <v>21154.121572634627</v>
      </c>
      <c r="K108" s="8">
        <f t="shared" si="2"/>
        <v>18289.897258107667</v>
      </c>
      <c r="L108" s="8">
        <f t="shared" si="2"/>
        <v>90525.897258107667</v>
      </c>
      <c r="M108" s="8">
        <f t="shared" si="2"/>
        <v>26576.121572634613</v>
      </c>
      <c r="N108" s="8">
        <f t="shared" si="2"/>
        <v>281053.89725810767</v>
      </c>
      <c r="O108" s="8">
        <f t="shared" si="2"/>
        <v>229200.94619480768</v>
      </c>
      <c r="Q108" s="8">
        <f>IFERROR(+Q33-Q36+Q106, 0)</f>
        <v>958370.03076651576</v>
      </c>
    </row>
    <row r="109" spans="1:17" s="6" customFormat="1" x14ac:dyDescent="0.3">
      <c r="B109" s="16"/>
      <c r="C109" s="16"/>
      <c r="D109" s="4">
        <f t="shared" ref="D109:O109" si="3">IFERROR(D108/D10, 0)</f>
        <v>7.7131963996519434E-2</v>
      </c>
      <c r="E109" s="4">
        <f t="shared" si="3"/>
        <v>0.26459920470297915</v>
      </c>
      <c r="F109" s="4">
        <f t="shared" si="3"/>
        <v>0.12048822483790297</v>
      </c>
      <c r="G109" s="4">
        <f t="shared" si="3"/>
        <v>9.4820258478056474E-2</v>
      </c>
      <c r="H109" s="4">
        <f t="shared" si="3"/>
        <v>-2.2389383175250965E-2</v>
      </c>
      <c r="I109" s="4">
        <f t="shared" si="3"/>
        <v>0.36330145388772084</v>
      </c>
      <c r="J109" s="4">
        <f t="shared" si="3"/>
        <v>8.0097391464132167E-2</v>
      </c>
      <c r="K109" s="4">
        <f t="shared" si="3"/>
        <v>7.617362710991582E-2</v>
      </c>
      <c r="L109" s="4">
        <f t="shared" si="3"/>
        <v>0.35148999708058531</v>
      </c>
      <c r="M109" s="4">
        <f t="shared" si="3"/>
        <v>0.10392176799397265</v>
      </c>
      <c r="N109" s="4">
        <f t="shared" si="3"/>
        <v>1.0633776281695919</v>
      </c>
      <c r="O109" s="4">
        <f t="shared" si="3"/>
        <v>0.89738790017112824</v>
      </c>
      <c r="P109" s="18"/>
      <c r="Q109" s="4">
        <f>IFERROR(Q108/Q10, 0)</f>
        <v>0.30566374315536615</v>
      </c>
    </row>
    <row r="110" spans="1:17" x14ac:dyDescent="0.3">
      <c r="A110" s="5"/>
      <c r="B110" s="6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Q110" s="3"/>
    </row>
    <row r="111" spans="1:17" s="15" customFormat="1" x14ac:dyDescent="0.3">
      <c r="A111" s="25"/>
      <c r="B111" s="6" t="s">
        <v>125</v>
      </c>
      <c r="C111" s="6"/>
      <c r="D111" s="3">
        <v>72002.8</v>
      </c>
      <c r="E111" s="3">
        <v>-9904</v>
      </c>
      <c r="F111" s="3">
        <v>24416</v>
      </c>
      <c r="G111" s="3">
        <v>34925</v>
      </c>
      <c r="H111" s="3">
        <v>35509</v>
      </c>
      <c r="I111" s="3">
        <v>46041</v>
      </c>
      <c r="J111" s="3">
        <v>26070</v>
      </c>
      <c r="K111" s="3">
        <v>23419</v>
      </c>
      <c r="L111" s="3">
        <v>30346</v>
      </c>
      <c r="M111" s="3">
        <v>34472</v>
      </c>
      <c r="N111" s="3">
        <v>35322</v>
      </c>
      <c r="O111" s="3">
        <v>-2360</v>
      </c>
      <c r="Q111" s="2">
        <f>SUM(OSRRefD28_0x)+IFERROR(SUM(OSRRefE28_0x),0)</f>
        <v>350258.8</v>
      </c>
    </row>
    <row r="112" spans="1:17" x14ac:dyDescent="0.3">
      <c r="A112" s="5"/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Q112" s="3"/>
    </row>
    <row r="113" spans="1:17" s="15" customFormat="1" ht="15" thickBot="1" x14ac:dyDescent="0.35">
      <c r="A113" s="6"/>
      <c r="B113" s="17" t="s">
        <v>124</v>
      </c>
      <c r="C113" s="17"/>
      <c r="D113" s="7">
        <f t="shared" ref="D113:O113" si="4">IFERROR(+D108-D111, 0)</f>
        <v>-59981.660000000054</v>
      </c>
      <c r="E113" s="7">
        <f t="shared" si="4"/>
        <v>128116.60529230768</v>
      </c>
      <c r="F113" s="7">
        <f t="shared" si="4"/>
        <v>5273.5034823076712</v>
      </c>
      <c r="G113" s="7">
        <f t="shared" si="4"/>
        <v>-11053.620647115371</v>
      </c>
      <c r="H113" s="7">
        <f t="shared" si="4"/>
        <v>-39742.496517692329</v>
      </c>
      <c r="I113" s="7">
        <f t="shared" si="4"/>
        <v>65967.018042307667</v>
      </c>
      <c r="J113" s="7">
        <f t="shared" si="4"/>
        <v>-4915.8784273653728</v>
      </c>
      <c r="K113" s="7">
        <f t="shared" si="4"/>
        <v>-5129.1027418923331</v>
      </c>
      <c r="L113" s="7">
        <f t="shared" si="4"/>
        <v>60179.897258107667</v>
      </c>
      <c r="M113" s="7">
        <f t="shared" si="4"/>
        <v>-7895.8784273653873</v>
      </c>
      <c r="N113" s="7">
        <f t="shared" si="4"/>
        <v>245731.89725810767</v>
      </c>
      <c r="O113" s="7">
        <f t="shared" si="4"/>
        <v>231560.94619480768</v>
      </c>
      <c r="Q113" s="7">
        <f>IFERROR(+Q108-Q111, 0)</f>
        <v>608111.23076651571</v>
      </c>
    </row>
    <row r="114" spans="1:17" ht="15" thickTop="1" x14ac:dyDescent="0.3">
      <c r="A114" s="5"/>
      <c r="B114" s="5"/>
      <c r="C114" s="5"/>
      <c r="D114" s="4">
        <f t="shared" ref="D114:O114" si="5">IFERROR(D113/D10, 0)</f>
        <v>-0.38486393466605445</v>
      </c>
      <c r="E114" s="4">
        <f t="shared" si="5"/>
        <v>0.28676765718652181</v>
      </c>
      <c r="F114" s="4">
        <f t="shared" si="5"/>
        <v>2.1401337130423567E-2</v>
      </c>
      <c r="G114" s="4">
        <f t="shared" si="5"/>
        <v>-4.3906435040219308E-2</v>
      </c>
      <c r="H114" s="4">
        <f t="shared" si="5"/>
        <v>-0.21018323250227319</v>
      </c>
      <c r="I114" s="4">
        <f t="shared" si="5"/>
        <v>0.21396605334410509</v>
      </c>
      <c r="J114" s="4">
        <f t="shared" si="5"/>
        <v>-1.8613348582440216E-2</v>
      </c>
      <c r="K114" s="4">
        <f t="shared" si="5"/>
        <v>-2.1361648682644199E-2</v>
      </c>
      <c r="L114" s="4">
        <f t="shared" si="5"/>
        <v>0.2336638746728105</v>
      </c>
      <c r="M114" s="4">
        <f t="shared" si="5"/>
        <v>-3.0875597998550778E-2</v>
      </c>
      <c r="N114" s="4">
        <f t="shared" si="5"/>
        <v>0.92973555827254195</v>
      </c>
      <c r="O114" s="4">
        <f t="shared" si="5"/>
        <v>0.90662798176574699</v>
      </c>
      <c r="P114" s="18"/>
      <c r="Q114" s="4">
        <f>IFERROR(Q113/Q10, 0)</f>
        <v>0.19395176088952068</v>
      </c>
    </row>
    <row r="115" spans="1:17" x14ac:dyDescent="0.3">
      <c r="A115" s="5"/>
      <c r="B115" s="5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Q115" s="3"/>
    </row>
    <row r="116" spans="1:17" x14ac:dyDescent="0.3">
      <c r="A116" s="5"/>
      <c r="B116" s="5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Q116" s="3"/>
    </row>
    <row r="117" spans="1:17" s="15" customFormat="1" ht="15" thickBot="1" x14ac:dyDescent="0.35">
      <c r="A117" s="6"/>
      <c r="B117" s="17" t="s">
        <v>294</v>
      </c>
      <c r="C117" s="17"/>
      <c r="D117" s="7">
        <f t="shared" ref="D117:O117" si="6">IFERROR(SUM(D113:D116), 0)</f>
        <v>-59982.044863934723</v>
      </c>
      <c r="E117" s="7">
        <f t="shared" si="6"/>
        <v>128116.89205996487</v>
      </c>
      <c r="F117" s="7">
        <f t="shared" si="6"/>
        <v>5273.5248836448018</v>
      </c>
      <c r="G117" s="7">
        <f t="shared" si="6"/>
        <v>-11053.66455355041</v>
      </c>
      <c r="H117" s="7">
        <f t="shared" si="6"/>
        <v>-39742.706700924828</v>
      </c>
      <c r="I117" s="7">
        <f t="shared" si="6"/>
        <v>65967.23200836101</v>
      </c>
      <c r="J117" s="7">
        <f t="shared" si="6"/>
        <v>-4915.897040713955</v>
      </c>
      <c r="K117" s="7">
        <f t="shared" si="6"/>
        <v>-5129.1241035410158</v>
      </c>
      <c r="L117" s="7">
        <f t="shared" si="6"/>
        <v>60180.130921982338</v>
      </c>
      <c r="M117" s="7">
        <f t="shared" si="6"/>
        <v>-7895.9093029633859</v>
      </c>
      <c r="N117" s="7">
        <f t="shared" si="6"/>
        <v>245732.82699366595</v>
      </c>
      <c r="O117" s="7">
        <f t="shared" si="6"/>
        <v>231561.85282278946</v>
      </c>
      <c r="Q117" s="7">
        <f>IFERROR(SUM(Q113:Q116), 0)</f>
        <v>608111.4247182766</v>
      </c>
    </row>
    <row r="118" spans="1:17" ht="15" thickTop="1" x14ac:dyDescent="0.3">
      <c r="A118" s="5"/>
      <c r="C118" s="5"/>
      <c r="D118" s="4">
        <f t="shared" ref="D118:O118" si="7">IFERROR(D117/D10, 0)</f>
        <v>-0.38486640409167899</v>
      </c>
      <c r="E118" s="4">
        <f t="shared" si="7"/>
        <v>0.28676829906810325</v>
      </c>
      <c r="F118" s="4">
        <f t="shared" si="7"/>
        <v>2.1401423982974725E-2</v>
      </c>
      <c r="G118" s="4">
        <f t="shared" si="7"/>
        <v>-4.3906609442354083E-2</v>
      </c>
      <c r="H118" s="4">
        <f t="shared" si="7"/>
        <v>-0.2101843440829512</v>
      </c>
      <c r="I118" s="4">
        <f t="shared" si="7"/>
        <v>0.21396674734958454</v>
      </c>
      <c r="J118" s="4">
        <f t="shared" si="7"/>
        <v>-1.8613419059517824E-2</v>
      </c>
      <c r="K118" s="4">
        <f t="shared" si="7"/>
        <v>-2.1361737649478633E-2</v>
      </c>
      <c r="L118" s="4">
        <f t="shared" si="7"/>
        <v>0.23366478193268986</v>
      </c>
      <c r="M118" s="4">
        <f t="shared" si="7"/>
        <v>-3.0875718732749073E-2</v>
      </c>
      <c r="N118" s="4">
        <f t="shared" si="7"/>
        <v>0.92973907596079486</v>
      </c>
      <c r="O118" s="4">
        <f t="shared" si="7"/>
        <v>0.90663153147614006</v>
      </c>
      <c r="P118" s="18"/>
      <c r="Q118" s="4">
        <f>IFERROR(Q117/Q10, 0)</f>
        <v>0.19395182274873929</v>
      </c>
    </row>
    <row r="119" spans="1:17" x14ac:dyDescent="0.3">
      <c r="A119" s="5"/>
      <c r="B119" s="30">
        <v>44462.678387233798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Q119" s="11"/>
    </row>
    <row r="120" spans="1:17" x14ac:dyDescent="0.3">
      <c r="A120" s="5"/>
      <c r="B120" s="31" t="s">
        <v>54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Q120" s="11"/>
    </row>
    <row r="121" spans="1:17" x14ac:dyDescent="0.3">
      <c r="A121" s="5"/>
      <c r="B121" s="2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Q121" s="11"/>
    </row>
    <row r="122" spans="1:17" x14ac:dyDescent="0.3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Q122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92D050"/>
    <outlinePr summaryBelow="0" summaryRight="0"/>
    <pageSetUpPr fitToPage="1"/>
  </sheetPr>
  <dimension ref="A2:R109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","315", " - ", "Bookstore Retail")</f>
        <v>Department 315 - Bookstore Retail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124040.73</v>
      </c>
      <c r="E10" s="3">
        <f>SUM(OSRRefE11x_0)</f>
        <v>420181</v>
      </c>
      <c r="F10" s="3">
        <f>SUM(OSRRefE11x_1)</f>
        <v>222974</v>
      </c>
      <c r="G10" s="3">
        <f>SUM(OSRRefE11x_2)</f>
        <v>229640</v>
      </c>
      <c r="H10" s="3">
        <f>SUM(OSRRefE11x_3)</f>
        <v>168287</v>
      </c>
      <c r="I10" s="3">
        <f>SUM(OSRRefE11x_4)</f>
        <v>263832</v>
      </c>
      <c r="J10" s="3">
        <f>SUM(OSRRefE11x_5)</f>
        <v>242018</v>
      </c>
      <c r="K10" s="3">
        <f>SUM(OSRRefE11x_6)</f>
        <v>216005</v>
      </c>
      <c r="L10" s="3">
        <f>SUM(OSRRefE11x_7)</f>
        <v>229580</v>
      </c>
      <c r="M10" s="3">
        <f>SUM(OSRRefE11x_8)</f>
        <v>195077</v>
      </c>
      <c r="N10" s="3">
        <f>SUM(OSRRefE11x_9)</f>
        <v>201585</v>
      </c>
      <c r="O10" s="3">
        <f>SUM(OSRRefE11x_10)</f>
        <v>194754</v>
      </c>
      <c r="P10" s="24"/>
      <c r="Q10" s="3">
        <f>SUM(OSRRefG11x)</f>
        <v>2707973.73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--118177.59</f>
        <v>118177.59</v>
      </c>
      <c r="E11" s="2">
        <v>420181</v>
      </c>
      <c r="F11" s="2">
        <v>222974</v>
      </c>
      <c r="G11" s="2">
        <v>229640</v>
      </c>
      <c r="H11" s="2">
        <v>168287</v>
      </c>
      <c r="I11" s="2">
        <v>263832</v>
      </c>
      <c r="J11" s="2">
        <v>242018</v>
      </c>
      <c r="K11" s="2">
        <v>216005</v>
      </c>
      <c r="L11" s="2">
        <v>229580</v>
      </c>
      <c r="M11" s="2">
        <v>195077</v>
      </c>
      <c r="N11" s="2">
        <v>201585</v>
      </c>
      <c r="O11" s="2">
        <v>194754</v>
      </c>
      <c r="Q11" s="2">
        <f>SUM(OSRRefD11_0x)+IFERROR(SUM(OSRRefE11_0x),0)</f>
        <v>2702110.59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--9614.79</f>
        <v>9614.7900000000009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9614.7900000000009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-3631.8</f>
        <v>-3631.8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-3631.8</v>
      </c>
    </row>
    <row r="14" spans="1:18" s="9" customFormat="1" hidden="1" outlineLevel="1" x14ac:dyDescent="0.3">
      <c r="A14" s="22"/>
      <c r="B14" s="10" t="str">
        <f>CONCATENATE("          ","4300", " - ","NON-TAX RETURNS")</f>
        <v xml:space="preserve">          4300 - NON-TAX RETURNS</v>
      </c>
      <c r="C14" s="23"/>
      <c r="D14" s="2">
        <f>-119.85</f>
        <v>-119.85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-119.85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66737.360000000015</v>
      </c>
      <c r="E16" s="3">
        <f>SUM(OSRRefE14x_0)</f>
        <v>221938</v>
      </c>
      <c r="F16" s="3">
        <f>SUM(OSRRefE14x_1)</f>
        <v>110380</v>
      </c>
      <c r="G16" s="3">
        <f>SUM(OSRRefE14x_2)</f>
        <v>113634</v>
      </c>
      <c r="H16" s="3">
        <f>SUM(OSRRefE14x_3)</f>
        <v>86455</v>
      </c>
      <c r="I16" s="3">
        <f>SUM(OSRRefE14x_4)</f>
        <v>133246</v>
      </c>
      <c r="J16" s="3">
        <f>SUM(OSRRefE14x_5)</f>
        <v>121244</v>
      </c>
      <c r="K16" s="3">
        <f>SUM(OSRRefE14x_6)</f>
        <v>109125</v>
      </c>
      <c r="L16" s="3">
        <f>SUM(OSRRefE14x_7)</f>
        <v>112808</v>
      </c>
      <c r="M16" s="3">
        <f>SUM(OSRRefE14x_8)</f>
        <v>95985</v>
      </c>
      <c r="N16" s="3">
        <f>SUM(OSRRefE14x_9)</f>
        <v>103318</v>
      </c>
      <c r="O16" s="3">
        <f>SUM(OSRRefE14x_10)</f>
        <v>107948</v>
      </c>
      <c r="Q16" s="3">
        <f>SUM(OSRRefG14x)</f>
        <v>1382818.36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>
        <v>80555.63</v>
      </c>
      <c r="E17" s="2">
        <v>221938</v>
      </c>
      <c r="F17" s="2">
        <v>110380</v>
      </c>
      <c r="G17" s="2">
        <v>113634</v>
      </c>
      <c r="H17" s="2">
        <v>86455</v>
      </c>
      <c r="I17" s="2">
        <v>133246</v>
      </c>
      <c r="J17" s="2">
        <v>121244</v>
      </c>
      <c r="K17" s="2">
        <v>109125</v>
      </c>
      <c r="L17" s="2">
        <v>112808</v>
      </c>
      <c r="M17" s="2">
        <v>95985</v>
      </c>
      <c r="N17" s="2">
        <v>103318</v>
      </c>
      <c r="O17" s="2">
        <v>107948</v>
      </c>
      <c r="Q17" s="2">
        <f>SUM(OSRRefD14_0x)+IFERROR(SUM(OSRRefE14_0x),0)</f>
        <v>1396636.63</v>
      </c>
    </row>
    <row r="18" spans="1:17" s="9" customFormat="1" hidden="1" outlineLevel="1" x14ac:dyDescent="0.3">
      <c r="A18" s="22"/>
      <c r="B18" s="10" t="str">
        <f>CONCATENATE("          ","5040", " - ","PURCHASES @ COST-LOGO CLOTHING")</f>
        <v xml:space="preserve">          5040 - PURCHASES @ COST-LOGO CLOTHING</v>
      </c>
      <c r="C18" s="23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0</v>
      </c>
    </row>
    <row r="19" spans="1:17" s="9" customFormat="1" hidden="1" outlineLevel="1" x14ac:dyDescent="0.3">
      <c r="A19" s="22"/>
      <c r="B19" s="10" t="str">
        <f>CONCATENATE("          ","5041", " - ","PURCHASES @ COST-LOGO GIFTS")</f>
        <v xml:space="preserve">          5041 - PURCHASES @ COST-LOGO GIFTS</v>
      </c>
      <c r="C19" s="23"/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0</v>
      </c>
    </row>
    <row r="20" spans="1:17" s="9" customFormat="1" hidden="1" outlineLevel="1" x14ac:dyDescent="0.3">
      <c r="A20" s="22"/>
      <c r="B20" s="10" t="str">
        <f>CONCATENATE("          ","5042", " - ","PURCHASES @ COST-EVERYDAY GIFT")</f>
        <v xml:space="preserve">          5042 - PURCHASES @ COST-EVERYDAY GIFT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SUM(OSRRefD14_3x)+IFERROR(SUM(OSRRefE14_3x),0)</f>
        <v>0</v>
      </c>
    </row>
    <row r="21" spans="1:17" s="9" customFormat="1" hidden="1" outlineLevel="1" x14ac:dyDescent="0.3">
      <c r="A21" s="22"/>
      <c r="B21" s="10" t="str">
        <f>CONCATENATE("          ","5043", " - ","PURCHASES @ COST-CARDS")</f>
        <v xml:space="preserve">          5043 - PURCHASES @ COST-CARDS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SUM(OSRRefD14_4x)+IFERROR(SUM(OSRRefE14_4x),0)</f>
        <v>0</v>
      </c>
    </row>
    <row r="22" spans="1:17" s="9" customFormat="1" hidden="1" outlineLevel="1" x14ac:dyDescent="0.3">
      <c r="A22" s="22"/>
      <c r="B22" s="10" t="str">
        <f>CONCATENATE("          ","5044", " - ","PURCHASES @ COST-ACCESSORIES")</f>
        <v xml:space="preserve">          5044 - PURCHASES @ COST-ACCESSORIES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SUM(OSRRefD14_5x)+IFERROR(SUM(OSRRefE14_5x),0)</f>
        <v>0</v>
      </c>
    </row>
    <row r="23" spans="1:17" s="9" customFormat="1" hidden="1" outlineLevel="1" x14ac:dyDescent="0.3">
      <c r="A23" s="22"/>
      <c r="B23" s="10" t="str">
        <f>CONCATENATE("          ","5045", " - ","PURCHASES @ COST-SPECIAL ORDER")</f>
        <v xml:space="preserve">          5045 - PURCHASES @ COST-SPECIAL ORDER</v>
      </c>
      <c r="C23" s="23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SUM(OSRRefD14_6x)+IFERROR(SUM(OSRRefE14_6x),0)</f>
        <v>0</v>
      </c>
    </row>
    <row r="24" spans="1:17" s="9" customFormat="1" hidden="1" outlineLevel="1" x14ac:dyDescent="0.3">
      <c r="A24" s="22"/>
      <c r="B24" s="10" t="str">
        <f>CONCATENATE("          ","5200", " - ","PURCHASES OFFSET")</f>
        <v xml:space="preserve">          5200 - PURCHASES OFFSET</v>
      </c>
      <c r="C24" s="23"/>
      <c r="D24" s="2">
        <v>-81956.95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SUM(OSRRefD14_7x)+IFERROR(SUM(OSRRefE14_7x),0)</f>
        <v>-81956.95</v>
      </c>
    </row>
    <row r="25" spans="1:17" s="9" customFormat="1" hidden="1" outlineLevel="1" x14ac:dyDescent="0.3">
      <c r="A25" s="22"/>
      <c r="B25" s="10" t="str">
        <f>CONCATENATE("          ","5300", " - ","COG$ OFFSET")</f>
        <v xml:space="preserve">          5300 - COG$ OFFSET</v>
      </c>
      <c r="C25" s="23"/>
      <c r="D25" s="2">
        <v>66737.36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SUM(OSRRefD14_8x)+IFERROR(SUM(OSRRefE14_8x),0)</f>
        <v>66737.36</v>
      </c>
    </row>
    <row r="26" spans="1:17" s="9" customFormat="1" hidden="1" outlineLevel="1" x14ac:dyDescent="0.3">
      <c r="A26" s="22"/>
      <c r="B26" s="10" t="str">
        <f>CONCATENATE("          ","5500", " - ","FREIGHT-IN")</f>
        <v xml:space="preserve">          5500 - FREIGHT-IN</v>
      </c>
      <c r="C26" s="23"/>
      <c r="D26" s="2">
        <v>1401.32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SUM(OSRRefD14_9x)+IFERROR(SUM(OSRRefE14_9x),0)</f>
        <v>1401.32</v>
      </c>
    </row>
    <row r="27" spans="1:17" s="9" customFormat="1" hidden="1" outlineLevel="1" x14ac:dyDescent="0.3">
      <c r="A27" s="22"/>
      <c r="B27" s="10" t="str">
        <f>CONCATENATE("          ","5540", " - ","FREIGHT-IN-LOGO CLOTHING")</f>
        <v xml:space="preserve">          5540 - FREIGHT-IN-LOGO CLOTHING</v>
      </c>
      <c r="C27" s="23"/>
      <c r="D27" s="2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>
        <f>SUM(OSRRefD14_10x)+IFERROR(SUM(OSRRefE14_10x),0)</f>
        <v>0</v>
      </c>
    </row>
    <row r="28" spans="1:17" s="9" customFormat="1" hidden="1" outlineLevel="1" x14ac:dyDescent="0.3">
      <c r="A28" s="22"/>
      <c r="B28" s="10" t="str">
        <f>CONCATENATE("          ","5541", " - ","FREIGHT-IN-LOGO GIFTS")</f>
        <v xml:space="preserve">          5541 - FREIGHT-IN-LOGO GIFTS</v>
      </c>
      <c r="C28" s="23"/>
      <c r="D28" s="2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>
        <f>SUM(OSRRefD14_11x)+IFERROR(SUM(OSRRefE14_11x),0)</f>
        <v>0</v>
      </c>
    </row>
    <row r="29" spans="1:17" s="9" customFormat="1" hidden="1" outlineLevel="1" x14ac:dyDescent="0.3">
      <c r="A29" s="22"/>
      <c r="B29" s="10" t="str">
        <f>CONCATENATE("          ","5542", " - ","FREIGHT-IN-EVERYDAY GIFTS")</f>
        <v xml:space="preserve">          5542 - FREIGHT-IN-EVERYDAY GIFTS</v>
      </c>
      <c r="C29" s="23"/>
      <c r="D29" s="2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>
        <f>SUM(OSRRefD14_12x)+IFERROR(SUM(OSRRefE14_12x),0)</f>
        <v>0</v>
      </c>
    </row>
    <row r="30" spans="1:17" s="9" customFormat="1" hidden="1" outlineLevel="1" x14ac:dyDescent="0.3">
      <c r="A30" s="22"/>
      <c r="B30" s="10" t="str">
        <f>CONCATENATE("          ","5544", " - ","FREIGHT-IN-ACCESSORIES")</f>
        <v xml:space="preserve">          5544 - FREIGHT-IN-ACCESSORIES</v>
      </c>
      <c r="C30" s="23"/>
      <c r="D30" s="2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>
        <f>SUM(OSRRefD14_13x)+IFERROR(SUM(OSRRefE14_13x),0)</f>
        <v>0</v>
      </c>
    </row>
    <row r="31" spans="1:17" s="9" customFormat="1" hidden="1" outlineLevel="1" x14ac:dyDescent="0.3">
      <c r="A31" s="22"/>
      <c r="B31" s="10" t="str">
        <f>CONCATENATE("          ","5545", " - ","FREIGHT-IN-SPECIAL ORDERS")</f>
        <v xml:space="preserve">          5545 - FREIGHT-IN-SPECIAL ORDERS</v>
      </c>
      <c r="C31" s="23"/>
      <c r="D31" s="2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>
        <f>SUM(OSRRefD14_14x)+IFERROR(SUM(OSRRefE14_14x),0)</f>
        <v>0</v>
      </c>
    </row>
    <row r="32" spans="1:17" x14ac:dyDescent="0.3">
      <c r="A32" s="5"/>
      <c r="B32" s="6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s="15" customFormat="1" x14ac:dyDescent="0.3">
      <c r="A33" s="6"/>
      <c r="B33" s="17" t="s">
        <v>105</v>
      </c>
      <c r="C33" s="17"/>
      <c r="D33" s="8">
        <f t="shared" ref="D33:O33" si="0">IFERROR(+D10-D16, 0)</f>
        <v>57303.369999999981</v>
      </c>
      <c r="E33" s="8">
        <f t="shared" si="0"/>
        <v>198243</v>
      </c>
      <c r="F33" s="8">
        <f t="shared" si="0"/>
        <v>112594</v>
      </c>
      <c r="G33" s="8">
        <f t="shared" si="0"/>
        <v>116006</v>
      </c>
      <c r="H33" s="8">
        <f t="shared" si="0"/>
        <v>81832</v>
      </c>
      <c r="I33" s="8">
        <f t="shared" si="0"/>
        <v>130586</v>
      </c>
      <c r="J33" s="8">
        <f t="shared" si="0"/>
        <v>120774</v>
      </c>
      <c r="K33" s="8">
        <f t="shared" si="0"/>
        <v>106880</v>
      </c>
      <c r="L33" s="8">
        <f t="shared" si="0"/>
        <v>116772</v>
      </c>
      <c r="M33" s="8">
        <f t="shared" si="0"/>
        <v>99092</v>
      </c>
      <c r="N33" s="8">
        <f t="shared" si="0"/>
        <v>98267</v>
      </c>
      <c r="O33" s="8">
        <f t="shared" si="0"/>
        <v>86806</v>
      </c>
      <c r="Q33" s="8">
        <f>IFERROR(+Q10-Q16, 0)</f>
        <v>1325155.3699999999</v>
      </c>
    </row>
    <row r="34" spans="1:17" s="6" customFormat="1" x14ac:dyDescent="0.3">
      <c r="B34" s="16"/>
      <c r="C34" s="16"/>
      <c r="D34" s="4">
        <f t="shared" ref="D34:O34" si="1">IFERROR(D33/D10, 0)</f>
        <v>0.46197220864469263</v>
      </c>
      <c r="E34" s="4">
        <f t="shared" si="1"/>
        <v>0.47180381787848569</v>
      </c>
      <c r="F34" s="4">
        <f t="shared" si="1"/>
        <v>0.50496470440499786</v>
      </c>
      <c r="G34" s="4">
        <f t="shared" si="1"/>
        <v>0.50516460546943043</v>
      </c>
      <c r="H34" s="4">
        <f t="shared" si="1"/>
        <v>0.48626453617926518</v>
      </c>
      <c r="I34" s="4">
        <f t="shared" si="1"/>
        <v>0.49495891324782437</v>
      </c>
      <c r="J34" s="4">
        <f t="shared" si="1"/>
        <v>0.49902899784313565</v>
      </c>
      <c r="K34" s="4">
        <f t="shared" si="1"/>
        <v>0.49480336103330941</v>
      </c>
      <c r="L34" s="4">
        <f t="shared" si="1"/>
        <v>0.50863315619827509</v>
      </c>
      <c r="M34" s="4">
        <f t="shared" si="1"/>
        <v>0.50796352209640294</v>
      </c>
      <c r="N34" s="4">
        <f t="shared" si="1"/>
        <v>0.48747178609519559</v>
      </c>
      <c r="O34" s="4">
        <f t="shared" si="1"/>
        <v>0.44572126888279573</v>
      </c>
      <c r="P34" s="18"/>
      <c r="Q34" s="4">
        <f>IFERROR(Q33/Q10, 0)</f>
        <v>0.48935311126522629</v>
      </c>
    </row>
    <row r="35" spans="1:17" x14ac:dyDescent="0.3">
      <c r="A35" s="5"/>
      <c r="B35" s="6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</row>
    <row r="36" spans="1:17" s="15" customFormat="1" x14ac:dyDescent="0.3">
      <c r="A36" s="6"/>
      <c r="B36" s="16" t="s">
        <v>255</v>
      </c>
      <c r="C36" s="6"/>
      <c r="D36" s="13">
        <f>SUM(OSRRefD20x_0)</f>
        <v>79291.010000000009</v>
      </c>
      <c r="E36" s="13">
        <f>SUM(OSRRefE20x_0)</f>
        <v>74442.641701923087</v>
      </c>
      <c r="F36" s="13">
        <f>SUM(OSRRefE20x_1)</f>
        <v>75740.869701923075</v>
      </c>
      <c r="G36" s="13">
        <f>SUM(OSRRefE20x_2)</f>
        <v>102674.96212740385</v>
      </c>
      <c r="H36" s="13">
        <f>SUM(OSRRefE20x_3)</f>
        <v>77488.869701923075</v>
      </c>
      <c r="I36" s="13">
        <f>SUM(OSRRefE20x_4)</f>
        <v>76380.869701923075</v>
      </c>
      <c r="J36" s="13">
        <f>SUM(OSRRefE20x_5)</f>
        <v>103535.46949740386</v>
      </c>
      <c r="K36" s="13">
        <f>SUM(OSRRefE20x_6)</f>
        <v>78634.075597923074</v>
      </c>
      <c r="L36" s="13">
        <f>SUM(OSRRefE20x_7)</f>
        <v>79273.075597923074</v>
      </c>
      <c r="M36" s="13">
        <f>SUM(OSRRefE20x_8)</f>
        <v>110932.46949740386</v>
      </c>
      <c r="N36" s="13">
        <f>SUM(OSRRefE20x_9)</f>
        <v>80344.075597923074</v>
      </c>
      <c r="O36" s="13">
        <f>SUM(OSRRefE20x_10)</f>
        <v>79249.991637923085</v>
      </c>
      <c r="Q36" s="13">
        <f>SUM(OSRRefG20x)</f>
        <v>1017988.3803615962</v>
      </c>
    </row>
    <row r="37" spans="1:17" s="34" customFormat="1" collapsed="1" x14ac:dyDescent="0.3">
      <c r="A37" s="35"/>
      <c r="B37" s="14" t="str">
        <f>CONCATENATE("     ","*Benefits                                         ")</f>
        <v xml:space="preserve">     *Benefits                                         </v>
      </c>
      <c r="C37" s="14"/>
      <c r="D37" s="1">
        <f>SUM(OSRRefD21_0x_0)</f>
        <v>12377.75</v>
      </c>
      <c r="E37" s="1">
        <f>SUM(OSRRefE21_0x_0)</f>
        <v>15340.891701923081</v>
      </c>
      <c r="F37" s="1">
        <f>SUM(OSRRefE21_0x_1)</f>
        <v>17453.119701923082</v>
      </c>
      <c r="G37" s="1">
        <f>SUM(OSRRefE21_0x_2)</f>
        <v>20510.774627403851</v>
      </c>
      <c r="H37" s="1">
        <f>SUM(OSRRefE21_0x_3)</f>
        <v>17453.119701923082</v>
      </c>
      <c r="I37" s="1">
        <f>SUM(OSRRefE21_0x_4)</f>
        <v>17453.119701923082</v>
      </c>
      <c r="J37" s="1">
        <f>SUM(OSRRefE21_0x_5)</f>
        <v>20883.481997403855</v>
      </c>
      <c r="K37" s="1">
        <f>SUM(OSRRefE21_0x_6)</f>
        <v>17751.285597923081</v>
      </c>
      <c r="L37" s="1">
        <f>SUM(OSRRefE21_0x_7)</f>
        <v>17751.285597923081</v>
      </c>
      <c r="M37" s="1">
        <f>SUM(OSRRefE21_0x_8)</f>
        <v>20883.481997403855</v>
      </c>
      <c r="N37" s="1">
        <f>SUM(OSRRefE21_0x_9)</f>
        <v>17751.285597923081</v>
      </c>
      <c r="O37" s="1">
        <f>SUM(OSRRefE21_0x_10)</f>
        <v>15491.201637923081</v>
      </c>
      <c r="Q37" s="2">
        <f>SUM(OSRRefD20_0x)+IFERROR(SUM(OSRRefE20_0x),0)</f>
        <v>211100.79786159622</v>
      </c>
    </row>
    <row r="38" spans="1:17" s="34" customFormat="1" hidden="1" outlineLevel="1" x14ac:dyDescent="0.3">
      <c r="A38" s="35"/>
      <c r="B38" s="10" t="str">
        <f>CONCATENATE("          ","6111", " - ","F.I.C.A.")</f>
        <v xml:space="preserve">          6111 - F.I.C.A.</v>
      </c>
      <c r="C38" s="14"/>
      <c r="D38" s="2">
        <v>2854.43</v>
      </c>
      <c r="E38" s="2">
        <v>2145.709875</v>
      </c>
      <c r="F38" s="2">
        <v>4257.9378749999996</v>
      </c>
      <c r="G38" s="2">
        <v>5322.4223437500004</v>
      </c>
      <c r="H38" s="2">
        <v>4257.9378749999996</v>
      </c>
      <c r="I38" s="2">
        <v>4257.9378749999996</v>
      </c>
      <c r="J38" s="2">
        <v>5545.8134137500001</v>
      </c>
      <c r="K38" s="2">
        <v>4436.6507309999997</v>
      </c>
      <c r="L38" s="2">
        <v>4436.6507309999997</v>
      </c>
      <c r="M38" s="2">
        <v>5545.8134137500001</v>
      </c>
      <c r="N38" s="2">
        <v>4436.6507309999997</v>
      </c>
      <c r="O38" s="2">
        <v>2176.5667709999998</v>
      </c>
      <c r="P38" s="9"/>
      <c r="Q38" s="2">
        <f>SUM(OSRRefD21_0_0x)+IFERROR(SUM(OSRRefE21_0_0x),0)</f>
        <v>49674.521635250007</v>
      </c>
    </row>
    <row r="39" spans="1:17" s="34" customFormat="1" hidden="1" outlineLevel="1" x14ac:dyDescent="0.3">
      <c r="A39" s="35"/>
      <c r="B39" s="10" t="str">
        <f>CONCATENATE("          ","6112", " - ","COMPENSATION INSURANCE")</f>
        <v xml:space="preserve">          6112 - COMPENSATION INSURANCE</v>
      </c>
      <c r="C39" s="14"/>
      <c r="D39" s="2">
        <v>697.24</v>
      </c>
      <c r="E39" s="2">
        <v>867.94500000000005</v>
      </c>
      <c r="F39" s="2">
        <v>867.94500000000005</v>
      </c>
      <c r="G39" s="2">
        <v>1084.9312500000001</v>
      </c>
      <c r="H39" s="2">
        <v>867.94500000000005</v>
      </c>
      <c r="I39" s="2">
        <v>867.94500000000005</v>
      </c>
      <c r="J39" s="2">
        <v>1130.46765</v>
      </c>
      <c r="K39" s="2">
        <v>904.37411999999995</v>
      </c>
      <c r="L39" s="2">
        <v>904.37411999999995</v>
      </c>
      <c r="M39" s="2">
        <v>1130.46765</v>
      </c>
      <c r="N39" s="2">
        <v>904.37411999999995</v>
      </c>
      <c r="O39" s="2">
        <v>904.37411999999995</v>
      </c>
      <c r="P39" s="9"/>
      <c r="Q39" s="2">
        <f>SUM(OSRRefD21_0_1x)+IFERROR(SUM(OSRRefE21_0_1x),0)</f>
        <v>11132.383030000003</v>
      </c>
    </row>
    <row r="40" spans="1:17" s="34" customFormat="1" hidden="1" outlineLevel="1" x14ac:dyDescent="0.3">
      <c r="A40" s="35"/>
      <c r="B40" s="10" t="str">
        <f>CONCATENATE("          ","6113", " - ","GROUP INSURANCE")</f>
        <v xml:space="preserve">          6113 - GROUP INSURANCE</v>
      </c>
      <c r="C40" s="14"/>
      <c r="D40" s="2">
        <v>4284.43</v>
      </c>
      <c r="E40" s="2">
        <v>6784.4230769230799</v>
      </c>
      <c r="F40" s="2">
        <v>6784.4230769230799</v>
      </c>
      <c r="G40" s="2">
        <v>7393.6538461538503</v>
      </c>
      <c r="H40" s="2">
        <v>6784.4230769230799</v>
      </c>
      <c r="I40" s="2">
        <v>6784.4230769230799</v>
      </c>
      <c r="J40" s="2">
        <v>7393.6538461538503</v>
      </c>
      <c r="K40" s="2">
        <v>6784.4230769230799</v>
      </c>
      <c r="L40" s="2">
        <v>6784.4230769230799</v>
      </c>
      <c r="M40" s="2">
        <v>7393.6538461538503</v>
      </c>
      <c r="N40" s="2">
        <v>6784.4230769230799</v>
      </c>
      <c r="O40" s="2">
        <v>6784.4230769230799</v>
      </c>
      <c r="P40" s="9"/>
      <c r="Q40" s="2">
        <f>SUM(OSRRefD21_0_2x)+IFERROR(SUM(OSRRefE21_0_2x),0)</f>
        <v>80740.776153846178</v>
      </c>
    </row>
    <row r="41" spans="1:17" s="34" customFormat="1" hidden="1" outlineLevel="1" x14ac:dyDescent="0.3">
      <c r="A41" s="35"/>
      <c r="B41" s="10" t="str">
        <f>CONCATENATE("          ","6114", " - ","STATE UNEMPLOYMENT INSURANCE")</f>
        <v xml:space="preserve">          6114 - STATE UNEMPLOYMENT INSURANCE</v>
      </c>
      <c r="C41" s="14"/>
      <c r="D41" s="2">
        <v>122.49</v>
      </c>
      <c r="E41" s="2">
        <v>116.83875</v>
      </c>
      <c r="F41" s="2">
        <v>116.83875</v>
      </c>
      <c r="G41" s="2">
        <v>146.04843750000001</v>
      </c>
      <c r="H41" s="2">
        <v>116.83875</v>
      </c>
      <c r="I41" s="2">
        <v>116.83875</v>
      </c>
      <c r="J41" s="2">
        <v>152.1783375</v>
      </c>
      <c r="K41" s="2">
        <v>121.74267</v>
      </c>
      <c r="L41" s="2">
        <v>121.74267</v>
      </c>
      <c r="M41" s="2">
        <v>152.1783375</v>
      </c>
      <c r="N41" s="2">
        <v>121.74267</v>
      </c>
      <c r="O41" s="2">
        <v>121.74267</v>
      </c>
      <c r="P41" s="9"/>
      <c r="Q41" s="2">
        <f>SUM(OSRRefD21_0_3x)+IFERROR(SUM(OSRRefE21_0_3x),0)</f>
        <v>1527.2207925</v>
      </c>
    </row>
    <row r="42" spans="1:17" s="34" customFormat="1" hidden="1" outlineLevel="1" x14ac:dyDescent="0.3">
      <c r="A42" s="35"/>
      <c r="B42" s="10" t="str">
        <f>CONCATENATE("          ","6115", " - ","P.E.R.S.")</f>
        <v xml:space="preserve">          6115 - P.E.R.S.</v>
      </c>
      <c r="C42" s="14"/>
      <c r="D42" s="2">
        <v>1490.59</v>
      </c>
      <c r="E42" s="2">
        <v>1207.2249999999999</v>
      </c>
      <c r="F42" s="2">
        <v>1207.2249999999999</v>
      </c>
      <c r="G42" s="2">
        <v>1509.03125</v>
      </c>
      <c r="H42" s="2">
        <v>1207.2249999999999</v>
      </c>
      <c r="I42" s="2">
        <v>1207.2249999999999</v>
      </c>
      <c r="J42" s="2">
        <v>1509.03125</v>
      </c>
      <c r="K42" s="2">
        <v>1207.2249999999999</v>
      </c>
      <c r="L42" s="2">
        <v>1207.2249999999999</v>
      </c>
      <c r="M42" s="2">
        <v>1509.03125</v>
      </c>
      <c r="N42" s="2">
        <v>1207.2249999999999</v>
      </c>
      <c r="O42" s="2">
        <v>1207.2249999999999</v>
      </c>
      <c r="P42" s="9"/>
      <c r="Q42" s="2">
        <f>SUM(OSRRefD21_0_4x)+IFERROR(SUM(OSRRefE21_0_4x),0)</f>
        <v>15675.483750000001</v>
      </c>
    </row>
    <row r="43" spans="1:17" s="34" customFormat="1" hidden="1" outlineLevel="1" x14ac:dyDescent="0.3">
      <c r="A43" s="35"/>
      <c r="B43" s="10" t="str">
        <f>CONCATENATE("          ","6116", " - ","EDUCATIONAL BENEFITS")</f>
        <v xml:space="preserve">          6116 - EDUCATIONAL BENEFITS</v>
      </c>
      <c r="C43" s="14"/>
      <c r="D43" s="2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9"/>
      <c r="Q43" s="2">
        <f>SUM(OSRRefD21_0_5x)+IFERROR(SUM(OSRRefE21_0_5x),0)</f>
        <v>0</v>
      </c>
    </row>
    <row r="44" spans="1:17" s="34" customFormat="1" hidden="1" outlineLevel="1" x14ac:dyDescent="0.3">
      <c r="A44" s="35"/>
      <c r="B44" s="10" t="str">
        <f>CONCATENATE("          ","6118", " - ","VACATION")</f>
        <v xml:space="preserve">          6118 - VACATION</v>
      </c>
      <c r="C44" s="14"/>
      <c r="D44" s="2">
        <v>1573.42</v>
      </c>
      <c r="E44" s="2">
        <v>1113.875</v>
      </c>
      <c r="F44" s="2">
        <v>1113.875</v>
      </c>
      <c r="G44" s="2">
        <v>1392.34375</v>
      </c>
      <c r="H44" s="2">
        <v>1113.875</v>
      </c>
      <c r="I44" s="2">
        <v>1113.875</v>
      </c>
      <c r="J44" s="2">
        <v>1392.34375</v>
      </c>
      <c r="K44" s="2">
        <v>1113.875</v>
      </c>
      <c r="L44" s="2">
        <v>1113.875</v>
      </c>
      <c r="M44" s="2">
        <v>1392.34375</v>
      </c>
      <c r="N44" s="2">
        <v>1113.875</v>
      </c>
      <c r="O44" s="2">
        <v>1113.875</v>
      </c>
      <c r="P44" s="9"/>
      <c r="Q44" s="2">
        <f>SUM(OSRRefD21_0_6x)+IFERROR(SUM(OSRRefE21_0_6x),0)</f>
        <v>14661.45125</v>
      </c>
    </row>
    <row r="45" spans="1:17" s="34" customFormat="1" hidden="1" outlineLevel="1" x14ac:dyDescent="0.3">
      <c r="A45" s="35"/>
      <c r="B45" s="10" t="str">
        <f>CONCATENATE("          ","6119", " - ","SICK LEAVE")</f>
        <v xml:space="preserve">          6119 - SICK LEAVE</v>
      </c>
      <c r="C45" s="14"/>
      <c r="D45" s="2">
        <v>1066.4000000000001</v>
      </c>
      <c r="E45" s="2">
        <v>2229.875</v>
      </c>
      <c r="F45" s="2">
        <v>2229.875</v>
      </c>
      <c r="G45" s="2">
        <v>2787.34375</v>
      </c>
      <c r="H45" s="2">
        <v>2229.875</v>
      </c>
      <c r="I45" s="2">
        <v>2229.875</v>
      </c>
      <c r="J45" s="2">
        <v>2884.9937500000001</v>
      </c>
      <c r="K45" s="2">
        <v>2307.9949999999999</v>
      </c>
      <c r="L45" s="2">
        <v>2307.9949999999999</v>
      </c>
      <c r="M45" s="2">
        <v>2884.9937500000001</v>
      </c>
      <c r="N45" s="2">
        <v>2307.9949999999999</v>
      </c>
      <c r="O45" s="2">
        <v>2307.9949999999999</v>
      </c>
      <c r="P45" s="9"/>
      <c r="Q45" s="2">
        <f>SUM(OSRRefD21_0_7x)+IFERROR(SUM(OSRRefE21_0_7x),0)</f>
        <v>27775.21125</v>
      </c>
    </row>
    <row r="46" spans="1:17" s="34" customFormat="1" hidden="1" outlineLevel="1" x14ac:dyDescent="0.3">
      <c r="A46" s="35"/>
      <c r="B46" s="10" t="str">
        <f>CONCATENATE("          ","6156", " - ","EMPLOYEE MEALS")</f>
        <v xml:space="preserve">          6156 - EMPLOYEE MEALS</v>
      </c>
      <c r="C46" s="14"/>
      <c r="D46" s="2">
        <v>288.75</v>
      </c>
      <c r="E46" s="2">
        <v>875</v>
      </c>
      <c r="F46" s="2">
        <v>875</v>
      </c>
      <c r="G46" s="2">
        <v>875</v>
      </c>
      <c r="H46" s="2">
        <v>875</v>
      </c>
      <c r="I46" s="2">
        <v>875</v>
      </c>
      <c r="J46" s="2">
        <v>875</v>
      </c>
      <c r="K46" s="2">
        <v>875</v>
      </c>
      <c r="L46" s="2">
        <v>875</v>
      </c>
      <c r="M46" s="2">
        <v>875</v>
      </c>
      <c r="N46" s="2">
        <v>875</v>
      </c>
      <c r="O46" s="2">
        <v>875</v>
      </c>
      <c r="P46" s="9"/>
      <c r="Q46" s="2">
        <f>SUM(OSRRefD21_0_8x)+IFERROR(SUM(OSRRefE21_0_8x),0)</f>
        <v>9913.75</v>
      </c>
    </row>
    <row r="47" spans="1:17" s="34" customFormat="1" collapsed="1" x14ac:dyDescent="0.3">
      <c r="A47" s="35"/>
      <c r="B47" s="14" t="str">
        <f>CONCATENATE("     ","*Payroll                                          ")</f>
        <v xml:space="preserve">     *Payroll                                          </v>
      </c>
      <c r="C47" s="14"/>
      <c r="D47" s="1">
        <f>SUM(OSRRefD21_1x_0)</f>
        <v>52676.639999999999</v>
      </c>
      <c r="E47" s="1">
        <f>SUM(OSRRefE21_1x_0)</f>
        <v>53121.75</v>
      </c>
      <c r="F47" s="1">
        <f>SUM(OSRRefE21_1x_1)</f>
        <v>53121.75</v>
      </c>
      <c r="G47" s="1">
        <f>SUM(OSRRefE21_1x_2)</f>
        <v>66402.1875</v>
      </c>
      <c r="H47" s="1">
        <f>SUM(OSRRefE21_1x_3)</f>
        <v>53121.75</v>
      </c>
      <c r="I47" s="1">
        <f>SUM(OSRRefE21_1x_4)</f>
        <v>53121.75</v>
      </c>
      <c r="J47" s="1">
        <f>SUM(OSRRefE21_1x_5)</f>
        <v>69295.987500000003</v>
      </c>
      <c r="K47" s="1">
        <f>SUM(OSRRefE21_1x_6)</f>
        <v>55436.79</v>
      </c>
      <c r="L47" s="1">
        <f>SUM(OSRRefE21_1x_7)</f>
        <v>55436.79</v>
      </c>
      <c r="M47" s="1">
        <f>SUM(OSRRefE21_1x_8)</f>
        <v>69295.987500000003</v>
      </c>
      <c r="N47" s="1">
        <f>SUM(OSRRefE21_1x_9)</f>
        <v>55436.79</v>
      </c>
      <c r="O47" s="1">
        <f>SUM(OSRRefE21_1x_10)</f>
        <v>55436.79</v>
      </c>
      <c r="Q47" s="2">
        <f>SUM(OSRRefD20_1x)+IFERROR(SUM(OSRRefE20_1x),0)</f>
        <v>691904.96250000002</v>
      </c>
    </row>
    <row r="48" spans="1:17" s="34" customFormat="1" hidden="1" outlineLevel="1" x14ac:dyDescent="0.3">
      <c r="A48" s="35"/>
      <c r="B48" s="10" t="str">
        <f>CONCATENATE("          ","6001", " - ","ADMINISTRATIVE SALARIES")</f>
        <v xml:space="preserve">          6001 - ADMINISTRATIVE SALARIES</v>
      </c>
      <c r="C48" s="14"/>
      <c r="D48" s="2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9"/>
      <c r="Q48" s="2">
        <f>SUM(OSRRefD21_1_0x)+IFERROR(SUM(OSRRefE21_1_0x),0)</f>
        <v>0</v>
      </c>
    </row>
    <row r="49" spans="1:17" s="34" customFormat="1" hidden="1" outlineLevel="1" x14ac:dyDescent="0.3">
      <c r="A49" s="35"/>
      <c r="B49" s="10" t="str">
        <f>CONCATENATE("          ","6002", " - ","STAFF SALARIES")</f>
        <v xml:space="preserve">          6002 - STAFF SALARIES</v>
      </c>
      <c r="C49" s="14"/>
      <c r="D49" s="2">
        <v>15720.22</v>
      </c>
      <c r="E49" s="2">
        <v>12633.75</v>
      </c>
      <c r="F49" s="2">
        <v>12633.75</v>
      </c>
      <c r="G49" s="2">
        <v>15792.1875</v>
      </c>
      <c r="H49" s="2">
        <v>12633.75</v>
      </c>
      <c r="I49" s="2">
        <v>12633.75</v>
      </c>
      <c r="J49" s="2">
        <v>15792.1875</v>
      </c>
      <c r="K49" s="2">
        <v>12633.75</v>
      </c>
      <c r="L49" s="2">
        <v>12633.75</v>
      </c>
      <c r="M49" s="2">
        <v>15792.1875</v>
      </c>
      <c r="N49" s="2">
        <v>12633.75</v>
      </c>
      <c r="O49" s="2">
        <v>12633.75</v>
      </c>
      <c r="P49" s="9"/>
      <c r="Q49" s="2">
        <f>SUM(OSRRefD21_1_1x)+IFERROR(SUM(OSRRefE21_1_1x),0)</f>
        <v>164166.7825</v>
      </c>
    </row>
    <row r="50" spans="1:17" s="34" customFormat="1" hidden="1" outlineLevel="1" x14ac:dyDescent="0.3">
      <c r="A50" s="35"/>
      <c r="B50" s="10" t="str">
        <f>CONCATENATE("          ","6003", " - ","STAFF HOURLY-9 MONTH")</f>
        <v xml:space="preserve">          6003 - STAFF HOURLY-9 MONTH</v>
      </c>
      <c r="C50" s="14"/>
      <c r="D50" s="2"/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9"/>
      <c r="Q50" s="2">
        <f>SUM(OSRRefD21_1_2x)+IFERROR(SUM(OSRRefE21_1_2x),0)</f>
        <v>0</v>
      </c>
    </row>
    <row r="51" spans="1:17" s="34" customFormat="1" hidden="1" outlineLevel="1" x14ac:dyDescent="0.3">
      <c r="A51" s="35"/>
      <c r="B51" s="10" t="str">
        <f>CONCATENATE("          ","6004", " - ","STAFF HOURLY")</f>
        <v xml:space="preserve">          6004 - STAFF HOURLY</v>
      </c>
      <c r="C51" s="14"/>
      <c r="D51" s="2">
        <v>8114.48</v>
      </c>
      <c r="E51" s="2">
        <v>12888</v>
      </c>
      <c r="F51" s="2">
        <v>12888</v>
      </c>
      <c r="G51" s="2">
        <v>16110</v>
      </c>
      <c r="H51" s="2">
        <v>12888</v>
      </c>
      <c r="I51" s="2">
        <v>12888</v>
      </c>
      <c r="J51" s="2">
        <v>16588.8</v>
      </c>
      <c r="K51" s="2">
        <v>13271.04</v>
      </c>
      <c r="L51" s="2">
        <v>13271.04</v>
      </c>
      <c r="M51" s="2">
        <v>16588.8</v>
      </c>
      <c r="N51" s="2">
        <v>13271.04</v>
      </c>
      <c r="O51" s="2">
        <v>13271.04</v>
      </c>
      <c r="P51" s="9"/>
      <c r="Q51" s="2">
        <f>SUM(OSRRefD21_1_3x)+IFERROR(SUM(OSRRefE21_1_3x),0)</f>
        <v>162038.24000000002</v>
      </c>
    </row>
    <row r="52" spans="1:17" s="34" customFormat="1" hidden="1" outlineLevel="1" x14ac:dyDescent="0.3">
      <c r="A52" s="35"/>
      <c r="B52" s="10" t="str">
        <f>CONCATENATE("          ","6005", " - ","TEMPORARY WAGES-HOURLY")</f>
        <v xml:space="preserve">          6005 - TEMPORARY WAGES-HOURLY</v>
      </c>
      <c r="C52" s="14"/>
      <c r="D52" s="2">
        <v>2014.56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9"/>
      <c r="Q52" s="2">
        <f>SUM(OSRRefD21_1_4x)+IFERROR(SUM(OSRRefE21_1_4x),0)</f>
        <v>2014.56</v>
      </c>
    </row>
    <row r="53" spans="1:17" s="34" customFormat="1" hidden="1" outlineLevel="1" x14ac:dyDescent="0.3">
      <c r="A53" s="35"/>
      <c r="B53" s="10" t="str">
        <f>CONCATENATE("          ","6006", " - ","TEMPORARY PART TIME")</f>
        <v xml:space="preserve">          6006 - TEMPORARY PART TIME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SUM(OSRRefD21_1_5x)+IFERROR(SUM(OSRRefE21_1_5x),0)</f>
        <v>0</v>
      </c>
    </row>
    <row r="54" spans="1:17" s="34" customFormat="1" hidden="1" outlineLevel="1" x14ac:dyDescent="0.3">
      <c r="A54" s="35"/>
      <c r="B54" s="10" t="str">
        <f>CONCATENATE("          ","6007", " - ","STUDENT HOURLY")</f>
        <v xml:space="preserve">          6007 - STUDENT HOURLY</v>
      </c>
      <c r="C54" s="14"/>
      <c r="D54" s="2">
        <v>19302.939999999999</v>
      </c>
      <c r="E54" s="2">
        <v>0</v>
      </c>
      <c r="F54" s="2">
        <v>27600</v>
      </c>
      <c r="G54" s="2">
        <v>34500</v>
      </c>
      <c r="H54" s="2">
        <v>27600</v>
      </c>
      <c r="I54" s="2">
        <v>27600</v>
      </c>
      <c r="J54" s="2">
        <v>36915</v>
      </c>
      <c r="K54" s="2">
        <v>29532</v>
      </c>
      <c r="L54" s="2">
        <v>29532</v>
      </c>
      <c r="M54" s="2">
        <v>36915</v>
      </c>
      <c r="N54" s="2">
        <v>29532</v>
      </c>
      <c r="O54" s="2">
        <v>0</v>
      </c>
      <c r="P54" s="9"/>
      <c r="Q54" s="2">
        <f>SUM(OSRRefD21_1_6x)+IFERROR(SUM(OSRRefE21_1_6x),0)</f>
        <v>299028.94</v>
      </c>
    </row>
    <row r="55" spans="1:17" s="34" customFormat="1" hidden="1" outlineLevel="1" x14ac:dyDescent="0.3">
      <c r="A55" s="35"/>
      <c r="B55" s="10" t="str">
        <f>CONCATENATE("          ","6008", " - ","STUDENT HOURLY-FICA EXEMPT")</f>
        <v xml:space="preserve">          6008 - STUDENT HOURLY-FICA EXEMPT</v>
      </c>
      <c r="C55" s="14"/>
      <c r="D55" s="2">
        <v>7524.44</v>
      </c>
      <c r="E55" s="2">
        <v>27600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29532</v>
      </c>
      <c r="P55" s="9"/>
      <c r="Q55" s="2">
        <f>SUM(OSRRefD21_1_7x)+IFERROR(SUM(OSRRefE21_1_7x),0)</f>
        <v>64656.44</v>
      </c>
    </row>
    <row r="56" spans="1:17" s="34" customFormat="1" hidden="1" outlineLevel="1" x14ac:dyDescent="0.3">
      <c r="A56" s="35"/>
      <c r="B56" s="10" t="str">
        <f>CONCATENATE("          ","6009", " - ","TEMPORARY-SEASONAL")</f>
        <v xml:space="preserve">          6009 - TEMPORARY-SEASONAL</v>
      </c>
      <c r="C56" s="14"/>
      <c r="D56" s="2"/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9"/>
      <c r="Q56" s="2">
        <f>SUM(OSRRefD21_1_8x)+IFERROR(SUM(OSRRefE21_1_8x),0)</f>
        <v>0</v>
      </c>
    </row>
    <row r="57" spans="1:17" s="34" customFormat="1" hidden="1" outlineLevel="1" x14ac:dyDescent="0.3">
      <c r="A57" s="35"/>
      <c r="B57" s="10" t="str">
        <f>CONCATENATE("          ","6010", " - ","GRATUITY")</f>
        <v xml:space="preserve">          6010 - GRATUITY</v>
      </c>
      <c r="C57" s="14"/>
      <c r="D57" s="2"/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9"/>
      <c r="Q57" s="2">
        <f>SUM(OSRRefD21_1_9x)+IFERROR(SUM(OSRRefE21_1_9x),0)</f>
        <v>0</v>
      </c>
    </row>
    <row r="58" spans="1:17" s="34" customFormat="1" collapsed="1" x14ac:dyDescent="0.3">
      <c r="A58" s="35"/>
      <c r="B58" s="14" t="str">
        <f>CONCATENATE("     ","Advertising/Promo                                 ")</f>
        <v xml:space="preserve">     Advertising/Promo                                 </v>
      </c>
      <c r="C58" s="14"/>
      <c r="D58" s="1">
        <f>SUM(OSRRefD21_2x_0)</f>
        <v>198.63</v>
      </c>
      <c r="E58" s="1">
        <f>SUM(OSRRefE21_2x_0)</f>
        <v>50</v>
      </c>
      <c r="F58" s="1">
        <f>SUM(OSRRefE21_2x_1)</f>
        <v>50</v>
      </c>
      <c r="G58" s="1">
        <f>SUM(OSRRefE21_2x_2)</f>
        <v>50</v>
      </c>
      <c r="H58" s="1">
        <f>SUM(OSRRefE21_2x_3)</f>
        <v>50</v>
      </c>
      <c r="I58" s="1">
        <f>SUM(OSRRefE21_2x_4)</f>
        <v>50</v>
      </c>
      <c r="J58" s="1">
        <f>SUM(OSRRefE21_2x_5)</f>
        <v>50</v>
      </c>
      <c r="K58" s="1">
        <f>SUM(OSRRefE21_2x_6)</f>
        <v>50</v>
      </c>
      <c r="L58" s="1">
        <f>SUM(OSRRefE21_2x_7)</f>
        <v>50</v>
      </c>
      <c r="M58" s="1">
        <f>SUM(OSRRefE21_2x_8)</f>
        <v>50</v>
      </c>
      <c r="N58" s="1">
        <f>SUM(OSRRefE21_2x_9)</f>
        <v>50</v>
      </c>
      <c r="O58" s="1">
        <f>SUM(OSRRefE21_2x_10)</f>
        <v>50</v>
      </c>
      <c r="Q58" s="2">
        <f>SUM(OSRRefD20_2x)+IFERROR(SUM(OSRRefE20_2x),0)</f>
        <v>748.63</v>
      </c>
    </row>
    <row r="59" spans="1:17" s="34" customFormat="1" hidden="1" outlineLevel="1" x14ac:dyDescent="0.3">
      <c r="A59" s="35"/>
      <c r="B59" s="10" t="str">
        <f>CONCATENATE("          ","6362", " - ","ADVERTISING EXPENSE")</f>
        <v xml:space="preserve">          6362 - ADVERTISING EXPENSE</v>
      </c>
      <c r="C59" s="14"/>
      <c r="D59" s="2">
        <v>198.63</v>
      </c>
      <c r="E59" s="2">
        <v>50</v>
      </c>
      <c r="F59" s="2">
        <v>50</v>
      </c>
      <c r="G59" s="2">
        <v>50</v>
      </c>
      <c r="H59" s="2">
        <v>50</v>
      </c>
      <c r="I59" s="2">
        <v>50</v>
      </c>
      <c r="J59" s="2">
        <v>50</v>
      </c>
      <c r="K59" s="2">
        <v>50</v>
      </c>
      <c r="L59" s="2">
        <v>50</v>
      </c>
      <c r="M59" s="2">
        <v>50</v>
      </c>
      <c r="N59" s="2">
        <v>50</v>
      </c>
      <c r="O59" s="2">
        <v>50</v>
      </c>
      <c r="P59" s="9"/>
      <c r="Q59" s="2">
        <f>SUM(OSRRefD21_2_0x)+IFERROR(SUM(OSRRefE21_2_0x),0)</f>
        <v>748.63</v>
      </c>
    </row>
    <row r="60" spans="1:17" s="34" customFormat="1" collapsed="1" x14ac:dyDescent="0.3">
      <c r="A60" s="35"/>
      <c r="B60" s="14" t="str">
        <f>CONCATENATE("     ","Bad Debts/Over/Short                              ")</f>
        <v xml:space="preserve">     Bad Debts/Over/Short                              </v>
      </c>
      <c r="C60" s="14"/>
      <c r="D60" s="1">
        <f>SUM(OSRRefD21_3x_0)</f>
        <v>0</v>
      </c>
      <c r="E60" s="1">
        <f>SUM(OSRRefE21_3x_0)</f>
        <v>0</v>
      </c>
      <c r="F60" s="1">
        <f>SUM(OSRRefE21_3x_1)</f>
        <v>0</v>
      </c>
      <c r="G60" s="1">
        <f>SUM(OSRRefE21_3x_2)</f>
        <v>0</v>
      </c>
      <c r="H60" s="1">
        <f>SUM(OSRRefE21_3x_3)</f>
        <v>0</v>
      </c>
      <c r="I60" s="1">
        <f>SUM(OSRRefE21_3x_4)</f>
        <v>0</v>
      </c>
      <c r="J60" s="1">
        <f>SUM(OSRRefE21_3x_5)</f>
        <v>0</v>
      </c>
      <c r="K60" s="1">
        <f>SUM(OSRRefE21_3x_6)</f>
        <v>0</v>
      </c>
      <c r="L60" s="1">
        <f>SUM(OSRRefE21_3x_7)</f>
        <v>0</v>
      </c>
      <c r="M60" s="1">
        <f>SUM(OSRRefE21_3x_8)</f>
        <v>0</v>
      </c>
      <c r="N60" s="1">
        <f>SUM(OSRRefE21_3x_9)</f>
        <v>0</v>
      </c>
      <c r="O60" s="1">
        <f>SUM(OSRRefE21_3x_10)</f>
        <v>0</v>
      </c>
      <c r="Q60" s="2">
        <f>SUM(OSRRefD20_3x)+IFERROR(SUM(OSRRefE20_3x),0)</f>
        <v>0</v>
      </c>
    </row>
    <row r="61" spans="1:17" s="34" customFormat="1" hidden="1" outlineLevel="1" x14ac:dyDescent="0.3">
      <c r="A61" s="35"/>
      <c r="B61" s="10" t="str">
        <f>CONCATENATE("          ","6272", " - ","CASH (OVER/SHORT)")</f>
        <v xml:space="preserve">          6272 - CASH (OVER/SHORT)</v>
      </c>
      <c r="C61" s="14"/>
      <c r="D61" s="2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9"/>
      <c r="Q61" s="2">
        <f>SUM(OSRRefD21_3_0x)+IFERROR(SUM(OSRRefE21_3_0x),0)</f>
        <v>0</v>
      </c>
    </row>
    <row r="62" spans="1:17" s="34" customFormat="1" collapsed="1" x14ac:dyDescent="0.3">
      <c r="A62" s="35"/>
      <c r="B62" s="14" t="str">
        <f>CONCATENATE("     ","Bank/card Fees                                    ")</f>
        <v xml:space="preserve">     Bank/card Fees                                    </v>
      </c>
      <c r="C62" s="14"/>
      <c r="D62" s="1">
        <f>SUM(OSRRefD21_4x_0)</f>
        <v>0</v>
      </c>
      <c r="E62" s="1">
        <f>SUM(OSRRefE21_4x_0)</f>
        <v>0</v>
      </c>
      <c r="F62" s="1">
        <f>SUM(OSRRefE21_4x_1)</f>
        <v>0</v>
      </c>
      <c r="G62" s="1">
        <f>SUM(OSRRefE21_4x_2)</f>
        <v>0</v>
      </c>
      <c r="H62" s="1">
        <f>SUM(OSRRefE21_4x_3)</f>
        <v>0</v>
      </c>
      <c r="I62" s="1">
        <f>SUM(OSRRefE21_4x_4)</f>
        <v>0</v>
      </c>
      <c r="J62" s="1">
        <f>SUM(OSRRefE21_4x_5)</f>
        <v>0</v>
      </c>
      <c r="K62" s="1">
        <f>SUM(OSRRefE21_4x_6)</f>
        <v>0</v>
      </c>
      <c r="L62" s="1">
        <f>SUM(OSRRefE21_4x_7)</f>
        <v>0</v>
      </c>
      <c r="M62" s="1">
        <f>SUM(OSRRefE21_4x_8)</f>
        <v>0</v>
      </c>
      <c r="N62" s="1">
        <f>SUM(OSRRefE21_4x_9)</f>
        <v>0</v>
      </c>
      <c r="O62" s="1">
        <f>SUM(OSRRefE21_4x_10)</f>
        <v>0</v>
      </c>
      <c r="Q62" s="2">
        <f>SUM(OSRRefD20_4x)+IFERROR(SUM(OSRRefE20_4x),0)</f>
        <v>0</v>
      </c>
    </row>
    <row r="63" spans="1:17" s="34" customFormat="1" hidden="1" outlineLevel="1" x14ac:dyDescent="0.3">
      <c r="A63" s="35"/>
      <c r="B63" s="10" t="str">
        <f>CONCATENATE("          ","6381", " - ","BANK/CREDIT CARD FEES")</f>
        <v xml:space="preserve">          6381 - BANK/CREDIT CARD FEES</v>
      </c>
      <c r="C63" s="14"/>
      <c r="D63" s="2"/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9"/>
      <c r="Q63" s="2">
        <f>SUM(OSRRefD21_4_0x)+IFERROR(SUM(OSRRefE21_4_0x),0)</f>
        <v>0</v>
      </c>
    </row>
    <row r="64" spans="1:17" s="34" customFormat="1" collapsed="1" x14ac:dyDescent="0.3">
      <c r="A64" s="35"/>
      <c r="B64" s="14" t="str">
        <f>CONCATENATE("     ","Employees' Appreciation                           ")</f>
        <v xml:space="preserve">     Employees' Appreciation                           </v>
      </c>
      <c r="C64" s="14"/>
      <c r="D64" s="1">
        <f>SUM(OSRRefD21_5x_0)</f>
        <v>216.44</v>
      </c>
      <c r="E64" s="1">
        <f>SUM(OSRRefE21_5x_0)</f>
        <v>50</v>
      </c>
      <c r="F64" s="1">
        <f>SUM(OSRRefE21_5x_1)</f>
        <v>50</v>
      </c>
      <c r="G64" s="1">
        <f>SUM(OSRRefE21_5x_2)</f>
        <v>50</v>
      </c>
      <c r="H64" s="1">
        <f>SUM(OSRRefE21_5x_3)</f>
        <v>50</v>
      </c>
      <c r="I64" s="1">
        <f>SUM(OSRRefE21_5x_4)</f>
        <v>50</v>
      </c>
      <c r="J64" s="1">
        <f>SUM(OSRRefE21_5x_5)</f>
        <v>50</v>
      </c>
      <c r="K64" s="1">
        <f>SUM(OSRRefE21_5x_6)</f>
        <v>50</v>
      </c>
      <c r="L64" s="1">
        <f>SUM(OSRRefE21_5x_7)</f>
        <v>50</v>
      </c>
      <c r="M64" s="1">
        <f>SUM(OSRRefE21_5x_8)</f>
        <v>50</v>
      </c>
      <c r="N64" s="1">
        <f>SUM(OSRRefE21_5x_9)</f>
        <v>50</v>
      </c>
      <c r="O64" s="1">
        <f>SUM(OSRRefE21_5x_10)</f>
        <v>50</v>
      </c>
      <c r="Q64" s="2">
        <f>SUM(OSRRefD20_5x)+IFERROR(SUM(OSRRefE20_5x),0)</f>
        <v>766.44</v>
      </c>
    </row>
    <row r="65" spans="1:17" s="34" customFormat="1" hidden="1" outlineLevel="1" x14ac:dyDescent="0.3">
      <c r="A65" s="35"/>
      <c r="B65" s="10" t="str">
        <f>CONCATENATE("          ","6277", " - ","EMPLOYEE APPRECIATION")</f>
        <v xml:space="preserve">          6277 - EMPLOYEE APPRECIATION</v>
      </c>
      <c r="C65" s="14"/>
      <c r="D65" s="2">
        <v>216.44</v>
      </c>
      <c r="E65" s="2">
        <v>50</v>
      </c>
      <c r="F65" s="2">
        <v>50</v>
      </c>
      <c r="G65" s="2">
        <v>50</v>
      </c>
      <c r="H65" s="2">
        <v>50</v>
      </c>
      <c r="I65" s="2">
        <v>50</v>
      </c>
      <c r="J65" s="2">
        <v>50</v>
      </c>
      <c r="K65" s="2">
        <v>50</v>
      </c>
      <c r="L65" s="2">
        <v>50</v>
      </c>
      <c r="M65" s="2">
        <v>50</v>
      </c>
      <c r="N65" s="2">
        <v>50</v>
      </c>
      <c r="O65" s="2">
        <v>50</v>
      </c>
      <c r="P65" s="9"/>
      <c r="Q65" s="2">
        <f>SUM(OSRRefD21_5_0x)+IFERROR(SUM(OSRRefE21_5_0x),0)</f>
        <v>766.44</v>
      </c>
    </row>
    <row r="66" spans="1:17" s="34" customFormat="1" collapsed="1" x14ac:dyDescent="0.3">
      <c r="A66" s="35"/>
      <c r="B66" s="14" t="str">
        <f>CONCATENATE("     ","Freight out/Postage                               ")</f>
        <v xml:space="preserve">     Freight out/Postage                               </v>
      </c>
      <c r="C66" s="14"/>
      <c r="D66" s="1">
        <f>SUM(OSRRefD21_6x_0)</f>
        <v>857.13</v>
      </c>
      <c r="E66" s="1">
        <f>SUM(OSRRefE21_6x_0)</f>
        <v>50</v>
      </c>
      <c r="F66" s="1">
        <f>SUM(OSRRefE21_6x_1)</f>
        <v>50</v>
      </c>
      <c r="G66" s="1">
        <f>SUM(OSRRefE21_6x_2)</f>
        <v>50</v>
      </c>
      <c r="H66" s="1">
        <f>SUM(OSRRefE21_6x_3)</f>
        <v>50</v>
      </c>
      <c r="I66" s="1">
        <f>SUM(OSRRefE21_6x_4)</f>
        <v>50</v>
      </c>
      <c r="J66" s="1">
        <f>SUM(OSRRefE21_6x_5)</f>
        <v>50</v>
      </c>
      <c r="K66" s="1">
        <f>SUM(OSRRefE21_6x_6)</f>
        <v>50</v>
      </c>
      <c r="L66" s="1">
        <f>SUM(OSRRefE21_6x_7)</f>
        <v>50</v>
      </c>
      <c r="M66" s="1">
        <f>SUM(OSRRefE21_6x_8)</f>
        <v>50</v>
      </c>
      <c r="N66" s="1">
        <f>SUM(OSRRefE21_6x_9)</f>
        <v>50</v>
      </c>
      <c r="O66" s="1">
        <f>SUM(OSRRefE21_6x_10)</f>
        <v>50</v>
      </c>
      <c r="Q66" s="2">
        <f>SUM(OSRRefD20_6x)+IFERROR(SUM(OSRRefE20_6x),0)</f>
        <v>1407.13</v>
      </c>
    </row>
    <row r="67" spans="1:17" s="34" customFormat="1" hidden="1" outlineLevel="1" x14ac:dyDescent="0.3">
      <c r="A67" s="35"/>
      <c r="B67" s="10" t="str">
        <f>CONCATENATE("          ","6305", " - ","FREIGHT OUT")</f>
        <v xml:space="preserve">          6305 - FREIGHT OUT</v>
      </c>
      <c r="C67" s="14"/>
      <c r="D67" s="2">
        <v>845.71</v>
      </c>
      <c r="E67" s="2">
        <v>50</v>
      </c>
      <c r="F67" s="2">
        <v>50</v>
      </c>
      <c r="G67" s="2">
        <v>50</v>
      </c>
      <c r="H67" s="2">
        <v>50</v>
      </c>
      <c r="I67" s="2">
        <v>50</v>
      </c>
      <c r="J67" s="2">
        <v>50</v>
      </c>
      <c r="K67" s="2">
        <v>50</v>
      </c>
      <c r="L67" s="2">
        <v>50</v>
      </c>
      <c r="M67" s="2">
        <v>50</v>
      </c>
      <c r="N67" s="2">
        <v>50</v>
      </c>
      <c r="O67" s="2">
        <v>50</v>
      </c>
      <c r="P67" s="9"/>
      <c r="Q67" s="2">
        <f>SUM(OSRRefD21_6_0x)+IFERROR(SUM(OSRRefE21_6_0x),0)</f>
        <v>1395.71</v>
      </c>
    </row>
    <row r="68" spans="1:17" s="34" customFormat="1" hidden="1" outlineLevel="1" x14ac:dyDescent="0.3">
      <c r="A68" s="35"/>
      <c r="B68" s="10" t="str">
        <f>CONCATENATE("          ","6307", " - ","POSTAGE")</f>
        <v xml:space="preserve">          6307 - POSTAGE</v>
      </c>
      <c r="C68" s="14"/>
      <c r="D68" s="2">
        <v>11.42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2">
        <f>SUM(OSRRefD21_6_1x)+IFERROR(SUM(OSRRefE21_6_1x),0)</f>
        <v>11.42</v>
      </c>
    </row>
    <row r="69" spans="1:17" s="34" customFormat="1" collapsed="1" x14ac:dyDescent="0.3">
      <c r="A69" s="35"/>
      <c r="B69" s="14" t="str">
        <f>CONCATENATE("     ","General                                           ")</f>
        <v xml:space="preserve">     General                                           </v>
      </c>
      <c r="C69" s="14"/>
      <c r="D69" s="1">
        <f>SUM(OSRRefD21_7x_0)</f>
        <v>0</v>
      </c>
      <c r="E69" s="1">
        <f>SUM(OSRRefE21_7x_0)</f>
        <v>0</v>
      </c>
      <c r="F69" s="1">
        <f>SUM(OSRRefE21_7x_1)</f>
        <v>0</v>
      </c>
      <c r="G69" s="1">
        <f>SUM(OSRRefE21_7x_2)</f>
        <v>0</v>
      </c>
      <c r="H69" s="1">
        <f>SUM(OSRRefE21_7x_3)</f>
        <v>0</v>
      </c>
      <c r="I69" s="1">
        <f>SUM(OSRRefE21_7x_4)</f>
        <v>0</v>
      </c>
      <c r="J69" s="1">
        <f>SUM(OSRRefE21_7x_5)</f>
        <v>0</v>
      </c>
      <c r="K69" s="1">
        <f>SUM(OSRRefE21_7x_6)</f>
        <v>0</v>
      </c>
      <c r="L69" s="1">
        <f>SUM(OSRRefE21_7x_7)</f>
        <v>0</v>
      </c>
      <c r="M69" s="1">
        <f>SUM(OSRRefE21_7x_8)</f>
        <v>0</v>
      </c>
      <c r="N69" s="1">
        <f>SUM(OSRRefE21_7x_9)</f>
        <v>0</v>
      </c>
      <c r="O69" s="1">
        <f>SUM(OSRRefE21_7x_10)</f>
        <v>1000</v>
      </c>
      <c r="Q69" s="2">
        <f>SUM(OSRRefD20_7x)+IFERROR(SUM(OSRRefE20_7x),0)</f>
        <v>1000</v>
      </c>
    </row>
    <row r="70" spans="1:17" s="34" customFormat="1" hidden="1" outlineLevel="1" x14ac:dyDescent="0.3">
      <c r="A70" s="35"/>
      <c r="B70" s="10" t="str">
        <f>CONCATENATE("          ","6279", " - ","GENERAL EXPENSE")</f>
        <v xml:space="preserve">          6279 - GENERAL EXPENSE</v>
      </c>
      <c r="C70" s="14"/>
      <c r="D70" s="2"/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1000</v>
      </c>
      <c r="P70" s="9"/>
      <c r="Q70" s="2">
        <f>SUM(OSRRefD21_7_0x)+IFERROR(SUM(OSRRefE21_7_0x),0)</f>
        <v>1000</v>
      </c>
    </row>
    <row r="71" spans="1:17" s="34" customFormat="1" collapsed="1" x14ac:dyDescent="0.3">
      <c r="A71" s="35"/>
      <c r="B71" s="14" t="str">
        <f>CONCATENATE("     ","Inventory Adjustment                              ")</f>
        <v xml:space="preserve">     Inventory Adjustment                              </v>
      </c>
      <c r="C71" s="14"/>
      <c r="D71" s="1">
        <f>SUM(OSRRefD21_8x_0)</f>
        <v>3350</v>
      </c>
      <c r="E71" s="1">
        <f>SUM(OSRRefE21_8x_0)</f>
        <v>3350</v>
      </c>
      <c r="F71" s="1">
        <f>SUM(OSRRefE21_8x_1)</f>
        <v>3350</v>
      </c>
      <c r="G71" s="1">
        <f>SUM(OSRRefE21_8x_2)</f>
        <v>3350</v>
      </c>
      <c r="H71" s="1">
        <f>SUM(OSRRefE21_8x_3)</f>
        <v>3350</v>
      </c>
      <c r="I71" s="1">
        <f>SUM(OSRRefE21_8x_4)</f>
        <v>3350</v>
      </c>
      <c r="J71" s="1">
        <f>SUM(OSRRefE21_8x_5)</f>
        <v>3350</v>
      </c>
      <c r="K71" s="1">
        <f>SUM(OSRRefE21_8x_6)</f>
        <v>3350</v>
      </c>
      <c r="L71" s="1">
        <f>SUM(OSRRefE21_8x_7)</f>
        <v>3350</v>
      </c>
      <c r="M71" s="1">
        <f>SUM(OSRRefE21_8x_8)</f>
        <v>3350</v>
      </c>
      <c r="N71" s="1">
        <f>SUM(OSRRefE21_8x_9)</f>
        <v>3350</v>
      </c>
      <c r="O71" s="1">
        <f>SUM(OSRRefE21_8x_10)</f>
        <v>3350</v>
      </c>
      <c r="Q71" s="2">
        <f>SUM(OSRRefD20_8x)+IFERROR(SUM(OSRRefE20_8x),0)</f>
        <v>40200</v>
      </c>
    </row>
    <row r="72" spans="1:17" s="34" customFormat="1" hidden="1" outlineLevel="1" x14ac:dyDescent="0.3">
      <c r="A72" s="35"/>
      <c r="B72" s="10" t="str">
        <f>CONCATENATE("          ","6408", " - ","INVENTORY ADJUSTMENT")</f>
        <v xml:space="preserve">          6408 - INVENTORY ADJUSTMENT</v>
      </c>
      <c r="C72" s="14"/>
      <c r="D72" s="2">
        <v>3350</v>
      </c>
      <c r="E72" s="2">
        <v>3350</v>
      </c>
      <c r="F72" s="2">
        <v>3350</v>
      </c>
      <c r="G72" s="2">
        <v>3350</v>
      </c>
      <c r="H72" s="2">
        <v>3350</v>
      </c>
      <c r="I72" s="2">
        <v>3350</v>
      </c>
      <c r="J72" s="2">
        <v>3350</v>
      </c>
      <c r="K72" s="2">
        <v>3350</v>
      </c>
      <c r="L72" s="2">
        <v>3350</v>
      </c>
      <c r="M72" s="2">
        <v>3350</v>
      </c>
      <c r="N72" s="2">
        <v>3350</v>
      </c>
      <c r="O72" s="2">
        <v>3350</v>
      </c>
      <c r="P72" s="9"/>
      <c r="Q72" s="2">
        <f>SUM(OSRRefD21_8_0x)+IFERROR(SUM(OSRRefE21_8_0x),0)</f>
        <v>40200</v>
      </c>
    </row>
    <row r="73" spans="1:17" s="34" customFormat="1" collapsed="1" x14ac:dyDescent="0.3">
      <c r="A73" s="35"/>
      <c r="B73" s="14" t="str">
        <f>CONCATENATE("     ","Professional Services                             ")</f>
        <v xml:space="preserve">     Professional Services                             </v>
      </c>
      <c r="C73" s="14"/>
      <c r="D73" s="1">
        <f>SUM(OSRRefD21_9x_0)</f>
        <v>0</v>
      </c>
      <c r="E73" s="1">
        <f>SUM(OSRRefE21_9x_0)</f>
        <v>0</v>
      </c>
      <c r="F73" s="1">
        <f>SUM(OSRRefE21_9x_1)</f>
        <v>0</v>
      </c>
      <c r="G73" s="1">
        <f>SUM(OSRRefE21_9x_2)</f>
        <v>250</v>
      </c>
      <c r="H73" s="1">
        <f>SUM(OSRRefE21_9x_3)</f>
        <v>0</v>
      </c>
      <c r="I73" s="1">
        <f>SUM(OSRRefE21_9x_4)</f>
        <v>0</v>
      </c>
      <c r="J73" s="1">
        <f>SUM(OSRRefE21_9x_5)</f>
        <v>250</v>
      </c>
      <c r="K73" s="1">
        <f>SUM(OSRRefE21_9x_6)</f>
        <v>0</v>
      </c>
      <c r="L73" s="1">
        <f>SUM(OSRRefE21_9x_7)</f>
        <v>0</v>
      </c>
      <c r="M73" s="1">
        <f>SUM(OSRRefE21_9x_8)</f>
        <v>250</v>
      </c>
      <c r="N73" s="1">
        <f>SUM(OSRRefE21_9x_9)</f>
        <v>0</v>
      </c>
      <c r="O73" s="1">
        <f>SUM(OSRRefE21_9x_10)</f>
        <v>0</v>
      </c>
      <c r="Q73" s="2">
        <f>SUM(OSRRefD20_9x)+IFERROR(SUM(OSRRefE20_9x),0)</f>
        <v>750</v>
      </c>
    </row>
    <row r="74" spans="1:17" s="34" customFormat="1" hidden="1" outlineLevel="1" x14ac:dyDescent="0.3">
      <c r="A74" s="35"/>
      <c r="B74" s="10" t="str">
        <f>CONCATENATE("          ","6336", " - ","PROFESSIONAL SERVICES")</f>
        <v xml:space="preserve">          6336 - PROFESSIONAL SERVICES</v>
      </c>
      <c r="C74" s="14"/>
      <c r="D74" s="2"/>
      <c r="E74" s="2">
        <v>0</v>
      </c>
      <c r="F74" s="2">
        <v>0</v>
      </c>
      <c r="G74" s="2">
        <v>250</v>
      </c>
      <c r="H74" s="2">
        <v>0</v>
      </c>
      <c r="I74" s="2">
        <v>0</v>
      </c>
      <c r="J74" s="2">
        <v>250</v>
      </c>
      <c r="K74" s="2">
        <v>0</v>
      </c>
      <c r="L74" s="2">
        <v>0</v>
      </c>
      <c r="M74" s="2">
        <v>250</v>
      </c>
      <c r="N74" s="2">
        <v>0</v>
      </c>
      <c r="O74" s="2">
        <v>0</v>
      </c>
      <c r="P74" s="9"/>
      <c r="Q74" s="2">
        <f>SUM(OSRRefD21_9_0x)+IFERROR(SUM(OSRRefE21_9_0x),0)</f>
        <v>750</v>
      </c>
    </row>
    <row r="75" spans="1:17" s="34" customFormat="1" collapsed="1" x14ac:dyDescent="0.3">
      <c r="A75" s="35"/>
      <c r="B75" s="14" t="str">
        <f>CONCATENATE("     ","Repair and Maintenance                            ")</f>
        <v xml:space="preserve">     Repair and Maintenance                            </v>
      </c>
      <c r="C75" s="14"/>
      <c r="D75" s="1">
        <f>SUM(OSRRefD21_10x_0)</f>
        <v>0</v>
      </c>
      <c r="E75" s="1">
        <f>SUM(OSRRefE21_10x_0)</f>
        <v>0</v>
      </c>
      <c r="F75" s="1">
        <f>SUM(OSRRefE21_10x_1)</f>
        <v>0</v>
      </c>
      <c r="G75" s="1">
        <f>SUM(OSRRefE21_10x_2)</f>
        <v>0</v>
      </c>
      <c r="H75" s="1">
        <f>SUM(OSRRefE21_10x_3)</f>
        <v>0</v>
      </c>
      <c r="I75" s="1">
        <f>SUM(OSRRefE21_10x_4)</f>
        <v>0</v>
      </c>
      <c r="J75" s="1">
        <f>SUM(OSRRefE21_10x_5)</f>
        <v>0</v>
      </c>
      <c r="K75" s="1">
        <f>SUM(OSRRefE21_10x_6)</f>
        <v>0</v>
      </c>
      <c r="L75" s="1">
        <f>SUM(OSRRefE21_10x_7)</f>
        <v>0</v>
      </c>
      <c r="M75" s="1">
        <f>SUM(OSRRefE21_10x_8)</f>
        <v>0</v>
      </c>
      <c r="N75" s="1">
        <f>SUM(OSRRefE21_10x_9)</f>
        <v>0</v>
      </c>
      <c r="O75" s="1">
        <f>SUM(OSRRefE21_10x_10)</f>
        <v>0</v>
      </c>
      <c r="Q75" s="2">
        <f>SUM(OSRRefD20_10x)+IFERROR(SUM(OSRRefE20_10x),0)</f>
        <v>0</v>
      </c>
    </row>
    <row r="76" spans="1:17" s="34" customFormat="1" hidden="1" outlineLevel="1" x14ac:dyDescent="0.3">
      <c r="A76" s="35"/>
      <c r="B76" s="10" t="str">
        <f>CONCATENATE("          ","6375", " - ","OUTSIDE REPAIRS &amp; MAINTENANCE")</f>
        <v xml:space="preserve">          6375 - OUTSIDE REPAIRS &amp; MAINTENANCE</v>
      </c>
      <c r="C76" s="14"/>
      <c r="D76" s="2"/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9"/>
      <c r="Q76" s="2">
        <f>SUM(OSRRefD21_10_0x)+IFERROR(SUM(OSRRefE21_10_0x),0)</f>
        <v>0</v>
      </c>
    </row>
    <row r="77" spans="1:17" s="34" customFormat="1" collapsed="1" x14ac:dyDescent="0.3">
      <c r="A77" s="35"/>
      <c r="B77" s="14" t="str">
        <f>CONCATENATE("     ","Royalty &amp; Commissions                             ")</f>
        <v xml:space="preserve">     Royalty &amp; Commissions                             </v>
      </c>
      <c r="C77" s="14"/>
      <c r="D77" s="1">
        <f>SUM(OSRRefD21_11x_0)</f>
        <v>7349.0400000000009</v>
      </c>
      <c r="E77" s="1">
        <f>SUM(OSRRefE21_11x_0)</f>
        <v>2080</v>
      </c>
      <c r="F77" s="1">
        <f>SUM(OSRRefE21_11x_1)</f>
        <v>1266</v>
      </c>
      <c r="G77" s="1">
        <f>SUM(OSRRefE21_11x_2)</f>
        <v>11612</v>
      </c>
      <c r="H77" s="1">
        <f>SUM(OSRRefE21_11x_3)</f>
        <v>3014</v>
      </c>
      <c r="I77" s="1">
        <f>SUM(OSRRefE21_11x_4)</f>
        <v>1906</v>
      </c>
      <c r="J77" s="1">
        <f>SUM(OSRRefE21_11x_5)</f>
        <v>9106</v>
      </c>
      <c r="K77" s="1">
        <f>SUM(OSRRefE21_11x_6)</f>
        <v>1446</v>
      </c>
      <c r="L77" s="1">
        <f>SUM(OSRRefE21_11x_7)</f>
        <v>2085</v>
      </c>
      <c r="M77" s="1">
        <f>SUM(OSRRefE21_11x_8)</f>
        <v>16503</v>
      </c>
      <c r="N77" s="1">
        <f>SUM(OSRRefE21_11x_9)</f>
        <v>3156</v>
      </c>
      <c r="O77" s="1">
        <f>SUM(OSRRefE21_11x_10)</f>
        <v>3322</v>
      </c>
      <c r="Q77" s="2">
        <f>SUM(OSRRefD20_11x)+IFERROR(SUM(OSRRefE20_11x),0)</f>
        <v>62845.04</v>
      </c>
    </row>
    <row r="78" spans="1:17" s="34" customFormat="1" hidden="1" outlineLevel="1" x14ac:dyDescent="0.3">
      <c r="A78" s="35"/>
      <c r="B78" s="10" t="str">
        <f>CONCATENATE("          ","6252", " - ","ROYALTY DUE CSTV")</f>
        <v xml:space="preserve">          6252 - ROYALTY DUE CSTV</v>
      </c>
      <c r="C78" s="14"/>
      <c r="D78" s="2"/>
      <c r="E78" s="2">
        <v>2080</v>
      </c>
      <c r="F78" s="2">
        <v>1266</v>
      </c>
      <c r="G78" s="2">
        <v>1122</v>
      </c>
      <c r="H78" s="2">
        <v>3014</v>
      </c>
      <c r="I78" s="2">
        <v>1906</v>
      </c>
      <c r="J78" s="2">
        <v>821</v>
      </c>
      <c r="K78" s="2">
        <v>446</v>
      </c>
      <c r="L78" s="2">
        <v>1085</v>
      </c>
      <c r="M78" s="2">
        <v>948</v>
      </c>
      <c r="N78" s="2">
        <v>2156</v>
      </c>
      <c r="O78" s="2">
        <v>3322</v>
      </c>
      <c r="P78" s="9"/>
      <c r="Q78" s="2">
        <f>SUM(OSRRefD21_11_0x)+IFERROR(SUM(OSRRefE21_11_0x),0)</f>
        <v>18166</v>
      </c>
    </row>
    <row r="79" spans="1:17" s="34" customFormat="1" hidden="1" outlineLevel="1" x14ac:dyDescent="0.3">
      <c r="A79" s="35"/>
      <c r="B79" s="10" t="str">
        <f>CONCATENATE("          ","6253", " - ","ROYALTY DUE ATHLETICS-LRG")</f>
        <v xml:space="preserve">          6253 - ROYALTY DUE ATHLETICS-LRG</v>
      </c>
      <c r="C79" s="14"/>
      <c r="D79" s="2">
        <v>14376.54</v>
      </c>
      <c r="E79" s="2">
        <v>0</v>
      </c>
      <c r="F79" s="2">
        <v>0</v>
      </c>
      <c r="G79" s="2">
        <v>10490</v>
      </c>
      <c r="H79" s="2">
        <v>0</v>
      </c>
      <c r="I79" s="2">
        <v>0</v>
      </c>
      <c r="J79" s="2">
        <v>7785</v>
      </c>
      <c r="K79" s="2">
        <v>0</v>
      </c>
      <c r="L79" s="2">
        <v>0</v>
      </c>
      <c r="M79" s="2">
        <v>14555</v>
      </c>
      <c r="N79" s="2">
        <v>0</v>
      </c>
      <c r="O79" s="2">
        <v>0</v>
      </c>
      <c r="P79" s="9"/>
      <c r="Q79" s="2">
        <f>SUM(OSRRefD21_11_1x)+IFERROR(SUM(OSRRefE21_11_1x),0)</f>
        <v>47206.54</v>
      </c>
    </row>
    <row r="80" spans="1:17" s="34" customFormat="1" hidden="1" outlineLevel="1" x14ac:dyDescent="0.3">
      <c r="A80" s="35"/>
      <c r="B80" s="10" t="str">
        <f>CONCATENATE("          ","6254", " - ","ROYALTY &amp; COMMISSIONS")</f>
        <v xml:space="preserve">          6254 - ROYALTY &amp; COMMISSIONS</v>
      </c>
      <c r="C80" s="14"/>
      <c r="D80" s="2">
        <v>-7027.5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500</v>
      </c>
      <c r="K80" s="2">
        <v>1000</v>
      </c>
      <c r="L80" s="2">
        <v>1000</v>
      </c>
      <c r="M80" s="2">
        <v>1000</v>
      </c>
      <c r="N80" s="2">
        <v>1000</v>
      </c>
      <c r="O80" s="2">
        <v>0</v>
      </c>
      <c r="P80" s="9"/>
      <c r="Q80" s="2">
        <f>SUM(OSRRefD21_11_2x)+IFERROR(SUM(OSRRefE21_11_2x),0)</f>
        <v>-2527.5</v>
      </c>
    </row>
    <row r="81" spans="1:17" s="34" customFormat="1" collapsed="1" x14ac:dyDescent="0.3">
      <c r="A81" s="35"/>
      <c r="B81" s="14" t="str">
        <f>CONCATENATE("     ","Subscriptions &amp; Dues                              ")</f>
        <v xml:space="preserve">     Subscriptions &amp; Dues                              </v>
      </c>
      <c r="C81" s="14"/>
      <c r="D81" s="1">
        <f>SUM(OSRRefD21_12x_0)</f>
        <v>0</v>
      </c>
      <c r="E81" s="1">
        <f>SUM(OSRRefE21_12x_0)</f>
        <v>0</v>
      </c>
      <c r="F81" s="1">
        <f>SUM(OSRRefE21_12x_1)</f>
        <v>0</v>
      </c>
      <c r="G81" s="1">
        <f>SUM(OSRRefE21_12x_2)</f>
        <v>0</v>
      </c>
      <c r="H81" s="1">
        <f>SUM(OSRRefE21_12x_3)</f>
        <v>0</v>
      </c>
      <c r="I81" s="1">
        <f>SUM(OSRRefE21_12x_4)</f>
        <v>0</v>
      </c>
      <c r="J81" s="1">
        <f>SUM(OSRRefE21_12x_5)</f>
        <v>100</v>
      </c>
      <c r="K81" s="1">
        <f>SUM(OSRRefE21_12x_6)</f>
        <v>100</v>
      </c>
      <c r="L81" s="1">
        <f>SUM(OSRRefE21_12x_7)</f>
        <v>100</v>
      </c>
      <c r="M81" s="1">
        <f>SUM(OSRRefE21_12x_8)</f>
        <v>100</v>
      </c>
      <c r="N81" s="1">
        <f>SUM(OSRRefE21_12x_9)</f>
        <v>100</v>
      </c>
      <c r="O81" s="1">
        <f>SUM(OSRRefE21_12x_10)</f>
        <v>100</v>
      </c>
      <c r="Q81" s="2">
        <f>SUM(OSRRefD20_12x)+IFERROR(SUM(OSRRefE20_12x),0)</f>
        <v>600</v>
      </c>
    </row>
    <row r="82" spans="1:17" s="34" customFormat="1" hidden="1" outlineLevel="1" x14ac:dyDescent="0.3">
      <c r="A82" s="35"/>
      <c r="B82" s="10" t="str">
        <f>CONCATENATE("          ","6258", " - ","MEMBERSHIP DUES")</f>
        <v xml:space="preserve">          6258 - MEMBERSHIP DUES</v>
      </c>
      <c r="C82" s="14"/>
      <c r="D82" s="2"/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9"/>
      <c r="Q82" s="2">
        <f>SUM(OSRRefD21_12_0x)+IFERROR(SUM(OSRRefE21_12_0x),0)</f>
        <v>0</v>
      </c>
    </row>
    <row r="83" spans="1:17" s="34" customFormat="1" hidden="1" outlineLevel="1" x14ac:dyDescent="0.3">
      <c r="A83" s="35"/>
      <c r="B83" s="10" t="str">
        <f>CONCATENATE("          ","6275", " - ","SUBSCRIPTIONS")</f>
        <v xml:space="preserve">          6275 - SUBSCRIPTIONS</v>
      </c>
      <c r="C83" s="14"/>
      <c r="D83" s="2"/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100</v>
      </c>
      <c r="K83" s="2">
        <v>100</v>
      </c>
      <c r="L83" s="2">
        <v>100</v>
      </c>
      <c r="M83" s="2">
        <v>100</v>
      </c>
      <c r="N83" s="2">
        <v>100</v>
      </c>
      <c r="O83" s="2">
        <v>100</v>
      </c>
      <c r="P83" s="9"/>
      <c r="Q83" s="2">
        <f>SUM(OSRRefD21_12_1x)+IFERROR(SUM(OSRRefE21_12_1x),0)</f>
        <v>600</v>
      </c>
    </row>
    <row r="84" spans="1:17" s="34" customFormat="1" collapsed="1" x14ac:dyDescent="0.3">
      <c r="A84" s="35"/>
      <c r="B84" s="14" t="str">
        <f>CONCATENATE("     ","Supplies                                          ")</f>
        <v xml:space="preserve">     Supplies                                          </v>
      </c>
      <c r="C84" s="14"/>
      <c r="D84" s="1">
        <f>SUM(OSRRefD21_13x_0)</f>
        <v>2351.0099999999998</v>
      </c>
      <c r="E84" s="1">
        <f>SUM(OSRRefE21_13x_0)</f>
        <v>75</v>
      </c>
      <c r="F84" s="1">
        <f>SUM(OSRRefE21_13x_1)</f>
        <v>75</v>
      </c>
      <c r="G84" s="1">
        <f>SUM(OSRRefE21_13x_2)</f>
        <v>75</v>
      </c>
      <c r="H84" s="1">
        <f>SUM(OSRRefE21_13x_3)</f>
        <v>75</v>
      </c>
      <c r="I84" s="1">
        <f>SUM(OSRRefE21_13x_4)</f>
        <v>75</v>
      </c>
      <c r="J84" s="1">
        <f>SUM(OSRRefE21_13x_5)</f>
        <v>75</v>
      </c>
      <c r="K84" s="1">
        <f>SUM(OSRRefE21_13x_6)</f>
        <v>75</v>
      </c>
      <c r="L84" s="1">
        <f>SUM(OSRRefE21_13x_7)</f>
        <v>75</v>
      </c>
      <c r="M84" s="1">
        <f>SUM(OSRRefE21_13x_8)</f>
        <v>75</v>
      </c>
      <c r="N84" s="1">
        <f>SUM(OSRRefE21_13x_9)</f>
        <v>75</v>
      </c>
      <c r="O84" s="1">
        <f>SUM(OSRRefE21_13x_10)</f>
        <v>75</v>
      </c>
      <c r="Q84" s="2">
        <f>SUM(OSRRefD20_13x)+IFERROR(SUM(OSRRefE20_13x),0)</f>
        <v>3176.0099999999998</v>
      </c>
    </row>
    <row r="85" spans="1:17" s="34" customFormat="1" hidden="1" outlineLevel="1" x14ac:dyDescent="0.3">
      <c r="A85" s="35"/>
      <c r="B85" s="10" t="str">
        <f>CONCATENATE("          ","6235", " - ","COVID-19 EXPENSES")</f>
        <v xml:space="preserve">          6235 - COVID-19 EXPENSES</v>
      </c>
      <c r="C85" s="14"/>
      <c r="D85" s="2"/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9"/>
      <c r="Q85" s="2">
        <f>SUM(OSRRefD21_13_0x)+IFERROR(SUM(OSRRefE21_13_0x),0)</f>
        <v>0</v>
      </c>
    </row>
    <row r="86" spans="1:17" s="34" customFormat="1" hidden="1" outlineLevel="1" x14ac:dyDescent="0.3">
      <c r="A86" s="35"/>
      <c r="B86" s="10" t="str">
        <f>CONCATENATE("          ","6241", " - ","OFFICE EXPENSE")</f>
        <v xml:space="preserve">          6241 - OFFICE EXPENSE</v>
      </c>
      <c r="C86" s="14"/>
      <c r="D86" s="2">
        <v>124.89</v>
      </c>
      <c r="E86" s="2">
        <v>25</v>
      </c>
      <c r="F86" s="2">
        <v>25</v>
      </c>
      <c r="G86" s="2">
        <v>25</v>
      </c>
      <c r="H86" s="2">
        <v>25</v>
      </c>
      <c r="I86" s="2">
        <v>25</v>
      </c>
      <c r="J86" s="2">
        <v>25</v>
      </c>
      <c r="K86" s="2">
        <v>25</v>
      </c>
      <c r="L86" s="2">
        <v>25</v>
      </c>
      <c r="M86" s="2">
        <v>25</v>
      </c>
      <c r="N86" s="2">
        <v>25</v>
      </c>
      <c r="O86" s="2">
        <v>25</v>
      </c>
      <c r="P86" s="9"/>
      <c r="Q86" s="2">
        <f>SUM(OSRRefD21_13_1x)+IFERROR(SUM(OSRRefE21_13_1x),0)</f>
        <v>399.89</v>
      </c>
    </row>
    <row r="87" spans="1:17" s="34" customFormat="1" hidden="1" outlineLevel="1" x14ac:dyDescent="0.3">
      <c r="A87" s="35"/>
      <c r="B87" s="10" t="str">
        <f>CONCATENATE("          ","6247", " - ","STORE SUPPLIES")</f>
        <v xml:space="preserve">          6247 - STORE SUPPLIES</v>
      </c>
      <c r="C87" s="14"/>
      <c r="D87" s="2">
        <v>2226.12</v>
      </c>
      <c r="E87" s="2">
        <v>50</v>
      </c>
      <c r="F87" s="2">
        <v>50</v>
      </c>
      <c r="G87" s="2">
        <v>50</v>
      </c>
      <c r="H87" s="2">
        <v>50</v>
      </c>
      <c r="I87" s="2">
        <v>50</v>
      </c>
      <c r="J87" s="2">
        <v>50</v>
      </c>
      <c r="K87" s="2">
        <v>50</v>
      </c>
      <c r="L87" s="2">
        <v>50</v>
      </c>
      <c r="M87" s="2">
        <v>50</v>
      </c>
      <c r="N87" s="2">
        <v>50</v>
      </c>
      <c r="O87" s="2">
        <v>50</v>
      </c>
      <c r="P87" s="9"/>
      <c r="Q87" s="2">
        <f>SUM(OSRRefD21_13_2x)+IFERROR(SUM(OSRRefE21_13_2x),0)</f>
        <v>2776.12</v>
      </c>
    </row>
    <row r="88" spans="1:17" s="34" customFormat="1" collapsed="1" x14ac:dyDescent="0.3">
      <c r="A88" s="35"/>
      <c r="B88" s="14" t="str">
        <f>CONCATENATE("     ","Telephone/Data Lines                              ")</f>
        <v xml:space="preserve">     Telephone/Data Lines                              </v>
      </c>
      <c r="C88" s="14"/>
      <c r="D88" s="1">
        <f>SUM(OSRRefD21_14x_0)</f>
        <v>-125.95</v>
      </c>
      <c r="E88" s="1">
        <f>SUM(OSRRefE21_14x_0)</f>
        <v>300</v>
      </c>
      <c r="F88" s="1">
        <f>SUM(OSRRefE21_14x_1)</f>
        <v>300</v>
      </c>
      <c r="G88" s="1">
        <f>SUM(OSRRefE21_14x_2)</f>
        <v>300</v>
      </c>
      <c r="H88" s="1">
        <f>SUM(OSRRefE21_14x_3)</f>
        <v>300</v>
      </c>
      <c r="I88" s="1">
        <f>SUM(OSRRefE21_14x_4)</f>
        <v>300</v>
      </c>
      <c r="J88" s="1">
        <f>SUM(OSRRefE21_14x_5)</f>
        <v>300</v>
      </c>
      <c r="K88" s="1">
        <f>SUM(OSRRefE21_14x_6)</f>
        <v>300</v>
      </c>
      <c r="L88" s="1">
        <f>SUM(OSRRefE21_14x_7)</f>
        <v>300</v>
      </c>
      <c r="M88" s="1">
        <f>SUM(OSRRefE21_14x_8)</f>
        <v>300</v>
      </c>
      <c r="N88" s="1">
        <f>SUM(OSRRefE21_14x_9)</f>
        <v>300</v>
      </c>
      <c r="O88" s="1">
        <f>SUM(OSRRefE21_14x_10)</f>
        <v>300</v>
      </c>
      <c r="Q88" s="2">
        <f>SUM(OSRRefD20_14x)+IFERROR(SUM(OSRRefE20_14x),0)</f>
        <v>3174.05</v>
      </c>
    </row>
    <row r="89" spans="1:17" s="34" customFormat="1" hidden="1" outlineLevel="1" x14ac:dyDescent="0.3">
      <c r="A89" s="35"/>
      <c r="B89" s="10" t="str">
        <f>CONCATENATE("          ","6309", " - ","TELEPHONE")</f>
        <v xml:space="preserve">          6309 - TELEPHONE</v>
      </c>
      <c r="C89" s="14"/>
      <c r="D89" s="2">
        <v>-125.95</v>
      </c>
      <c r="E89" s="2">
        <v>300</v>
      </c>
      <c r="F89" s="2">
        <v>300</v>
      </c>
      <c r="G89" s="2">
        <v>300</v>
      </c>
      <c r="H89" s="2">
        <v>300</v>
      </c>
      <c r="I89" s="2">
        <v>300</v>
      </c>
      <c r="J89" s="2">
        <v>300</v>
      </c>
      <c r="K89" s="2">
        <v>300</v>
      </c>
      <c r="L89" s="2">
        <v>300</v>
      </c>
      <c r="M89" s="2">
        <v>300</v>
      </c>
      <c r="N89" s="2">
        <v>300</v>
      </c>
      <c r="O89" s="2">
        <v>300</v>
      </c>
      <c r="P89" s="9"/>
      <c r="Q89" s="2">
        <f>SUM(OSRRefD21_14_0x)+IFERROR(SUM(OSRRefE21_14_0x),0)</f>
        <v>3174.05</v>
      </c>
    </row>
    <row r="90" spans="1:17" s="34" customFormat="1" collapsed="1" x14ac:dyDescent="0.3">
      <c r="A90" s="35"/>
      <c r="B90" s="14" t="str">
        <f>CONCATENATE("     ","Travel                                            ")</f>
        <v xml:space="preserve">     Travel                                            </v>
      </c>
      <c r="C90" s="14"/>
      <c r="D90" s="1">
        <f>SUM(OSRRefD21_15x_0)</f>
        <v>40.32</v>
      </c>
      <c r="E90" s="1">
        <f>SUM(OSRRefE21_15x_0)</f>
        <v>25</v>
      </c>
      <c r="F90" s="1">
        <f>SUM(OSRRefE21_15x_1)</f>
        <v>25</v>
      </c>
      <c r="G90" s="1">
        <f>SUM(OSRRefE21_15x_2)</f>
        <v>25</v>
      </c>
      <c r="H90" s="1">
        <f>SUM(OSRRefE21_15x_3)</f>
        <v>25</v>
      </c>
      <c r="I90" s="1">
        <f>SUM(OSRRefE21_15x_4)</f>
        <v>25</v>
      </c>
      <c r="J90" s="1">
        <f>SUM(OSRRefE21_15x_5)</f>
        <v>25</v>
      </c>
      <c r="K90" s="1">
        <f>SUM(OSRRefE21_15x_6)</f>
        <v>25</v>
      </c>
      <c r="L90" s="1">
        <f>SUM(OSRRefE21_15x_7)</f>
        <v>25</v>
      </c>
      <c r="M90" s="1">
        <f>SUM(OSRRefE21_15x_8)</f>
        <v>25</v>
      </c>
      <c r="N90" s="1">
        <f>SUM(OSRRefE21_15x_9)</f>
        <v>25</v>
      </c>
      <c r="O90" s="1">
        <f>SUM(OSRRefE21_15x_10)</f>
        <v>25</v>
      </c>
      <c r="Q90" s="2">
        <f>SUM(OSRRefD20_15x)+IFERROR(SUM(OSRRefE20_15x),0)</f>
        <v>315.32</v>
      </c>
    </row>
    <row r="91" spans="1:17" s="34" customFormat="1" hidden="1" outlineLevel="1" x14ac:dyDescent="0.3">
      <c r="A91" s="35"/>
      <c r="B91" s="10" t="str">
        <f>CONCATENATE("          ","6294", " - ","TRAVEL OPERATIONAL")</f>
        <v xml:space="preserve">          6294 - TRAVEL OPERATIONAL</v>
      </c>
      <c r="C91" s="14"/>
      <c r="D91" s="2">
        <v>40.32</v>
      </c>
      <c r="E91" s="2">
        <v>25</v>
      </c>
      <c r="F91" s="2">
        <v>25</v>
      </c>
      <c r="G91" s="2">
        <v>25</v>
      </c>
      <c r="H91" s="2">
        <v>25</v>
      </c>
      <c r="I91" s="2">
        <v>25</v>
      </c>
      <c r="J91" s="2">
        <v>25</v>
      </c>
      <c r="K91" s="2">
        <v>25</v>
      </c>
      <c r="L91" s="2">
        <v>25</v>
      </c>
      <c r="M91" s="2">
        <v>25</v>
      </c>
      <c r="N91" s="2">
        <v>25</v>
      </c>
      <c r="O91" s="2">
        <v>25</v>
      </c>
      <c r="P91" s="9"/>
      <c r="Q91" s="2">
        <f>SUM(OSRRefD21_15_0x)+IFERROR(SUM(OSRRefE21_15_0x),0)</f>
        <v>315.32</v>
      </c>
    </row>
    <row r="92" spans="1:17" s="28" customFormat="1" x14ac:dyDescent="0.3">
      <c r="A92" s="21"/>
      <c r="B92" s="21"/>
      <c r="C92" s="2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1"/>
    </row>
    <row r="93" spans="1:17" s="9" customFormat="1" x14ac:dyDescent="0.3">
      <c r="A93" s="22"/>
      <c r="B93" s="16" t="s">
        <v>293</v>
      </c>
      <c r="C93" s="23"/>
      <c r="D93" s="3">
        <f>--35082.02</f>
        <v>35082.019999999997</v>
      </c>
      <c r="E93" s="3">
        <v>0</v>
      </c>
      <c r="F93" s="3">
        <v>0</v>
      </c>
      <c r="G93" s="3">
        <v>20980</v>
      </c>
      <c r="H93" s="3">
        <v>0</v>
      </c>
      <c r="I93" s="3">
        <v>58333</v>
      </c>
      <c r="J93" s="3">
        <v>15571</v>
      </c>
      <c r="K93" s="3">
        <v>0</v>
      </c>
      <c r="L93" s="3">
        <v>58333</v>
      </c>
      <c r="M93" s="3">
        <v>29111</v>
      </c>
      <c r="N93" s="3">
        <v>250000</v>
      </c>
      <c r="O93" s="3">
        <v>208334</v>
      </c>
      <c r="Q93" s="2">
        <f>SUM(OSRRefD23_0x)+IFERROR(SUM(OSRRefE23_0x),0)</f>
        <v>675744.02</v>
      </c>
    </row>
    <row r="94" spans="1:17" x14ac:dyDescent="0.3">
      <c r="A94" s="5"/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</row>
    <row r="95" spans="1:17" s="15" customFormat="1" x14ac:dyDescent="0.3">
      <c r="A95" s="6"/>
      <c r="B95" s="17" t="s">
        <v>276</v>
      </c>
      <c r="C95" s="17"/>
      <c r="D95" s="8">
        <f t="shared" ref="D95:O95" si="2">IFERROR(+D33-D36+D93, 0)</f>
        <v>13094.379999999968</v>
      </c>
      <c r="E95" s="8">
        <f t="shared" si="2"/>
        <v>123800.35829807691</v>
      </c>
      <c r="F95" s="8">
        <f t="shared" si="2"/>
        <v>36853.130298076925</v>
      </c>
      <c r="G95" s="8">
        <f t="shared" si="2"/>
        <v>34311.037872596149</v>
      </c>
      <c r="H95" s="8">
        <f t="shared" si="2"/>
        <v>4343.1302980769251</v>
      </c>
      <c r="I95" s="8">
        <f t="shared" si="2"/>
        <v>112538.13029807693</v>
      </c>
      <c r="J95" s="8">
        <f t="shared" si="2"/>
        <v>32809.530502596142</v>
      </c>
      <c r="K95" s="8">
        <f t="shared" si="2"/>
        <v>28245.924402076926</v>
      </c>
      <c r="L95" s="8">
        <f t="shared" si="2"/>
        <v>95831.924402076926</v>
      </c>
      <c r="M95" s="8">
        <f t="shared" si="2"/>
        <v>17270.530502596142</v>
      </c>
      <c r="N95" s="8">
        <f t="shared" si="2"/>
        <v>267922.92440207693</v>
      </c>
      <c r="O95" s="8">
        <f t="shared" si="2"/>
        <v>215890.00836207691</v>
      </c>
      <c r="Q95" s="8">
        <f>IFERROR(+Q33-Q36+Q93, 0)</f>
        <v>982911.00963840366</v>
      </c>
    </row>
    <row r="96" spans="1:17" s="6" customFormat="1" x14ac:dyDescent="0.3">
      <c r="B96" s="16"/>
      <c r="C96" s="16"/>
      <c r="D96" s="4">
        <f t="shared" ref="D96:O96" si="3">IFERROR(D95/D10, 0)</f>
        <v>0.10556516395864463</v>
      </c>
      <c r="E96" s="4">
        <f t="shared" si="3"/>
        <v>0.29463578385999584</v>
      </c>
      <c r="F96" s="4">
        <f t="shared" si="3"/>
        <v>0.16527994428981371</v>
      </c>
      <c r="G96" s="4">
        <f t="shared" si="3"/>
        <v>0.14941228824506247</v>
      </c>
      <c r="H96" s="4">
        <f t="shared" si="3"/>
        <v>2.5807877602410913E-2</v>
      </c>
      <c r="I96" s="4">
        <f t="shared" si="3"/>
        <v>0.42655223891748129</v>
      </c>
      <c r="J96" s="4">
        <f t="shared" si="3"/>
        <v>0.13556648886692785</v>
      </c>
      <c r="K96" s="4">
        <f t="shared" si="3"/>
        <v>0.13076514155726454</v>
      </c>
      <c r="L96" s="4">
        <f t="shared" si="3"/>
        <v>0.41742279119294767</v>
      </c>
      <c r="M96" s="4">
        <f t="shared" si="3"/>
        <v>8.85318643540558E-2</v>
      </c>
      <c r="N96" s="4">
        <f t="shared" si="3"/>
        <v>1.3290816499346525</v>
      </c>
      <c r="O96" s="4">
        <f t="shared" si="3"/>
        <v>1.1085266970746528</v>
      </c>
      <c r="P96" s="18"/>
      <c r="Q96" s="4">
        <f>IFERROR(Q95/Q10, 0)</f>
        <v>0.36296918199365386</v>
      </c>
    </row>
    <row r="97" spans="1:17" x14ac:dyDescent="0.3">
      <c r="A97" s="5"/>
      <c r="B97" s="6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</row>
    <row r="98" spans="1:17" s="15" customFormat="1" x14ac:dyDescent="0.3">
      <c r="A98" s="25"/>
      <c r="B98" s="6" t="s">
        <v>125</v>
      </c>
      <c r="C98" s="6"/>
      <c r="D98" s="3">
        <v>57306.31</v>
      </c>
      <c r="E98" s="3">
        <v>-5097</v>
      </c>
      <c r="F98" s="3">
        <v>22068</v>
      </c>
      <c r="G98" s="3">
        <v>31862</v>
      </c>
      <c r="H98" s="3">
        <v>31874</v>
      </c>
      <c r="I98" s="3">
        <v>39730</v>
      </c>
      <c r="J98" s="3">
        <v>24006</v>
      </c>
      <c r="K98" s="3">
        <v>21054</v>
      </c>
      <c r="L98" s="3">
        <v>27040</v>
      </c>
      <c r="M98" s="3">
        <v>26711</v>
      </c>
      <c r="N98" s="3">
        <v>27260</v>
      </c>
      <c r="O98" s="3">
        <v>-5369</v>
      </c>
      <c r="Q98" s="2">
        <f>SUM(OSRRefD28_0x)+IFERROR(SUM(OSRRefE28_0x),0)</f>
        <v>298445.31</v>
      </c>
    </row>
    <row r="99" spans="1:17" x14ac:dyDescent="0.3">
      <c r="A99" s="5"/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</row>
    <row r="100" spans="1:17" s="15" customFormat="1" ht="15" thickBot="1" x14ac:dyDescent="0.35">
      <c r="A100" s="6"/>
      <c r="B100" s="17" t="s">
        <v>124</v>
      </c>
      <c r="C100" s="17"/>
      <c r="D100" s="7">
        <f t="shared" ref="D100:O100" si="4">IFERROR(+D95-D98, 0)</f>
        <v>-44211.930000000029</v>
      </c>
      <c r="E100" s="7">
        <f t="shared" si="4"/>
        <v>128897.35829807691</v>
      </c>
      <c r="F100" s="7">
        <f t="shared" si="4"/>
        <v>14785.130298076925</v>
      </c>
      <c r="G100" s="7">
        <f t="shared" si="4"/>
        <v>2449.0378725961491</v>
      </c>
      <c r="H100" s="7">
        <f t="shared" si="4"/>
        <v>-27530.869701923075</v>
      </c>
      <c r="I100" s="7">
        <f t="shared" si="4"/>
        <v>72808.130298076925</v>
      </c>
      <c r="J100" s="7">
        <f t="shared" si="4"/>
        <v>8803.5305025961425</v>
      </c>
      <c r="K100" s="7">
        <f t="shared" si="4"/>
        <v>7191.9244020769256</v>
      </c>
      <c r="L100" s="7">
        <f t="shared" si="4"/>
        <v>68791.924402076926</v>
      </c>
      <c r="M100" s="7">
        <f t="shared" si="4"/>
        <v>-9440.4694974038575</v>
      </c>
      <c r="N100" s="7">
        <f t="shared" si="4"/>
        <v>240662.92440207693</v>
      </c>
      <c r="O100" s="7">
        <f t="shared" si="4"/>
        <v>221259.00836207691</v>
      </c>
      <c r="Q100" s="7">
        <f>IFERROR(+Q95-Q98, 0)</f>
        <v>684465.69963840372</v>
      </c>
    </row>
    <row r="101" spans="1:17" ht="15" thickTop="1" x14ac:dyDescent="0.3">
      <c r="A101" s="5"/>
      <c r="B101" s="5"/>
      <c r="C101" s="5"/>
      <c r="D101" s="4">
        <f t="shared" ref="D101:O101" si="5">IFERROR(D100/D10, 0)</f>
        <v>-0.35643074657816048</v>
      </c>
      <c r="E101" s="4">
        <f t="shared" si="5"/>
        <v>0.30676627048361754</v>
      </c>
      <c r="F101" s="4">
        <f t="shared" si="5"/>
        <v>6.6308763793432979E-2</v>
      </c>
      <c r="G101" s="4">
        <f t="shared" si="5"/>
        <v>1.0664683298189119E-2</v>
      </c>
      <c r="H101" s="4">
        <f t="shared" si="5"/>
        <v>-0.1635947500515374</v>
      </c>
      <c r="I101" s="4">
        <f t="shared" si="5"/>
        <v>0.27596398578670112</v>
      </c>
      <c r="J101" s="4">
        <f t="shared" si="5"/>
        <v>3.6375519600179089E-2</v>
      </c>
      <c r="K101" s="4">
        <f t="shared" si="5"/>
        <v>3.3295175584254648E-2</v>
      </c>
      <c r="L101" s="4">
        <f t="shared" si="5"/>
        <v>0.29964249674221155</v>
      </c>
      <c r="M101" s="4">
        <f t="shared" si="5"/>
        <v>-4.8393554839390895E-2</v>
      </c>
      <c r="N101" s="4">
        <f t="shared" si="5"/>
        <v>1.1938533343357736</v>
      </c>
      <c r="O101" s="4">
        <f t="shared" si="5"/>
        <v>1.136094808641039</v>
      </c>
      <c r="P101" s="18"/>
      <c r="Q101" s="4">
        <f>IFERROR(Q100/Q10, 0)</f>
        <v>0.25275935732153637</v>
      </c>
    </row>
    <row r="102" spans="1:17" x14ac:dyDescent="0.3">
      <c r="A102" s="5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</row>
    <row r="103" spans="1:17" x14ac:dyDescent="0.3">
      <c r="A103" s="5"/>
      <c r="B103" s="5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Q103" s="3"/>
    </row>
    <row r="104" spans="1:17" s="15" customFormat="1" ht="15" thickBot="1" x14ac:dyDescent="0.35">
      <c r="A104" s="6"/>
      <c r="B104" s="17" t="s">
        <v>294</v>
      </c>
      <c r="C104" s="17"/>
      <c r="D104" s="7">
        <f t="shared" ref="D104:O104" si="6">IFERROR(SUM(D100:D103), 0)</f>
        <v>-44212.286430746608</v>
      </c>
      <c r="E104" s="7">
        <f t="shared" si="6"/>
        <v>128897.6650643474</v>
      </c>
      <c r="F104" s="7">
        <f t="shared" si="6"/>
        <v>14785.196606840718</v>
      </c>
      <c r="G104" s="7">
        <f t="shared" si="6"/>
        <v>2449.0485372794474</v>
      </c>
      <c r="H104" s="7">
        <f t="shared" si="6"/>
        <v>-27531.033296673126</v>
      </c>
      <c r="I104" s="7">
        <f t="shared" si="6"/>
        <v>72808.406262062708</v>
      </c>
      <c r="J104" s="7">
        <f t="shared" si="6"/>
        <v>8803.5668781157419</v>
      </c>
      <c r="K104" s="7">
        <f t="shared" si="6"/>
        <v>7191.9576972525101</v>
      </c>
      <c r="L104" s="7">
        <f t="shared" si="6"/>
        <v>68792.224044573668</v>
      </c>
      <c r="M104" s="7">
        <f t="shared" si="6"/>
        <v>-9440.5178909586975</v>
      </c>
      <c r="N104" s="7">
        <f t="shared" si="6"/>
        <v>240664.11825541127</v>
      </c>
      <c r="O104" s="7">
        <f t="shared" si="6"/>
        <v>221260.14445688555</v>
      </c>
      <c r="Q104" s="7">
        <f>IFERROR(SUM(Q100:Q103), 0)</f>
        <v>684465.95239776105</v>
      </c>
    </row>
    <row r="105" spans="1:17" ht="15" thickTop="1" x14ac:dyDescent="0.3">
      <c r="A105" s="5"/>
      <c r="C105" s="5"/>
      <c r="D105" s="4">
        <f t="shared" ref="D105:O105" si="7">IFERROR(D104/D10, 0)</f>
        <v>-0.35643362007581386</v>
      </c>
      <c r="E105" s="4">
        <f t="shared" si="7"/>
        <v>0.30676700056486944</v>
      </c>
      <c r="F105" s="4">
        <f t="shared" si="7"/>
        <v>6.6309061176822046E-2</v>
      </c>
      <c r="G105" s="4">
        <f t="shared" si="7"/>
        <v>1.0664729739067442E-2</v>
      </c>
      <c r="H105" s="4">
        <f t="shared" si="7"/>
        <v>-0.16359572216911067</v>
      </c>
      <c r="I105" s="4">
        <f t="shared" si="7"/>
        <v>0.27596503177045512</v>
      </c>
      <c r="J105" s="4">
        <f t="shared" si="7"/>
        <v>3.6375669901064146E-2</v>
      </c>
      <c r="K105" s="4">
        <f t="shared" si="7"/>
        <v>3.3295329725017989E-2</v>
      </c>
      <c r="L105" s="4">
        <f t="shared" si="7"/>
        <v>0.299643801919042</v>
      </c>
      <c r="M105" s="4">
        <f t="shared" si="7"/>
        <v>-4.8393802913509525E-2</v>
      </c>
      <c r="N105" s="4">
        <f t="shared" si="7"/>
        <v>1.1938592566679627</v>
      </c>
      <c r="O105" s="4">
        <f t="shared" si="7"/>
        <v>1.1361006421274302</v>
      </c>
      <c r="P105" s="18"/>
      <c r="Q105" s="4">
        <f>IFERROR(Q104/Q10, 0)</f>
        <v>0.25275945066046157</v>
      </c>
    </row>
    <row r="106" spans="1:17" x14ac:dyDescent="0.3">
      <c r="A106" s="5"/>
      <c r="B106" s="30">
        <v>44462.678423958336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1"/>
    </row>
    <row r="107" spans="1:17" x14ac:dyDescent="0.3">
      <c r="A107" s="5"/>
      <c r="B107" s="31" t="s">
        <v>54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Q107" s="11"/>
    </row>
    <row r="108" spans="1:17" x14ac:dyDescent="0.3">
      <c r="A108" s="5"/>
      <c r="B108" s="2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Q108" s="11"/>
    </row>
    <row r="109" spans="1:17" x14ac:dyDescent="0.3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Q109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92D050"/>
    <outlinePr summaryBelow="0" summaryRight="0"/>
    <pageSetUpPr fitToPage="1"/>
  </sheetPr>
  <dimension ref="A2:R9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","326", " - ", "2nd Street Store")</f>
        <v>Department 326 - 2nd Street Store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31810.87</v>
      </c>
      <c r="E10" s="3">
        <f>SUM(OSRRefE11x_0)</f>
        <v>26580</v>
      </c>
      <c r="F10" s="3">
        <f>SUM(OSRRefE11x_1)</f>
        <v>23436</v>
      </c>
      <c r="G10" s="3">
        <f>SUM(OSRRefE11x_2)</f>
        <v>22114</v>
      </c>
      <c r="H10" s="3">
        <f>SUM(OSRRefE11x_3)</f>
        <v>20798</v>
      </c>
      <c r="I10" s="3">
        <f>SUM(OSRRefE11x_4)</f>
        <v>44474</v>
      </c>
      <c r="J10" s="3">
        <f>SUM(OSRRefE11x_5)</f>
        <v>22087</v>
      </c>
      <c r="K10" s="3">
        <f>SUM(OSRRefE11x_6)</f>
        <v>24103</v>
      </c>
      <c r="L10" s="3">
        <f>SUM(OSRRefE11x_7)</f>
        <v>27969</v>
      </c>
      <c r="M10" s="3">
        <f>SUM(OSRRefE11x_8)</f>
        <v>60655</v>
      </c>
      <c r="N10" s="3">
        <f>SUM(OSRRefE11x_9)</f>
        <v>62718</v>
      </c>
      <c r="O10" s="3">
        <f>SUM(OSRRefE11x_10)</f>
        <v>60655</v>
      </c>
      <c r="P10" s="24"/>
      <c r="Q10" s="3">
        <f>SUM(OSRRefG11x)</f>
        <v>427399.87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--32806.68</f>
        <v>32806.68</v>
      </c>
      <c r="E11" s="2">
        <v>26580</v>
      </c>
      <c r="F11" s="2">
        <v>23436</v>
      </c>
      <c r="G11" s="2">
        <v>22114</v>
      </c>
      <c r="H11" s="2">
        <v>20798</v>
      </c>
      <c r="I11" s="2">
        <v>44474</v>
      </c>
      <c r="J11" s="2">
        <v>22087</v>
      </c>
      <c r="K11" s="2">
        <v>24103</v>
      </c>
      <c r="L11" s="2">
        <v>27969</v>
      </c>
      <c r="M11" s="2">
        <v>60655</v>
      </c>
      <c r="N11" s="2">
        <v>62718</v>
      </c>
      <c r="O11" s="2">
        <v>60655</v>
      </c>
      <c r="Q11" s="2">
        <f>SUM(OSRRefD11_0x)+IFERROR(SUM(OSRRefE11_0x),0)</f>
        <v>428395.68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--18</f>
        <v>18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18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-1013.81</f>
        <v>-1013.81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-1013.81</v>
      </c>
    </row>
    <row r="14" spans="1:18" x14ac:dyDescent="0.3">
      <c r="A14" s="5"/>
      <c r="B14" s="6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</row>
    <row r="15" spans="1:18" s="9" customFormat="1" collapsed="1" x14ac:dyDescent="0.3">
      <c r="A15" s="22"/>
      <c r="B15" s="16" t="s">
        <v>218</v>
      </c>
      <c r="C15" s="23"/>
      <c r="D15" s="3">
        <f>SUM(OSRRefD14x_0)</f>
        <v>15982.33</v>
      </c>
      <c r="E15" s="3">
        <f>SUM(OSRRefE14x_0)</f>
        <v>11961</v>
      </c>
      <c r="F15" s="3">
        <f>SUM(OSRRefE14x_1)</f>
        <v>10546</v>
      </c>
      <c r="G15" s="3">
        <f>SUM(OSRRefE14x_2)</f>
        <v>9952</v>
      </c>
      <c r="H15" s="3">
        <f>SUM(OSRRefE14x_3)</f>
        <v>9359</v>
      </c>
      <c r="I15" s="3">
        <f>SUM(OSRRefE14x_4)</f>
        <v>20014</v>
      </c>
      <c r="J15" s="3">
        <f>SUM(OSRRefE14x_5)</f>
        <v>9939</v>
      </c>
      <c r="K15" s="3">
        <f>SUM(OSRRefE14x_6)</f>
        <v>10847</v>
      </c>
      <c r="L15" s="3">
        <f>SUM(OSRRefE14x_7)</f>
        <v>12586</v>
      </c>
      <c r="M15" s="3">
        <f>SUM(OSRRefE14x_8)</f>
        <v>27295</v>
      </c>
      <c r="N15" s="3">
        <f>SUM(OSRRefE14x_9)</f>
        <v>28223</v>
      </c>
      <c r="O15" s="3">
        <f>SUM(OSRRefE14x_10)</f>
        <v>25709</v>
      </c>
      <c r="Q15" s="3">
        <f>SUM(OSRRefG14x)</f>
        <v>192413.33</v>
      </c>
    </row>
    <row r="16" spans="1:18" s="9" customFormat="1" hidden="1" outlineLevel="1" x14ac:dyDescent="0.3">
      <c r="A16" s="22"/>
      <c r="B16" s="10" t="str">
        <f>CONCATENATE("          ","5000", " - ","PURCHASES @ COST")</f>
        <v xml:space="preserve">          5000 - PURCHASES @ COST</v>
      </c>
      <c r="C16" s="23"/>
      <c r="D16" s="2"/>
      <c r="E16" s="2">
        <v>11961</v>
      </c>
      <c r="F16" s="2">
        <v>10546</v>
      </c>
      <c r="G16" s="2">
        <v>9952</v>
      </c>
      <c r="H16" s="2">
        <v>9359</v>
      </c>
      <c r="I16" s="2">
        <v>20014</v>
      </c>
      <c r="J16" s="2">
        <v>9939</v>
      </c>
      <c r="K16" s="2">
        <v>10847</v>
      </c>
      <c r="L16" s="2">
        <v>12586</v>
      </c>
      <c r="M16" s="2">
        <v>27295</v>
      </c>
      <c r="N16" s="2">
        <v>28223</v>
      </c>
      <c r="O16" s="2">
        <v>25709</v>
      </c>
      <c r="Q16" s="2">
        <f>SUM(OSRRefD14_0x)+IFERROR(SUM(OSRRefE14_0x),0)</f>
        <v>176431</v>
      </c>
    </row>
    <row r="17" spans="1:17" s="9" customFormat="1" hidden="1" outlineLevel="1" x14ac:dyDescent="0.3">
      <c r="A17" s="22"/>
      <c r="B17" s="10" t="str">
        <f>CONCATENATE("          ","5300", " - ","COG$ OFFSET")</f>
        <v xml:space="preserve">          5300 - COG$ OFFSET</v>
      </c>
      <c r="C17" s="23"/>
      <c r="D17" s="2">
        <v>15982.33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>
        <f>SUM(OSRRefD14_1x)+IFERROR(SUM(OSRRefE14_1x),0)</f>
        <v>15982.33</v>
      </c>
    </row>
    <row r="18" spans="1:17" x14ac:dyDescent="0.3">
      <c r="A18" s="5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3"/>
    </row>
    <row r="19" spans="1:17" s="15" customFormat="1" x14ac:dyDescent="0.3">
      <c r="A19" s="6"/>
      <c r="B19" s="17" t="s">
        <v>105</v>
      </c>
      <c r="C19" s="17"/>
      <c r="D19" s="8">
        <f t="shared" ref="D19:O19" si="0">IFERROR(+D10-D15, 0)</f>
        <v>15828.539999999999</v>
      </c>
      <c r="E19" s="8">
        <f t="shared" si="0"/>
        <v>14619</v>
      </c>
      <c r="F19" s="8">
        <f t="shared" si="0"/>
        <v>12890</v>
      </c>
      <c r="G19" s="8">
        <f t="shared" si="0"/>
        <v>12162</v>
      </c>
      <c r="H19" s="8">
        <f t="shared" si="0"/>
        <v>11439</v>
      </c>
      <c r="I19" s="8">
        <f t="shared" si="0"/>
        <v>24460</v>
      </c>
      <c r="J19" s="8">
        <f t="shared" si="0"/>
        <v>12148</v>
      </c>
      <c r="K19" s="8">
        <f t="shared" si="0"/>
        <v>13256</v>
      </c>
      <c r="L19" s="8">
        <f t="shared" si="0"/>
        <v>15383</v>
      </c>
      <c r="M19" s="8">
        <f t="shared" si="0"/>
        <v>33360</v>
      </c>
      <c r="N19" s="8">
        <f t="shared" si="0"/>
        <v>34495</v>
      </c>
      <c r="O19" s="8">
        <f t="shared" si="0"/>
        <v>34946</v>
      </c>
      <c r="Q19" s="8">
        <f>IFERROR(+Q10-Q15, 0)</f>
        <v>234986.54</v>
      </c>
    </row>
    <row r="20" spans="1:17" s="6" customFormat="1" x14ac:dyDescent="0.3">
      <c r="B20" s="16"/>
      <c r="C20" s="16"/>
      <c r="D20" s="4">
        <f t="shared" ref="D20:O20" si="1">IFERROR(D19/D10, 0)</f>
        <v>0.49758274451468948</v>
      </c>
      <c r="E20" s="4">
        <f t="shared" si="1"/>
        <v>0.55000000000000004</v>
      </c>
      <c r="F20" s="4">
        <f t="shared" si="1"/>
        <v>0.55000853387950166</v>
      </c>
      <c r="G20" s="4">
        <f t="shared" si="1"/>
        <v>0.54996834584426157</v>
      </c>
      <c r="H20" s="4">
        <f t="shared" si="1"/>
        <v>0.55000480815463026</v>
      </c>
      <c r="I20" s="4">
        <f t="shared" si="1"/>
        <v>0.54998426046678961</v>
      </c>
      <c r="J20" s="4">
        <f t="shared" si="1"/>
        <v>0.55000679132521391</v>
      </c>
      <c r="K20" s="4">
        <f t="shared" si="1"/>
        <v>0.54997303240260553</v>
      </c>
      <c r="L20" s="4">
        <f t="shared" si="1"/>
        <v>0.55000178769351782</v>
      </c>
      <c r="M20" s="4">
        <f t="shared" si="1"/>
        <v>0.54999587832824992</v>
      </c>
      <c r="N20" s="4">
        <f t="shared" si="1"/>
        <v>0.5500015944385982</v>
      </c>
      <c r="O20" s="4">
        <f t="shared" si="1"/>
        <v>0.57614376391064215</v>
      </c>
      <c r="P20" s="18"/>
      <c r="Q20" s="4">
        <f>IFERROR(Q19/Q10, 0)</f>
        <v>0.54980489348300454</v>
      </c>
    </row>
    <row r="21" spans="1:17" x14ac:dyDescent="0.3">
      <c r="A21" s="5"/>
      <c r="B21" s="6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Q21" s="1"/>
    </row>
    <row r="22" spans="1:17" s="15" customFormat="1" x14ac:dyDescent="0.3">
      <c r="A22" s="6"/>
      <c r="B22" s="16" t="s">
        <v>255</v>
      </c>
      <c r="C22" s="6"/>
      <c r="D22" s="13">
        <f>SUM(OSRRefD20x_0)</f>
        <v>16901.780000000002</v>
      </c>
      <c r="E22" s="13">
        <f>SUM(OSRRefE20x_0)</f>
        <v>20206.753005769227</v>
      </c>
      <c r="F22" s="13">
        <f>SUM(OSRRefE20x_1)</f>
        <v>20053.626815769225</v>
      </c>
      <c r="G22" s="13">
        <f>SUM(OSRRefE20x_2)</f>
        <v>22601.658519711542</v>
      </c>
      <c r="H22" s="13">
        <f>SUM(OSRRefE20x_3)</f>
        <v>20015.626815769225</v>
      </c>
      <c r="I22" s="13">
        <f>SUM(OSRRefE20x_4)</f>
        <v>24990.112255769229</v>
      </c>
      <c r="J22" s="13">
        <f>SUM(OSRRefE20x_5)</f>
        <v>23803.408929961544</v>
      </c>
      <c r="K22" s="13">
        <f>SUM(OSRRefE20x_6)</f>
        <v>23212.02714396923</v>
      </c>
      <c r="L22" s="13">
        <f>SUM(OSRRefE20x_7)</f>
        <v>20689.02714396923</v>
      </c>
      <c r="M22" s="13">
        <f>SUM(OSRRefE20x_8)</f>
        <v>24054.408929961544</v>
      </c>
      <c r="N22" s="13">
        <f>SUM(OSRRefE20x_9)</f>
        <v>21364.02714396923</v>
      </c>
      <c r="O22" s="13">
        <f>SUM(OSRRefE20x_10)</f>
        <v>21635.062167269229</v>
      </c>
      <c r="Q22" s="13">
        <f>SUM(OSRRefG20x)</f>
        <v>259527.51887188843</v>
      </c>
    </row>
    <row r="23" spans="1:17" s="34" customFormat="1" collapsed="1" x14ac:dyDescent="0.3">
      <c r="A23" s="35"/>
      <c r="B23" s="14" t="str">
        <f>CONCATENATE("     ","*Benefits                                         ")</f>
        <v xml:space="preserve">     *Benefits                                         </v>
      </c>
      <c r="C23" s="14"/>
      <c r="D23" s="1">
        <f>SUM(OSRRefD21_0x_0)</f>
        <v>1300.4500000000003</v>
      </c>
      <c r="E23" s="1">
        <f>SUM(OSRRefE21_0x_0)</f>
        <v>2656.2953134615377</v>
      </c>
      <c r="F23" s="1">
        <f>SUM(OSRRefE21_0x_1)</f>
        <v>2486.1691234615378</v>
      </c>
      <c r="G23" s="1">
        <f>SUM(OSRRefE21_0x_2)</f>
        <v>2860.5864043269225</v>
      </c>
      <c r="H23" s="1">
        <f>SUM(OSRRefE21_0x_3)</f>
        <v>2486.1691234615378</v>
      </c>
      <c r="I23" s="1">
        <f>SUM(OSRRefE21_0x_4)</f>
        <v>2825.0545634615378</v>
      </c>
      <c r="J23" s="1">
        <f>SUM(OSRRefE21_0x_5)</f>
        <v>2932.8643145769224</v>
      </c>
      <c r="K23" s="1">
        <f>SUM(OSRRefE21_0x_6)</f>
        <v>2543.991451661539</v>
      </c>
      <c r="L23" s="1">
        <f>SUM(OSRRefE21_0x_7)</f>
        <v>2543.991451661539</v>
      </c>
      <c r="M23" s="1">
        <f>SUM(OSRRefE21_0x_8)</f>
        <v>2932.8643145769224</v>
      </c>
      <c r="N23" s="1">
        <f>SUM(OSRRefE21_0x_9)</f>
        <v>2543.991451661539</v>
      </c>
      <c r="O23" s="1">
        <f>SUM(OSRRefE21_0x_10)</f>
        <v>2726.026474961539</v>
      </c>
      <c r="Q23" s="2">
        <f>SUM(OSRRefD20_0x)+IFERROR(SUM(OSRRefE20_0x),0)</f>
        <v>30838.453987273075</v>
      </c>
    </row>
    <row r="24" spans="1:17" s="34" customFormat="1" hidden="1" outlineLevel="1" x14ac:dyDescent="0.3">
      <c r="A24" s="35"/>
      <c r="B24" s="10" t="str">
        <f>CONCATENATE("          ","6111", " - ","F.I.C.A.")</f>
        <v xml:space="preserve">          6111 - F.I.C.A.</v>
      </c>
      <c r="C24" s="14"/>
      <c r="D24" s="2">
        <v>402.97</v>
      </c>
      <c r="E24" s="2">
        <v>735.58575576923101</v>
      </c>
      <c r="F24" s="2">
        <v>565.45956576923095</v>
      </c>
      <c r="G24" s="2">
        <v>706.82445721153795</v>
      </c>
      <c r="H24" s="2">
        <v>565.45956576923095</v>
      </c>
      <c r="I24" s="2">
        <v>722.19300576923104</v>
      </c>
      <c r="J24" s="2">
        <v>740.25276121153797</v>
      </c>
      <c r="K24" s="2">
        <v>592.20220896923104</v>
      </c>
      <c r="L24" s="2">
        <v>592.20220896923104</v>
      </c>
      <c r="M24" s="2">
        <v>740.25276121153797</v>
      </c>
      <c r="N24" s="2">
        <v>592.20220896923104</v>
      </c>
      <c r="O24" s="2">
        <v>774.23723226923096</v>
      </c>
      <c r="P24" s="9"/>
      <c r="Q24" s="2">
        <f>SUM(OSRRefD21_0_0x)+IFERROR(SUM(OSRRefE21_0_0x),0)</f>
        <v>7729.8417318884622</v>
      </c>
    </row>
    <row r="25" spans="1:17" s="34" customFormat="1" hidden="1" outlineLevel="1" x14ac:dyDescent="0.3">
      <c r="A25" s="35"/>
      <c r="B25" s="10" t="str">
        <f>CONCATENATE("          ","6112", " - ","COMPENSATION INSURANCE")</f>
        <v xml:space="preserve">          6112 - COMPENSATION INSURANCE</v>
      </c>
      <c r="C25" s="14"/>
      <c r="D25" s="2">
        <v>36.79</v>
      </c>
      <c r="E25" s="2">
        <v>149.94300000000001</v>
      </c>
      <c r="F25" s="2">
        <v>149.94300000000001</v>
      </c>
      <c r="G25" s="2">
        <v>187.42875000000001</v>
      </c>
      <c r="H25" s="2">
        <v>149.94300000000001</v>
      </c>
      <c r="I25" s="2">
        <v>196.119</v>
      </c>
      <c r="J25" s="2">
        <v>197.27722499999999</v>
      </c>
      <c r="K25" s="2">
        <v>157.82177999999999</v>
      </c>
      <c r="L25" s="2">
        <v>157.82177999999999</v>
      </c>
      <c r="M25" s="2">
        <v>197.27722499999999</v>
      </c>
      <c r="N25" s="2">
        <v>157.82177999999999</v>
      </c>
      <c r="O25" s="2">
        <v>157.82177999999999</v>
      </c>
      <c r="P25" s="9"/>
      <c r="Q25" s="2">
        <f>SUM(OSRRefD21_0_1x)+IFERROR(SUM(OSRRefE21_0_1x),0)</f>
        <v>1896.0083199999999</v>
      </c>
    </row>
    <row r="26" spans="1:17" s="34" customFormat="1" hidden="1" outlineLevel="1" x14ac:dyDescent="0.3">
      <c r="A26" s="35"/>
      <c r="B26" s="10" t="str">
        <f>CONCATENATE("          ","6113", " - ","GROUP INSURANCE")</f>
        <v xml:space="preserve">          6113 - GROUP INSURANCE</v>
      </c>
      <c r="C26" s="14"/>
      <c r="D26" s="2">
        <v>526.70000000000005</v>
      </c>
      <c r="E26" s="2">
        <v>988.5</v>
      </c>
      <c r="F26" s="2">
        <v>988.5</v>
      </c>
      <c r="G26" s="2">
        <v>988.5</v>
      </c>
      <c r="H26" s="2">
        <v>988.5</v>
      </c>
      <c r="I26" s="2">
        <v>988.5</v>
      </c>
      <c r="J26" s="2">
        <v>988.5</v>
      </c>
      <c r="K26" s="2">
        <v>988.5</v>
      </c>
      <c r="L26" s="2">
        <v>988.5</v>
      </c>
      <c r="M26" s="2">
        <v>988.5</v>
      </c>
      <c r="N26" s="2">
        <v>988.5</v>
      </c>
      <c r="O26" s="2">
        <v>988.5</v>
      </c>
      <c r="P26" s="9"/>
      <c r="Q26" s="2">
        <f>SUM(OSRRefD21_0_2x)+IFERROR(SUM(OSRRefE21_0_2x),0)</f>
        <v>11400.2</v>
      </c>
    </row>
    <row r="27" spans="1:17" s="34" customFormat="1" hidden="1" outlineLevel="1" x14ac:dyDescent="0.3">
      <c r="A27" s="35"/>
      <c r="B27" s="10" t="str">
        <f>CONCATENATE("          ","6114", " - ","STATE UNEMPLOYMENT INSURANCE")</f>
        <v xml:space="preserve">          6114 - STATE UNEMPLOYMENT INSURANCE</v>
      </c>
      <c r="C27" s="14"/>
      <c r="D27" s="2">
        <v>6.46</v>
      </c>
      <c r="E27" s="2">
        <v>20.184634615384599</v>
      </c>
      <c r="F27" s="2">
        <v>20.184634615384599</v>
      </c>
      <c r="G27" s="2">
        <v>25.230793269230801</v>
      </c>
      <c r="H27" s="2">
        <v>20.184634615384599</v>
      </c>
      <c r="I27" s="2">
        <v>26.4006346153846</v>
      </c>
      <c r="J27" s="2">
        <v>26.556549519230799</v>
      </c>
      <c r="K27" s="2">
        <v>21.245239615384602</v>
      </c>
      <c r="L27" s="2">
        <v>21.245239615384602</v>
      </c>
      <c r="M27" s="2">
        <v>26.556549519230799</v>
      </c>
      <c r="N27" s="2">
        <v>21.245239615384602</v>
      </c>
      <c r="O27" s="2">
        <v>21.245239615384602</v>
      </c>
      <c r="P27" s="9"/>
      <c r="Q27" s="2">
        <f>SUM(OSRRefD21_0_3x)+IFERROR(SUM(OSRRefE21_0_3x),0)</f>
        <v>256.73938923076923</v>
      </c>
    </row>
    <row r="28" spans="1:17" s="34" customFormat="1" hidden="1" outlineLevel="1" x14ac:dyDescent="0.3">
      <c r="A28" s="35"/>
      <c r="B28" s="10" t="str">
        <f>CONCATENATE("          ","6115", " - ","P.E.R.S.")</f>
        <v xml:space="preserve">          6115 - P.E.R.S.</v>
      </c>
      <c r="C28" s="14"/>
      <c r="D28" s="2">
        <v>88.89</v>
      </c>
      <c r="E28" s="2">
        <v>206.11884615384599</v>
      </c>
      <c r="F28" s="2">
        <v>206.11884615384599</v>
      </c>
      <c r="G28" s="2">
        <v>257.64855769230797</v>
      </c>
      <c r="H28" s="2">
        <v>206.11884615384599</v>
      </c>
      <c r="I28" s="2">
        <v>206.11884615384599</v>
      </c>
      <c r="J28" s="2">
        <v>257.64855769230797</v>
      </c>
      <c r="K28" s="2">
        <v>206.11884615384599</v>
      </c>
      <c r="L28" s="2">
        <v>206.11884615384599</v>
      </c>
      <c r="M28" s="2">
        <v>257.64855769230797</v>
      </c>
      <c r="N28" s="2">
        <v>206.11884615384599</v>
      </c>
      <c r="O28" s="2">
        <v>206.11884615384599</v>
      </c>
      <c r="P28" s="9"/>
      <c r="Q28" s="2">
        <f>SUM(OSRRefD21_0_4x)+IFERROR(SUM(OSRRefE21_0_4x),0)</f>
        <v>2510.7864423076917</v>
      </c>
    </row>
    <row r="29" spans="1:17" s="34" customFormat="1" hidden="1" outlineLevel="1" x14ac:dyDescent="0.3">
      <c r="A29" s="35"/>
      <c r="B29" s="10" t="str">
        <f>CONCATENATE("          ","6116", " - ","EDUCATIONAL BENEFITS")</f>
        <v xml:space="preserve">          6116 - EDUCATIONAL BENEFITS</v>
      </c>
      <c r="C29" s="14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/>
      <c r="Q29" s="2">
        <f>SUM(OSRRefD21_0_5x)+IFERROR(SUM(OSRRefE21_0_5x),0)</f>
        <v>0</v>
      </c>
    </row>
    <row r="30" spans="1:17" s="34" customFormat="1" hidden="1" outlineLevel="1" x14ac:dyDescent="0.3">
      <c r="A30" s="35"/>
      <c r="B30" s="10" t="str">
        <f>CONCATENATE("          ","6118", " - ","VACATION")</f>
        <v xml:space="preserve">          6118 - VACATION</v>
      </c>
      <c r="C30" s="14"/>
      <c r="D30" s="2">
        <v>85.64</v>
      </c>
      <c r="E30" s="2">
        <v>119.836538461538</v>
      </c>
      <c r="F30" s="2">
        <v>119.836538461538</v>
      </c>
      <c r="G30" s="2">
        <v>149.79567307692301</v>
      </c>
      <c r="H30" s="2">
        <v>119.836538461538</v>
      </c>
      <c r="I30" s="2">
        <v>119.836538461538</v>
      </c>
      <c r="J30" s="2">
        <v>149.79567307692301</v>
      </c>
      <c r="K30" s="2">
        <v>119.836538461538</v>
      </c>
      <c r="L30" s="2">
        <v>119.836538461538</v>
      </c>
      <c r="M30" s="2">
        <v>149.79567307692301</v>
      </c>
      <c r="N30" s="2">
        <v>119.836538461538</v>
      </c>
      <c r="O30" s="2">
        <v>119.836538461538</v>
      </c>
      <c r="P30" s="9"/>
      <c r="Q30" s="2">
        <f>SUM(OSRRefD21_0_6x)+IFERROR(SUM(OSRRefE21_0_6x),0)</f>
        <v>1493.7193269230731</v>
      </c>
    </row>
    <row r="31" spans="1:17" s="34" customFormat="1" hidden="1" outlineLevel="1" x14ac:dyDescent="0.3">
      <c r="A31" s="35"/>
      <c r="B31" s="10" t="str">
        <f>CONCATENATE("          ","6119", " - ","SICK LEAVE")</f>
        <v xml:space="preserve">          6119 - SICK LEAVE</v>
      </c>
      <c r="C31" s="14"/>
      <c r="D31" s="2">
        <v>54.02</v>
      </c>
      <c r="E31" s="2">
        <v>436.12653846153802</v>
      </c>
      <c r="F31" s="2">
        <v>436.12653846153802</v>
      </c>
      <c r="G31" s="2">
        <v>545.15817307692305</v>
      </c>
      <c r="H31" s="2">
        <v>436.12653846153802</v>
      </c>
      <c r="I31" s="2">
        <v>565.88653846153795</v>
      </c>
      <c r="J31" s="2">
        <v>572.83354807692297</v>
      </c>
      <c r="K31" s="2">
        <v>458.26683846153901</v>
      </c>
      <c r="L31" s="2">
        <v>458.26683846153901</v>
      </c>
      <c r="M31" s="2">
        <v>572.83354807692297</v>
      </c>
      <c r="N31" s="2">
        <v>458.26683846153901</v>
      </c>
      <c r="O31" s="2">
        <v>458.26683846153901</v>
      </c>
      <c r="P31" s="9"/>
      <c r="Q31" s="2">
        <f>SUM(OSRRefD21_0_7x)+IFERROR(SUM(OSRRefE21_0_7x),0)</f>
        <v>5452.1787769230777</v>
      </c>
    </row>
    <row r="32" spans="1:17" s="34" customFormat="1" hidden="1" outlineLevel="1" x14ac:dyDescent="0.3">
      <c r="A32" s="35"/>
      <c r="B32" s="10" t="str">
        <f>CONCATENATE("          ","6156", " - ","EMPLOYEE MEALS")</f>
        <v xml:space="preserve">          6156 - EMPLOYEE MEALS</v>
      </c>
      <c r="C32" s="14"/>
      <c r="D32" s="2">
        <v>98.98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2">
        <f>SUM(OSRRefD21_0_8x)+IFERROR(SUM(OSRRefE21_0_8x),0)</f>
        <v>98.98</v>
      </c>
    </row>
    <row r="33" spans="1:17" s="34" customFormat="1" collapsed="1" x14ac:dyDescent="0.3">
      <c r="A33" s="35"/>
      <c r="B33" s="14" t="str">
        <f>CONCATENATE("     ","*Payroll                                          ")</f>
        <v xml:space="preserve">     *Payroll                                          </v>
      </c>
      <c r="C33" s="14"/>
      <c r="D33" s="1">
        <f>SUM(OSRRefD21_1x_0)</f>
        <v>6539.68</v>
      </c>
      <c r="E33" s="1">
        <f>SUM(OSRRefE21_1x_0)</f>
        <v>9122.4576923076893</v>
      </c>
      <c r="F33" s="1">
        <f>SUM(OSRRefE21_1x_1)</f>
        <v>9122.4576923076893</v>
      </c>
      <c r="G33" s="1">
        <f>SUM(OSRRefE21_1x_2)</f>
        <v>11403.072115384621</v>
      </c>
      <c r="H33" s="1">
        <f>SUM(OSRRefE21_1x_3)</f>
        <v>9122.4576923076893</v>
      </c>
      <c r="I33" s="1">
        <f>SUM(OSRRefE21_1x_4)</f>
        <v>11980.05769230769</v>
      </c>
      <c r="J33" s="1">
        <f>SUM(OSRRefE21_1x_5)</f>
        <v>12012.544615384621</v>
      </c>
      <c r="K33" s="1">
        <f>SUM(OSRRefE21_1x_6)</f>
        <v>9610.0356923076906</v>
      </c>
      <c r="L33" s="1">
        <f>SUM(OSRRefE21_1x_7)</f>
        <v>9610.0356923076906</v>
      </c>
      <c r="M33" s="1">
        <f>SUM(OSRRefE21_1x_8)</f>
        <v>12012.544615384621</v>
      </c>
      <c r="N33" s="1">
        <f>SUM(OSRRefE21_1x_9)</f>
        <v>9610.0356923076906</v>
      </c>
      <c r="O33" s="1">
        <f>SUM(OSRRefE21_1x_10)</f>
        <v>9610.0356923076906</v>
      </c>
      <c r="Q33" s="2">
        <f>SUM(OSRRefD20_1x)+IFERROR(SUM(OSRRefE20_1x),0)</f>
        <v>119755.41488461537</v>
      </c>
    </row>
    <row r="34" spans="1:17" s="34" customFormat="1" hidden="1" outlineLevel="1" x14ac:dyDescent="0.3">
      <c r="A34" s="35"/>
      <c r="B34" s="10" t="str">
        <f>CONCATENATE("          ","6001", " - ","ADMINISTRATIVE SALARIES")</f>
        <v xml:space="preserve">          6001 - ADMINISTRATIVE SALARIES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SUM(OSRRefD21_1_0x)+IFERROR(SUM(OSRRefE21_1_0x),0)</f>
        <v>0</v>
      </c>
    </row>
    <row r="35" spans="1:17" s="34" customFormat="1" hidden="1" outlineLevel="1" x14ac:dyDescent="0.3">
      <c r="A35" s="35"/>
      <c r="B35" s="10" t="str">
        <f>CONCATENATE("          ","6002", " - ","STAFF SALARIES")</f>
        <v xml:space="preserve">          6002 - STAFF SALARIES</v>
      </c>
      <c r="C35" s="14"/>
      <c r="D35" s="2">
        <v>1405.6</v>
      </c>
      <c r="E35" s="2">
        <v>2157.0576923076901</v>
      </c>
      <c r="F35" s="2">
        <v>2157.0576923076901</v>
      </c>
      <c r="G35" s="2">
        <v>2696.3221153846198</v>
      </c>
      <c r="H35" s="2">
        <v>2157.0576923076901</v>
      </c>
      <c r="I35" s="2">
        <v>2157.0576923076901</v>
      </c>
      <c r="J35" s="2">
        <v>2696.3221153846198</v>
      </c>
      <c r="K35" s="2">
        <v>2157.0576923076901</v>
      </c>
      <c r="L35" s="2">
        <v>2157.0576923076901</v>
      </c>
      <c r="M35" s="2">
        <v>2696.3221153846198</v>
      </c>
      <c r="N35" s="2">
        <v>2157.0576923076901</v>
      </c>
      <c r="O35" s="2">
        <v>2157.0576923076901</v>
      </c>
      <c r="P35" s="9"/>
      <c r="Q35" s="2">
        <f>SUM(OSRRefD21_1_1x)+IFERROR(SUM(OSRRefE21_1_1x),0)</f>
        <v>26751.027884615381</v>
      </c>
    </row>
    <row r="36" spans="1:17" s="34" customFormat="1" hidden="1" outlineLevel="1" x14ac:dyDescent="0.3">
      <c r="A36" s="35"/>
      <c r="B36" s="10" t="str">
        <f>CONCATENATE("          ","6003", " - ","STAFF HOURLY-9 MONTH")</f>
        <v xml:space="preserve">          6003 - STAFF HOURLY-9 MONTH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SUM(OSRRefD21_1_2x)+IFERROR(SUM(OSRRefE21_1_2x),0)</f>
        <v>0</v>
      </c>
    </row>
    <row r="37" spans="1:17" s="34" customFormat="1" hidden="1" outlineLevel="1" x14ac:dyDescent="0.3">
      <c r="A37" s="35"/>
      <c r="B37" s="10" t="str">
        <f>CONCATENATE("          ","6004", " - ","STAFF HOURLY")</f>
        <v xml:space="preserve">          6004 - STAFF HOURLY</v>
      </c>
      <c r="C37" s="14"/>
      <c r="D37" s="2">
        <v>231.35</v>
      </c>
      <c r="E37" s="2">
        <v>4742.3999999999996</v>
      </c>
      <c r="F37" s="2">
        <v>4742.3999999999996</v>
      </c>
      <c r="G37" s="2">
        <v>5928</v>
      </c>
      <c r="H37" s="2">
        <v>4742.3999999999996</v>
      </c>
      <c r="I37" s="2">
        <v>6688</v>
      </c>
      <c r="J37" s="2">
        <v>6342.96</v>
      </c>
      <c r="K37" s="2">
        <v>5074.3680000000004</v>
      </c>
      <c r="L37" s="2">
        <v>5074.3680000000004</v>
      </c>
      <c r="M37" s="2">
        <v>6342.96</v>
      </c>
      <c r="N37" s="2">
        <v>5074.3680000000004</v>
      </c>
      <c r="O37" s="2">
        <v>5074.3680000000004</v>
      </c>
      <c r="P37" s="9"/>
      <c r="Q37" s="2">
        <f>SUM(OSRRefD21_1_3x)+IFERROR(SUM(OSRRefE21_1_3x),0)</f>
        <v>60057.942000000003</v>
      </c>
    </row>
    <row r="38" spans="1:17" s="34" customFormat="1" hidden="1" outlineLevel="1" x14ac:dyDescent="0.3">
      <c r="A38" s="35"/>
      <c r="B38" s="10" t="str">
        <f>CONCATENATE("          ","6005", " - ","TEMPORARY WAGES-HOURLY")</f>
        <v xml:space="preserve">          6005 - TEMPORARY WAGES-HOURLY</v>
      </c>
      <c r="C38" s="14"/>
      <c r="D38" s="2">
        <v>1351.21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SUM(OSRRefD21_1_4x)+IFERROR(SUM(OSRRefE21_1_4x),0)</f>
        <v>1351.21</v>
      </c>
    </row>
    <row r="39" spans="1:17" s="34" customFormat="1" hidden="1" outlineLevel="1" x14ac:dyDescent="0.3">
      <c r="A39" s="35"/>
      <c r="B39" s="10" t="str">
        <f>CONCATENATE("          ","6006", " - ","TEMPORARY PART TIME")</f>
        <v xml:space="preserve">          6006 - TEMPORARY PART TIME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SUM(OSRRefD21_1_5x)+IFERROR(SUM(OSRRefE21_1_5x),0)</f>
        <v>0</v>
      </c>
    </row>
    <row r="40" spans="1:17" s="34" customFormat="1" hidden="1" outlineLevel="1" x14ac:dyDescent="0.3">
      <c r="A40" s="35"/>
      <c r="B40" s="10" t="str">
        <f>CONCATENATE("          ","6007", " - ","STUDENT HOURLY")</f>
        <v xml:space="preserve">          6007 - STUDENT HOURLY</v>
      </c>
      <c r="C40" s="14"/>
      <c r="D40" s="2">
        <v>3257.77</v>
      </c>
      <c r="E40" s="2">
        <v>2223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2378.61</v>
      </c>
      <c r="P40" s="9"/>
      <c r="Q40" s="2">
        <f>SUM(OSRRefD21_1_6x)+IFERROR(SUM(OSRRefE21_1_6x),0)</f>
        <v>7859.380000000001</v>
      </c>
    </row>
    <row r="41" spans="1:17" s="34" customFormat="1" hidden="1" outlineLevel="1" x14ac:dyDescent="0.3">
      <c r="A41" s="35"/>
      <c r="B41" s="10" t="str">
        <f>CONCATENATE("          ","6008", " - ","STUDENT HOURLY-FICA EXEMPT")</f>
        <v xml:space="preserve">          6008 - STUDENT HOURLY-FICA EXEMPT</v>
      </c>
      <c r="C41" s="14"/>
      <c r="D41" s="2">
        <v>293.75</v>
      </c>
      <c r="E41" s="2">
        <v>0</v>
      </c>
      <c r="F41" s="2">
        <v>2223</v>
      </c>
      <c r="G41" s="2">
        <v>2778.75</v>
      </c>
      <c r="H41" s="2">
        <v>2223</v>
      </c>
      <c r="I41" s="2">
        <v>3135</v>
      </c>
      <c r="J41" s="2">
        <v>2973.2624999999998</v>
      </c>
      <c r="K41" s="2">
        <v>2378.61</v>
      </c>
      <c r="L41" s="2">
        <v>2378.61</v>
      </c>
      <c r="M41" s="2">
        <v>2973.2624999999998</v>
      </c>
      <c r="N41" s="2">
        <v>2378.61</v>
      </c>
      <c r="O41" s="2">
        <v>0</v>
      </c>
      <c r="P41" s="9"/>
      <c r="Q41" s="2">
        <f>SUM(OSRRefD21_1_7x)+IFERROR(SUM(OSRRefE21_1_7x),0)</f>
        <v>23735.855000000003</v>
      </c>
    </row>
    <row r="42" spans="1:17" s="34" customFormat="1" hidden="1" outlineLevel="1" x14ac:dyDescent="0.3">
      <c r="A42" s="35"/>
      <c r="B42" s="10" t="str">
        <f>CONCATENATE("          ","6009", " - ","TEMPORARY-SEASONAL")</f>
        <v xml:space="preserve">          6009 - TEMPORARY-SEASONAL</v>
      </c>
      <c r="C42" s="14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9"/>
      <c r="Q42" s="2">
        <f>SUM(OSRRefD21_1_8x)+IFERROR(SUM(OSRRefE21_1_8x),0)</f>
        <v>0</v>
      </c>
    </row>
    <row r="43" spans="1:17" s="34" customFormat="1" hidden="1" outlineLevel="1" x14ac:dyDescent="0.3">
      <c r="A43" s="35"/>
      <c r="B43" s="10" t="str">
        <f>CONCATENATE("          ","6010", " - ","GRATUITY")</f>
        <v xml:space="preserve">          6010 - GRATUITY</v>
      </c>
      <c r="C43" s="14"/>
      <c r="D43" s="2"/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9"/>
      <c r="Q43" s="2">
        <f>SUM(OSRRefD21_1_9x)+IFERROR(SUM(OSRRefE21_1_9x),0)</f>
        <v>0</v>
      </c>
    </row>
    <row r="44" spans="1:17" s="34" customFormat="1" collapsed="1" x14ac:dyDescent="0.3">
      <c r="A44" s="35"/>
      <c r="B44" s="14" t="str">
        <f>CONCATENATE("     ","Advertising/Promo                                 ")</f>
        <v xml:space="preserve">     Advertising/Promo                                 </v>
      </c>
      <c r="C44" s="14"/>
      <c r="D44" s="1">
        <f>SUM(OSRRefD21_2x_0)</f>
        <v>195</v>
      </c>
      <c r="E44" s="1">
        <f>SUM(OSRRefE21_2x_0)</f>
        <v>50</v>
      </c>
      <c r="F44" s="1">
        <f>SUM(OSRRefE21_2x_1)</f>
        <v>50</v>
      </c>
      <c r="G44" s="1">
        <f>SUM(OSRRefE21_2x_2)</f>
        <v>50</v>
      </c>
      <c r="H44" s="1">
        <f>SUM(OSRRefE21_2x_3)</f>
        <v>50</v>
      </c>
      <c r="I44" s="1">
        <f>SUM(OSRRefE21_2x_4)</f>
        <v>50</v>
      </c>
      <c r="J44" s="1">
        <f>SUM(OSRRefE21_2x_5)</f>
        <v>50</v>
      </c>
      <c r="K44" s="1">
        <f>SUM(OSRRefE21_2x_6)</f>
        <v>50</v>
      </c>
      <c r="L44" s="1">
        <f>SUM(OSRRefE21_2x_7)</f>
        <v>50</v>
      </c>
      <c r="M44" s="1">
        <f>SUM(OSRRefE21_2x_8)</f>
        <v>50</v>
      </c>
      <c r="N44" s="1">
        <f>SUM(OSRRefE21_2x_9)</f>
        <v>50</v>
      </c>
      <c r="O44" s="1">
        <f>SUM(OSRRefE21_2x_10)</f>
        <v>50</v>
      </c>
      <c r="Q44" s="2">
        <f>SUM(OSRRefD20_2x)+IFERROR(SUM(OSRRefE20_2x),0)</f>
        <v>745</v>
      </c>
    </row>
    <row r="45" spans="1:17" s="34" customFormat="1" hidden="1" outlineLevel="1" x14ac:dyDescent="0.3">
      <c r="A45" s="35"/>
      <c r="B45" s="10" t="str">
        <f>CONCATENATE("          ","6362", " - ","ADVERTISING EXPENSE")</f>
        <v xml:space="preserve">          6362 - ADVERTISING EXPENSE</v>
      </c>
      <c r="C45" s="14"/>
      <c r="D45" s="2">
        <v>195</v>
      </c>
      <c r="E45" s="2">
        <v>50</v>
      </c>
      <c r="F45" s="2">
        <v>50</v>
      </c>
      <c r="G45" s="2">
        <v>50</v>
      </c>
      <c r="H45" s="2">
        <v>50</v>
      </c>
      <c r="I45" s="2">
        <v>50</v>
      </c>
      <c r="J45" s="2">
        <v>50</v>
      </c>
      <c r="K45" s="2">
        <v>50</v>
      </c>
      <c r="L45" s="2">
        <v>50</v>
      </c>
      <c r="M45" s="2">
        <v>50</v>
      </c>
      <c r="N45" s="2">
        <v>50</v>
      </c>
      <c r="O45" s="2">
        <v>50</v>
      </c>
      <c r="P45" s="9"/>
      <c r="Q45" s="2">
        <f>SUM(OSRRefD21_2_0x)+IFERROR(SUM(OSRRefE21_2_0x),0)</f>
        <v>745</v>
      </c>
    </row>
    <row r="46" spans="1:17" s="34" customFormat="1" collapsed="1" x14ac:dyDescent="0.3">
      <c r="A46" s="35"/>
      <c r="B46" s="14" t="str">
        <f>CONCATENATE("     ","Bad Debts/Over/Short                              ")</f>
        <v xml:space="preserve">     Bad Debts/Over/Short                              </v>
      </c>
      <c r="C46" s="14"/>
      <c r="D46" s="1">
        <f>SUM(OSRRefD21_3x_0)</f>
        <v>0.6</v>
      </c>
      <c r="E46" s="1">
        <f>SUM(OSRRefE21_3x_0)</f>
        <v>10</v>
      </c>
      <c r="F46" s="1">
        <f>SUM(OSRRefE21_3x_1)</f>
        <v>10</v>
      </c>
      <c r="G46" s="1">
        <f>SUM(OSRRefE21_3x_2)</f>
        <v>10</v>
      </c>
      <c r="H46" s="1">
        <f>SUM(OSRRefE21_3x_3)</f>
        <v>10</v>
      </c>
      <c r="I46" s="1">
        <f>SUM(OSRRefE21_3x_4)</f>
        <v>10</v>
      </c>
      <c r="J46" s="1">
        <f>SUM(OSRRefE21_3x_5)</f>
        <v>10</v>
      </c>
      <c r="K46" s="1">
        <f>SUM(OSRRefE21_3x_6)</f>
        <v>10</v>
      </c>
      <c r="L46" s="1">
        <f>SUM(OSRRefE21_3x_7)</f>
        <v>10</v>
      </c>
      <c r="M46" s="1">
        <f>SUM(OSRRefE21_3x_8)</f>
        <v>10</v>
      </c>
      <c r="N46" s="1">
        <f>SUM(OSRRefE21_3x_9)</f>
        <v>10</v>
      </c>
      <c r="O46" s="1">
        <f>SUM(OSRRefE21_3x_10)</f>
        <v>10</v>
      </c>
      <c r="Q46" s="2">
        <f>SUM(OSRRefD20_3x)+IFERROR(SUM(OSRRefE20_3x),0)</f>
        <v>110.6</v>
      </c>
    </row>
    <row r="47" spans="1:17" s="34" customFormat="1" hidden="1" outlineLevel="1" x14ac:dyDescent="0.3">
      <c r="A47" s="35"/>
      <c r="B47" s="10" t="str">
        <f>CONCATENATE("          ","6272", " - ","CASH (OVER/SHORT)")</f>
        <v xml:space="preserve">          6272 - CASH (OVER/SHORT)</v>
      </c>
      <c r="C47" s="14"/>
      <c r="D47" s="2">
        <v>0.6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N47" s="2">
        <v>10</v>
      </c>
      <c r="O47" s="2">
        <v>10</v>
      </c>
      <c r="P47" s="9"/>
      <c r="Q47" s="2">
        <f>SUM(OSRRefD21_3_0x)+IFERROR(SUM(OSRRefE21_3_0x),0)</f>
        <v>110.6</v>
      </c>
    </row>
    <row r="48" spans="1:17" s="34" customFormat="1" collapsed="1" x14ac:dyDescent="0.3">
      <c r="A48" s="35"/>
      <c r="B48" s="14" t="str">
        <f>CONCATENATE("     ","Bank/card Fees                                    ")</f>
        <v xml:space="preserve">     Bank/card Fees                                    </v>
      </c>
      <c r="C48" s="14"/>
      <c r="D48" s="1">
        <f>SUM(OSRRefD21_4x_0)</f>
        <v>492.32</v>
      </c>
      <c r="E48" s="1">
        <f>SUM(OSRRefE21_4x_0)</f>
        <v>507</v>
      </c>
      <c r="F48" s="1">
        <f>SUM(OSRRefE21_4x_1)</f>
        <v>444</v>
      </c>
      <c r="G48" s="1">
        <f>SUM(OSRRefE21_4x_2)</f>
        <v>417</v>
      </c>
      <c r="H48" s="1">
        <f>SUM(OSRRefE21_4x_3)</f>
        <v>391</v>
      </c>
      <c r="I48" s="1">
        <f>SUM(OSRRefE21_4x_4)</f>
        <v>864</v>
      </c>
      <c r="J48" s="1">
        <f>SUM(OSRRefE21_4x_5)</f>
        <v>417</v>
      </c>
      <c r="K48" s="1">
        <f>SUM(OSRRefE21_4x_6)</f>
        <v>457</v>
      </c>
      <c r="L48" s="1">
        <f>SUM(OSRRefE21_4x_7)</f>
        <v>534</v>
      </c>
      <c r="M48" s="1">
        <f>SUM(OSRRefE21_4x_8)</f>
        <v>1188</v>
      </c>
      <c r="N48" s="1">
        <f>SUM(OSRRefE21_4x_9)</f>
        <v>1229</v>
      </c>
      <c r="O48" s="1">
        <f>SUM(OSRRefE21_4x_10)</f>
        <v>1118</v>
      </c>
      <c r="Q48" s="2">
        <f>SUM(OSRRefD20_4x)+IFERROR(SUM(OSRRefE20_4x),0)</f>
        <v>8058.32</v>
      </c>
    </row>
    <row r="49" spans="1:17" s="34" customFormat="1" hidden="1" outlineLevel="1" x14ac:dyDescent="0.3">
      <c r="A49" s="35"/>
      <c r="B49" s="10" t="str">
        <f>CONCATENATE("          ","6381", " - ","BANK/CREDIT CARD FEES")</f>
        <v xml:space="preserve">          6381 - BANK/CREDIT CARD FEES</v>
      </c>
      <c r="C49" s="14"/>
      <c r="D49" s="2">
        <v>492.32</v>
      </c>
      <c r="E49" s="2">
        <v>507</v>
      </c>
      <c r="F49" s="2">
        <v>444</v>
      </c>
      <c r="G49" s="2">
        <v>417</v>
      </c>
      <c r="H49" s="2">
        <v>391</v>
      </c>
      <c r="I49" s="2">
        <v>864</v>
      </c>
      <c r="J49" s="2">
        <v>417</v>
      </c>
      <c r="K49" s="2">
        <v>457</v>
      </c>
      <c r="L49" s="2">
        <v>534</v>
      </c>
      <c r="M49" s="2">
        <v>1188</v>
      </c>
      <c r="N49" s="2">
        <v>1229</v>
      </c>
      <c r="O49" s="2">
        <v>1118</v>
      </c>
      <c r="P49" s="9"/>
      <c r="Q49" s="2">
        <f>SUM(OSRRefD21_4_0x)+IFERROR(SUM(OSRRefE21_4_0x),0)</f>
        <v>8058.32</v>
      </c>
    </row>
    <row r="50" spans="1:17" s="34" customFormat="1" collapsed="1" x14ac:dyDescent="0.3">
      <c r="A50" s="35"/>
      <c r="B50" s="14" t="str">
        <f>CONCATENATE("     ","Employees' Appreciation                           ")</f>
        <v xml:space="preserve">     Employees' Appreciation                           </v>
      </c>
      <c r="C50" s="14"/>
      <c r="D50" s="1">
        <f>SUM(OSRRefD21_5x_0)</f>
        <v>0</v>
      </c>
      <c r="E50" s="1">
        <f>SUM(OSRRefE21_5x_0)</f>
        <v>25</v>
      </c>
      <c r="F50" s="1">
        <f>SUM(OSRRefE21_5x_1)</f>
        <v>25</v>
      </c>
      <c r="G50" s="1">
        <f>SUM(OSRRefE21_5x_2)</f>
        <v>25</v>
      </c>
      <c r="H50" s="1">
        <f>SUM(OSRRefE21_5x_3)</f>
        <v>25</v>
      </c>
      <c r="I50" s="1">
        <f>SUM(OSRRefE21_5x_4)</f>
        <v>25</v>
      </c>
      <c r="J50" s="1">
        <f>SUM(OSRRefE21_5x_5)</f>
        <v>25</v>
      </c>
      <c r="K50" s="1">
        <f>SUM(OSRRefE21_5x_6)</f>
        <v>25</v>
      </c>
      <c r="L50" s="1">
        <f>SUM(OSRRefE21_5x_7)</f>
        <v>25</v>
      </c>
      <c r="M50" s="1">
        <f>SUM(OSRRefE21_5x_8)</f>
        <v>25</v>
      </c>
      <c r="N50" s="1">
        <f>SUM(OSRRefE21_5x_9)</f>
        <v>25</v>
      </c>
      <c r="O50" s="1">
        <f>SUM(OSRRefE21_5x_10)</f>
        <v>25</v>
      </c>
      <c r="Q50" s="2">
        <f>SUM(OSRRefD20_5x)+IFERROR(SUM(OSRRefE20_5x),0)</f>
        <v>275</v>
      </c>
    </row>
    <row r="51" spans="1:17" s="34" customFormat="1" hidden="1" outlineLevel="1" x14ac:dyDescent="0.3">
      <c r="A51" s="35"/>
      <c r="B51" s="10" t="str">
        <f>CONCATENATE("          ","6277", " - ","EMPLOYEE APPRECIATION")</f>
        <v xml:space="preserve">          6277 - EMPLOYEE APPRECIATION</v>
      </c>
      <c r="C51" s="14"/>
      <c r="D51" s="2"/>
      <c r="E51" s="2">
        <v>25</v>
      </c>
      <c r="F51" s="2">
        <v>25</v>
      </c>
      <c r="G51" s="2">
        <v>25</v>
      </c>
      <c r="H51" s="2">
        <v>25</v>
      </c>
      <c r="I51" s="2">
        <v>25</v>
      </c>
      <c r="J51" s="2">
        <v>25</v>
      </c>
      <c r="K51" s="2">
        <v>25</v>
      </c>
      <c r="L51" s="2">
        <v>25</v>
      </c>
      <c r="M51" s="2">
        <v>25</v>
      </c>
      <c r="N51" s="2">
        <v>25</v>
      </c>
      <c r="O51" s="2">
        <v>25</v>
      </c>
      <c r="P51" s="9"/>
      <c r="Q51" s="2">
        <f>SUM(OSRRefD21_5_0x)+IFERROR(SUM(OSRRefE21_5_0x),0)</f>
        <v>275</v>
      </c>
    </row>
    <row r="52" spans="1:17" s="34" customFormat="1" collapsed="1" x14ac:dyDescent="0.3">
      <c r="A52" s="35"/>
      <c r="B52" s="14" t="str">
        <f>CONCATENATE("     ","General                                           ")</f>
        <v xml:space="preserve">     General                                           </v>
      </c>
      <c r="C52" s="14"/>
      <c r="D52" s="1">
        <f>SUM(OSRRefD21_6x_0)</f>
        <v>0</v>
      </c>
      <c r="E52" s="1">
        <f>SUM(OSRRefE21_6x_0)</f>
        <v>0</v>
      </c>
      <c r="F52" s="1">
        <f>SUM(OSRRefE21_6x_1)</f>
        <v>0</v>
      </c>
      <c r="G52" s="1">
        <f>SUM(OSRRefE21_6x_2)</f>
        <v>0</v>
      </c>
      <c r="H52" s="1">
        <f>SUM(OSRRefE21_6x_3)</f>
        <v>0</v>
      </c>
      <c r="I52" s="1">
        <f>SUM(OSRRefE21_6x_4)</f>
        <v>1125</v>
      </c>
      <c r="J52" s="1">
        <f>SUM(OSRRefE21_6x_5)</f>
        <v>0</v>
      </c>
      <c r="K52" s="1">
        <f>SUM(OSRRefE21_6x_6)</f>
        <v>0</v>
      </c>
      <c r="L52" s="1">
        <f>SUM(OSRRefE21_6x_7)</f>
        <v>0</v>
      </c>
      <c r="M52" s="1">
        <f>SUM(OSRRefE21_6x_8)</f>
        <v>0</v>
      </c>
      <c r="N52" s="1">
        <f>SUM(OSRRefE21_6x_9)</f>
        <v>0</v>
      </c>
      <c r="O52" s="1">
        <f>SUM(OSRRefE21_6x_10)</f>
        <v>0</v>
      </c>
      <c r="Q52" s="2">
        <f>SUM(OSRRefD20_6x)+IFERROR(SUM(OSRRefE20_6x),0)</f>
        <v>1125</v>
      </c>
    </row>
    <row r="53" spans="1:17" s="34" customFormat="1" hidden="1" outlineLevel="1" x14ac:dyDescent="0.3">
      <c r="A53" s="35"/>
      <c r="B53" s="10" t="str">
        <f>CONCATENATE("          ","6276", " - ","PROPERTY TAX")</f>
        <v xml:space="preserve">          6276 - PROPERTY TAX</v>
      </c>
      <c r="C53" s="14"/>
      <c r="D53" s="2"/>
      <c r="E53" s="2"/>
      <c r="F53" s="2"/>
      <c r="G53" s="2"/>
      <c r="H53" s="2"/>
      <c r="I53" s="2">
        <v>1125</v>
      </c>
      <c r="J53" s="2"/>
      <c r="K53" s="2"/>
      <c r="L53" s="2"/>
      <c r="M53" s="2"/>
      <c r="N53" s="2"/>
      <c r="O53" s="2"/>
      <c r="P53" s="9"/>
      <c r="Q53" s="2">
        <f>SUM(OSRRefD21_6_0x)+IFERROR(SUM(OSRRefE21_6_0x),0)</f>
        <v>1125</v>
      </c>
    </row>
    <row r="54" spans="1:17" s="34" customFormat="1" collapsed="1" x14ac:dyDescent="0.3">
      <c r="A54" s="35"/>
      <c r="B54" s="14" t="str">
        <f>CONCATENATE("     ","Insurance                                         ")</f>
        <v xml:space="preserve">     Insurance                                         </v>
      </c>
      <c r="C54" s="14"/>
      <c r="D54" s="1">
        <f>SUM(OSRRefD21_7x_0)</f>
        <v>219.08</v>
      </c>
      <c r="E54" s="1">
        <f>SUM(OSRRefE21_7x_0)</f>
        <v>175</v>
      </c>
      <c r="F54" s="1">
        <f>SUM(OSRRefE21_7x_1)</f>
        <v>175</v>
      </c>
      <c r="G54" s="1">
        <f>SUM(OSRRefE21_7x_2)</f>
        <v>175</v>
      </c>
      <c r="H54" s="1">
        <f>SUM(OSRRefE21_7x_3)</f>
        <v>175</v>
      </c>
      <c r="I54" s="1">
        <f>SUM(OSRRefE21_7x_4)</f>
        <v>175</v>
      </c>
      <c r="J54" s="1">
        <f>SUM(OSRRefE21_7x_5)</f>
        <v>175</v>
      </c>
      <c r="K54" s="1">
        <f>SUM(OSRRefE21_7x_6)</f>
        <v>175</v>
      </c>
      <c r="L54" s="1">
        <f>SUM(OSRRefE21_7x_7)</f>
        <v>175</v>
      </c>
      <c r="M54" s="1">
        <f>SUM(OSRRefE21_7x_8)</f>
        <v>175</v>
      </c>
      <c r="N54" s="1">
        <f>SUM(OSRRefE21_7x_9)</f>
        <v>175</v>
      </c>
      <c r="O54" s="1">
        <f>SUM(OSRRefE21_7x_10)</f>
        <v>175</v>
      </c>
      <c r="Q54" s="2">
        <f>SUM(OSRRefD20_7x)+IFERROR(SUM(OSRRefE20_7x),0)</f>
        <v>2144.08</v>
      </c>
    </row>
    <row r="55" spans="1:17" s="34" customFormat="1" hidden="1" outlineLevel="1" x14ac:dyDescent="0.3">
      <c r="A55" s="35"/>
      <c r="B55" s="10" t="str">
        <f>CONCATENATE("          ","6314", " - ","LIABILITY INSURANCE")</f>
        <v xml:space="preserve">          6314 - LIABILITY INSURANCE</v>
      </c>
      <c r="C55" s="14"/>
      <c r="D55" s="2">
        <v>219.08</v>
      </c>
      <c r="E55" s="2">
        <v>175</v>
      </c>
      <c r="F55" s="2">
        <v>175</v>
      </c>
      <c r="G55" s="2">
        <v>175</v>
      </c>
      <c r="H55" s="2">
        <v>175</v>
      </c>
      <c r="I55" s="2">
        <v>175</v>
      </c>
      <c r="J55" s="2">
        <v>175</v>
      </c>
      <c r="K55" s="2">
        <v>175</v>
      </c>
      <c r="L55" s="2">
        <v>175</v>
      </c>
      <c r="M55" s="2">
        <v>175</v>
      </c>
      <c r="N55" s="2">
        <v>175</v>
      </c>
      <c r="O55" s="2">
        <v>175</v>
      </c>
      <c r="P55" s="9"/>
      <c r="Q55" s="2">
        <f>SUM(OSRRefD21_7_0x)+IFERROR(SUM(OSRRefE21_7_0x),0)</f>
        <v>2144.08</v>
      </c>
    </row>
    <row r="56" spans="1:17" s="34" customFormat="1" collapsed="1" x14ac:dyDescent="0.3">
      <c r="A56" s="35"/>
      <c r="B56" s="14" t="str">
        <f>CONCATENATE("     ","Inventory Adjustment                              ")</f>
        <v xml:space="preserve">     Inventory Adjustment                              </v>
      </c>
      <c r="C56" s="14"/>
      <c r="D56" s="1">
        <f>SUM(OSRRefD21_8x_0)</f>
        <v>100</v>
      </c>
      <c r="E56" s="1">
        <f>SUM(OSRRefE21_8x_0)</f>
        <v>100</v>
      </c>
      <c r="F56" s="1">
        <f>SUM(OSRRefE21_8x_1)</f>
        <v>100</v>
      </c>
      <c r="G56" s="1">
        <f>SUM(OSRRefE21_8x_2)</f>
        <v>100</v>
      </c>
      <c r="H56" s="1">
        <f>SUM(OSRRefE21_8x_3)</f>
        <v>100</v>
      </c>
      <c r="I56" s="1">
        <f>SUM(OSRRefE21_8x_4)</f>
        <v>100</v>
      </c>
      <c r="J56" s="1">
        <f>SUM(OSRRefE21_8x_5)</f>
        <v>100</v>
      </c>
      <c r="K56" s="1">
        <f>SUM(OSRRefE21_8x_6)</f>
        <v>100</v>
      </c>
      <c r="L56" s="1">
        <f>SUM(OSRRefE21_8x_7)</f>
        <v>100</v>
      </c>
      <c r="M56" s="1">
        <f>SUM(OSRRefE21_8x_8)</f>
        <v>100</v>
      </c>
      <c r="N56" s="1">
        <f>SUM(OSRRefE21_8x_9)</f>
        <v>100</v>
      </c>
      <c r="O56" s="1">
        <f>SUM(OSRRefE21_8x_10)</f>
        <v>100</v>
      </c>
      <c r="Q56" s="2">
        <f>SUM(OSRRefD20_8x)+IFERROR(SUM(OSRRefE20_8x),0)</f>
        <v>1200</v>
      </c>
    </row>
    <row r="57" spans="1:17" s="34" customFormat="1" hidden="1" outlineLevel="1" x14ac:dyDescent="0.3">
      <c r="A57" s="35"/>
      <c r="B57" s="10" t="str">
        <f>CONCATENATE("          ","6408", " - ","INVENTORY ADJUSTMENT")</f>
        <v xml:space="preserve">          6408 - INVENTORY ADJUSTMENT</v>
      </c>
      <c r="C57" s="14"/>
      <c r="D57" s="2">
        <v>100</v>
      </c>
      <c r="E57" s="2">
        <v>100</v>
      </c>
      <c r="F57" s="2">
        <v>100</v>
      </c>
      <c r="G57" s="2">
        <v>100</v>
      </c>
      <c r="H57" s="2">
        <v>100</v>
      </c>
      <c r="I57" s="2">
        <v>100</v>
      </c>
      <c r="J57" s="2">
        <v>100</v>
      </c>
      <c r="K57" s="2">
        <v>100</v>
      </c>
      <c r="L57" s="2">
        <v>100</v>
      </c>
      <c r="M57" s="2">
        <v>100</v>
      </c>
      <c r="N57" s="2">
        <v>100</v>
      </c>
      <c r="O57" s="2">
        <v>100</v>
      </c>
      <c r="P57" s="9"/>
      <c r="Q57" s="2">
        <f>SUM(OSRRefD21_8_0x)+IFERROR(SUM(OSRRefE21_8_0x),0)</f>
        <v>1200</v>
      </c>
    </row>
    <row r="58" spans="1:17" s="34" customFormat="1" collapsed="1" x14ac:dyDescent="0.3">
      <c r="A58" s="35"/>
      <c r="B58" s="14" t="str">
        <f>CONCATENATE("     ","Rent                                              ")</f>
        <v xml:space="preserve">     Rent                                              </v>
      </c>
      <c r="C58" s="14"/>
      <c r="D58" s="1">
        <f>SUM(OSRRefD21_9x_0)</f>
        <v>6900</v>
      </c>
      <c r="E58" s="1">
        <f>SUM(OSRRefE21_9x_0)</f>
        <v>6900</v>
      </c>
      <c r="F58" s="1">
        <f>SUM(OSRRefE21_9x_1)</f>
        <v>6900</v>
      </c>
      <c r="G58" s="1">
        <f>SUM(OSRRefE21_9x_2)</f>
        <v>6900</v>
      </c>
      <c r="H58" s="1">
        <f>SUM(OSRRefE21_9x_3)</f>
        <v>6900</v>
      </c>
      <c r="I58" s="1">
        <f>SUM(OSRRefE21_9x_4)</f>
        <v>6900</v>
      </c>
      <c r="J58" s="1">
        <f>SUM(OSRRefE21_9x_5)</f>
        <v>6900</v>
      </c>
      <c r="K58" s="1">
        <f>SUM(OSRRefE21_9x_6)</f>
        <v>6900</v>
      </c>
      <c r="L58" s="1">
        <f>SUM(OSRRefE21_9x_7)</f>
        <v>6900</v>
      </c>
      <c r="M58" s="1">
        <f>SUM(OSRRefE21_9x_8)</f>
        <v>6900</v>
      </c>
      <c r="N58" s="1">
        <f>SUM(OSRRefE21_9x_9)</f>
        <v>6900</v>
      </c>
      <c r="O58" s="1">
        <f>SUM(OSRRefE21_9x_10)</f>
        <v>6900</v>
      </c>
      <c r="Q58" s="2">
        <f>SUM(OSRRefD20_9x)+IFERROR(SUM(OSRRefE20_9x),0)</f>
        <v>82800</v>
      </c>
    </row>
    <row r="59" spans="1:17" s="34" customFormat="1" hidden="1" outlineLevel="1" x14ac:dyDescent="0.3">
      <c r="A59" s="35"/>
      <c r="B59" s="10" t="str">
        <f>CONCATENATE("          ","6273", " - ","RENT")</f>
        <v xml:space="preserve">          6273 - RENT</v>
      </c>
      <c r="C59" s="14"/>
      <c r="D59" s="2">
        <v>6900</v>
      </c>
      <c r="E59" s="2">
        <v>6900</v>
      </c>
      <c r="F59" s="2">
        <v>6900</v>
      </c>
      <c r="G59" s="2">
        <v>6900</v>
      </c>
      <c r="H59" s="2">
        <v>6900</v>
      </c>
      <c r="I59" s="2">
        <v>6900</v>
      </c>
      <c r="J59" s="2">
        <v>6900</v>
      </c>
      <c r="K59" s="2">
        <v>6900</v>
      </c>
      <c r="L59" s="2">
        <v>6900</v>
      </c>
      <c r="M59" s="2">
        <v>6900</v>
      </c>
      <c r="N59" s="2">
        <v>6900</v>
      </c>
      <c r="O59" s="2">
        <v>6900</v>
      </c>
      <c r="P59" s="9"/>
      <c r="Q59" s="2">
        <f>SUM(OSRRefD21_9_0x)+IFERROR(SUM(OSRRefE21_9_0x),0)</f>
        <v>82800</v>
      </c>
    </row>
    <row r="60" spans="1:17" s="34" customFormat="1" collapsed="1" x14ac:dyDescent="0.3">
      <c r="A60" s="35"/>
      <c r="B60" s="14" t="str">
        <f>CONCATENATE("     ","Repair and Maintenance                            ")</f>
        <v xml:space="preserve">     Repair and Maintenance                            </v>
      </c>
      <c r="C60" s="14"/>
      <c r="D60" s="1">
        <f>SUM(OSRRefD21_10x_0)</f>
        <v>0</v>
      </c>
      <c r="E60" s="1">
        <f>SUM(OSRRefE21_10x_0)</f>
        <v>115</v>
      </c>
      <c r="F60" s="1">
        <f>SUM(OSRRefE21_10x_1)</f>
        <v>115</v>
      </c>
      <c r="G60" s="1">
        <f>SUM(OSRRefE21_10x_2)</f>
        <v>115</v>
      </c>
      <c r="H60" s="1">
        <f>SUM(OSRRefE21_10x_3)</f>
        <v>115</v>
      </c>
      <c r="I60" s="1">
        <f>SUM(OSRRefE21_10x_4)</f>
        <v>115</v>
      </c>
      <c r="J60" s="1">
        <f>SUM(OSRRefE21_10x_5)</f>
        <v>615</v>
      </c>
      <c r="K60" s="1">
        <f>SUM(OSRRefE21_10x_6)</f>
        <v>115</v>
      </c>
      <c r="L60" s="1">
        <f>SUM(OSRRefE21_10x_7)</f>
        <v>115</v>
      </c>
      <c r="M60" s="1">
        <f>SUM(OSRRefE21_10x_8)</f>
        <v>115</v>
      </c>
      <c r="N60" s="1">
        <f>SUM(OSRRefE21_10x_9)</f>
        <v>115</v>
      </c>
      <c r="O60" s="1">
        <f>SUM(OSRRefE21_10x_10)</f>
        <v>115</v>
      </c>
      <c r="Q60" s="2">
        <f>SUM(OSRRefD20_10x)+IFERROR(SUM(OSRRefE20_10x),0)</f>
        <v>1765</v>
      </c>
    </row>
    <row r="61" spans="1:17" s="34" customFormat="1" hidden="1" outlineLevel="1" x14ac:dyDescent="0.3">
      <c r="A61" s="35"/>
      <c r="B61" s="10" t="str">
        <f>CONCATENATE("          ","6373", " - ","MAINTENANCE CONTRACTS")</f>
        <v xml:space="preserve">          6373 - MAINTENANCE CONTRACTS</v>
      </c>
      <c r="C61" s="14"/>
      <c r="D61" s="2"/>
      <c r="E61" s="2">
        <v>115</v>
      </c>
      <c r="F61" s="2">
        <v>115</v>
      </c>
      <c r="G61" s="2">
        <v>115</v>
      </c>
      <c r="H61" s="2">
        <v>115</v>
      </c>
      <c r="I61" s="2">
        <v>115</v>
      </c>
      <c r="J61" s="2">
        <v>115</v>
      </c>
      <c r="K61" s="2">
        <v>115</v>
      </c>
      <c r="L61" s="2">
        <v>115</v>
      </c>
      <c r="M61" s="2">
        <v>115</v>
      </c>
      <c r="N61" s="2">
        <v>115</v>
      </c>
      <c r="O61" s="2">
        <v>115</v>
      </c>
      <c r="P61" s="9"/>
      <c r="Q61" s="2">
        <f>SUM(OSRRefD21_10_0x)+IFERROR(SUM(OSRRefE21_10_0x),0)</f>
        <v>1265</v>
      </c>
    </row>
    <row r="62" spans="1:17" s="34" customFormat="1" hidden="1" outlineLevel="1" x14ac:dyDescent="0.3">
      <c r="A62" s="35"/>
      <c r="B62" s="10" t="str">
        <f>CONCATENATE("          ","6375", " - ","OUTSIDE REPAIRS &amp; MAINTENANCE")</f>
        <v xml:space="preserve">          6375 - OUTSIDE REPAIRS &amp; MAINTENANCE</v>
      </c>
      <c r="C62" s="14"/>
      <c r="D62" s="2"/>
      <c r="E62" s="2"/>
      <c r="F62" s="2"/>
      <c r="G62" s="2">
        <v>0</v>
      </c>
      <c r="H62" s="2"/>
      <c r="I62" s="2"/>
      <c r="J62" s="2">
        <v>500</v>
      </c>
      <c r="K62" s="2"/>
      <c r="L62" s="2"/>
      <c r="M62" s="2"/>
      <c r="N62" s="2"/>
      <c r="O62" s="2"/>
      <c r="P62" s="9"/>
      <c r="Q62" s="2">
        <f>SUM(OSRRefD21_10_1x)+IFERROR(SUM(OSRRefE21_10_1x),0)</f>
        <v>500</v>
      </c>
    </row>
    <row r="63" spans="1:17" s="34" customFormat="1" collapsed="1" x14ac:dyDescent="0.3">
      <c r="A63" s="35"/>
      <c r="B63" s="14" t="str">
        <f>CONCATENATE("     ","Services                                          ")</f>
        <v xml:space="preserve">     Services                                          </v>
      </c>
      <c r="C63" s="14"/>
      <c r="D63" s="1">
        <f>SUM(OSRRefD21_11x_0)</f>
        <v>155.59</v>
      </c>
      <c r="E63" s="1">
        <f>SUM(OSRRefE21_11x_0)</f>
        <v>60</v>
      </c>
      <c r="F63" s="1">
        <f>SUM(OSRRefE21_11x_1)</f>
        <v>120</v>
      </c>
      <c r="G63" s="1">
        <f>SUM(OSRRefE21_11x_2)</f>
        <v>60</v>
      </c>
      <c r="H63" s="1">
        <f>SUM(OSRRefE21_11x_3)</f>
        <v>60</v>
      </c>
      <c r="I63" s="1">
        <f>SUM(OSRRefE21_11x_4)</f>
        <v>120</v>
      </c>
      <c r="J63" s="1">
        <f>SUM(OSRRefE21_11x_5)</f>
        <v>60</v>
      </c>
      <c r="K63" s="1">
        <f>SUM(OSRRefE21_11x_6)</f>
        <v>60</v>
      </c>
      <c r="L63" s="1">
        <f>SUM(OSRRefE21_11x_7)</f>
        <v>120</v>
      </c>
      <c r="M63" s="1">
        <f>SUM(OSRRefE21_11x_8)</f>
        <v>60</v>
      </c>
      <c r="N63" s="1">
        <f>SUM(OSRRefE21_11x_9)</f>
        <v>60</v>
      </c>
      <c r="O63" s="1">
        <f>SUM(OSRRefE21_11x_10)</f>
        <v>120</v>
      </c>
      <c r="Q63" s="2">
        <f>SUM(OSRRefD20_11x)+IFERROR(SUM(OSRRefE20_11x),0)</f>
        <v>1055.5899999999999</v>
      </c>
    </row>
    <row r="64" spans="1:17" s="34" customFormat="1" hidden="1" outlineLevel="1" x14ac:dyDescent="0.3">
      <c r="A64" s="35"/>
      <c r="B64" s="10" t="str">
        <f>CONCATENATE("          ","6284", " - ","TRASH REMOVAL EXPENSE")</f>
        <v xml:space="preserve">          6284 - TRASH REMOVAL EXPENSE</v>
      </c>
      <c r="C64" s="14"/>
      <c r="D64" s="2">
        <v>142.57</v>
      </c>
      <c r="E64" s="2">
        <v>60</v>
      </c>
      <c r="F64" s="2">
        <v>120</v>
      </c>
      <c r="G64" s="2">
        <v>60</v>
      </c>
      <c r="H64" s="2">
        <v>60</v>
      </c>
      <c r="I64" s="2">
        <v>120</v>
      </c>
      <c r="J64" s="2">
        <v>60</v>
      </c>
      <c r="K64" s="2">
        <v>60</v>
      </c>
      <c r="L64" s="2">
        <v>120</v>
      </c>
      <c r="M64" s="2">
        <v>60</v>
      </c>
      <c r="N64" s="2">
        <v>60</v>
      </c>
      <c r="O64" s="2">
        <v>120</v>
      </c>
      <c r="P64" s="9"/>
      <c r="Q64" s="2">
        <f>SUM(OSRRefD21_11_0x)+IFERROR(SUM(OSRRefE21_11_0x),0)</f>
        <v>1042.57</v>
      </c>
    </row>
    <row r="65" spans="1:17" s="34" customFormat="1" hidden="1" outlineLevel="1" x14ac:dyDescent="0.3">
      <c r="A65" s="35"/>
      <c r="B65" s="10" t="str">
        <f>CONCATENATE("          ","6285", " - ","JANITORIAL SERVICES")</f>
        <v xml:space="preserve">          6285 - JANITORIAL SERVICES</v>
      </c>
      <c r="C65" s="14"/>
      <c r="D65" s="2">
        <v>13.02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2">
        <f>SUM(OSRRefD21_11_1x)+IFERROR(SUM(OSRRefE21_11_1x),0)</f>
        <v>13.02</v>
      </c>
    </row>
    <row r="66" spans="1:17" s="34" customFormat="1" collapsed="1" x14ac:dyDescent="0.3">
      <c r="A66" s="35"/>
      <c r="B66" s="14" t="str">
        <f>CONCATENATE("     ","Subscriptions &amp; Dues                              ")</f>
        <v xml:space="preserve">     Subscriptions &amp; Dues                              </v>
      </c>
      <c r="C66" s="14"/>
      <c r="D66" s="1">
        <f>SUM(OSRRefD21_12x_0)</f>
        <v>0</v>
      </c>
      <c r="E66" s="1">
        <f>SUM(OSRRefE21_12x_0)</f>
        <v>61</v>
      </c>
      <c r="F66" s="1">
        <f>SUM(OSRRefE21_12x_1)</f>
        <v>81</v>
      </c>
      <c r="G66" s="1">
        <f>SUM(OSRRefE21_12x_2)</f>
        <v>61</v>
      </c>
      <c r="H66" s="1">
        <f>SUM(OSRRefE21_12x_3)</f>
        <v>81</v>
      </c>
      <c r="I66" s="1">
        <f>SUM(OSRRefE21_12x_4)</f>
        <v>61</v>
      </c>
      <c r="J66" s="1">
        <f>SUM(OSRRefE21_12x_5)</f>
        <v>81</v>
      </c>
      <c r="K66" s="1">
        <f>SUM(OSRRefE21_12x_6)</f>
        <v>61</v>
      </c>
      <c r="L66" s="1">
        <f>SUM(OSRRefE21_12x_7)</f>
        <v>81</v>
      </c>
      <c r="M66" s="1">
        <f>SUM(OSRRefE21_12x_8)</f>
        <v>61</v>
      </c>
      <c r="N66" s="1">
        <f>SUM(OSRRefE21_12x_9)</f>
        <v>81</v>
      </c>
      <c r="O66" s="1">
        <f>SUM(OSRRefE21_12x_10)</f>
        <v>261</v>
      </c>
      <c r="Q66" s="2">
        <f>SUM(OSRRefD20_12x)+IFERROR(SUM(OSRRefE20_12x),0)</f>
        <v>971</v>
      </c>
    </row>
    <row r="67" spans="1:17" s="34" customFormat="1" hidden="1" outlineLevel="1" x14ac:dyDescent="0.3">
      <c r="A67" s="35"/>
      <c r="B67" s="10" t="str">
        <f>CONCATENATE("          ","6258", " - ","MEMBERSHIP DUES")</f>
        <v xml:space="preserve">          6258 - MEMBERSHIP DUES</v>
      </c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200</v>
      </c>
      <c r="P67" s="9"/>
      <c r="Q67" s="2">
        <f>SUM(OSRRefD21_12_0x)+IFERROR(SUM(OSRRefE21_12_0x),0)</f>
        <v>200</v>
      </c>
    </row>
    <row r="68" spans="1:17" s="34" customFormat="1" hidden="1" outlineLevel="1" x14ac:dyDescent="0.3">
      <c r="A68" s="35"/>
      <c r="B68" s="10" t="str">
        <f>CONCATENATE("          ","6275", " - ","SUBSCRIPTIONS")</f>
        <v xml:space="preserve">          6275 - SUBSCRIPTIONS</v>
      </c>
      <c r="C68" s="14"/>
      <c r="D68" s="2"/>
      <c r="E68" s="2">
        <v>61</v>
      </c>
      <c r="F68" s="2">
        <v>81</v>
      </c>
      <c r="G68" s="2">
        <v>61</v>
      </c>
      <c r="H68" s="2">
        <v>81</v>
      </c>
      <c r="I68" s="2">
        <v>61</v>
      </c>
      <c r="J68" s="2">
        <v>81</v>
      </c>
      <c r="K68" s="2">
        <v>61</v>
      </c>
      <c r="L68" s="2">
        <v>81</v>
      </c>
      <c r="M68" s="2">
        <v>61</v>
      </c>
      <c r="N68" s="2">
        <v>81</v>
      </c>
      <c r="O68" s="2">
        <v>61</v>
      </c>
      <c r="P68" s="9"/>
      <c r="Q68" s="2">
        <f>SUM(OSRRefD21_12_1x)+IFERROR(SUM(OSRRefE21_12_1x),0)</f>
        <v>771</v>
      </c>
    </row>
    <row r="69" spans="1:17" s="34" customFormat="1" collapsed="1" x14ac:dyDescent="0.3">
      <c r="A69" s="35"/>
      <c r="B69" s="14" t="str">
        <f>CONCATENATE("     ","Supplies                                          ")</f>
        <v xml:space="preserve">     Supplies                                          </v>
      </c>
      <c r="C69" s="14"/>
      <c r="D69" s="1">
        <f>SUM(OSRRefD21_13x_0)</f>
        <v>421.90999999999997</v>
      </c>
      <c r="E69" s="1">
        <f>SUM(OSRRefE21_13x_0)</f>
        <v>30</v>
      </c>
      <c r="F69" s="1">
        <f>SUM(OSRRefE21_13x_1)</f>
        <v>30</v>
      </c>
      <c r="G69" s="1">
        <f>SUM(OSRRefE21_13x_2)</f>
        <v>30</v>
      </c>
      <c r="H69" s="1">
        <f>SUM(OSRRefE21_13x_3)</f>
        <v>30</v>
      </c>
      <c r="I69" s="1">
        <f>SUM(OSRRefE21_13x_4)</f>
        <v>70</v>
      </c>
      <c r="J69" s="1">
        <f>SUM(OSRRefE21_13x_5)</f>
        <v>30</v>
      </c>
      <c r="K69" s="1">
        <f>SUM(OSRRefE21_13x_6)</f>
        <v>30</v>
      </c>
      <c r="L69" s="1">
        <f>SUM(OSRRefE21_13x_7)</f>
        <v>30</v>
      </c>
      <c r="M69" s="1">
        <f>SUM(OSRRefE21_13x_8)</f>
        <v>30</v>
      </c>
      <c r="N69" s="1">
        <f>SUM(OSRRefE21_13x_9)</f>
        <v>70</v>
      </c>
      <c r="O69" s="1">
        <f>SUM(OSRRefE21_13x_10)</f>
        <v>30</v>
      </c>
      <c r="Q69" s="2">
        <f>SUM(OSRRefD20_13x)+IFERROR(SUM(OSRRefE20_13x),0)</f>
        <v>831.91</v>
      </c>
    </row>
    <row r="70" spans="1:17" s="34" customFormat="1" hidden="1" outlineLevel="1" x14ac:dyDescent="0.3">
      <c r="A70" s="35"/>
      <c r="B70" s="10" t="str">
        <f>CONCATENATE("          ","6237", " - ","JANITORIAL SUPPLIES")</f>
        <v xml:space="preserve">          6237 - JANITORIAL SUPPLIES</v>
      </c>
      <c r="C70" s="14"/>
      <c r="D70" s="2"/>
      <c r="E70" s="2">
        <v>10</v>
      </c>
      <c r="F70" s="2">
        <v>10</v>
      </c>
      <c r="G70" s="2">
        <v>10</v>
      </c>
      <c r="H70" s="2">
        <v>10</v>
      </c>
      <c r="I70" s="2">
        <v>50</v>
      </c>
      <c r="J70" s="2">
        <v>10</v>
      </c>
      <c r="K70" s="2">
        <v>10</v>
      </c>
      <c r="L70" s="2">
        <v>10</v>
      </c>
      <c r="M70" s="2">
        <v>10</v>
      </c>
      <c r="N70" s="2">
        <v>50</v>
      </c>
      <c r="O70" s="2">
        <v>10</v>
      </c>
      <c r="P70" s="9"/>
      <c r="Q70" s="2">
        <f>SUM(OSRRefD21_13_0x)+IFERROR(SUM(OSRRefE21_13_0x),0)</f>
        <v>190</v>
      </c>
    </row>
    <row r="71" spans="1:17" s="34" customFormat="1" hidden="1" outlineLevel="1" x14ac:dyDescent="0.3">
      <c r="A71" s="35"/>
      <c r="B71" s="10" t="str">
        <f>CONCATENATE("          ","6241", " - ","OFFICE EXPENSE")</f>
        <v xml:space="preserve">          6241 - OFFICE EXPENSE</v>
      </c>
      <c r="C71" s="14"/>
      <c r="D71" s="2">
        <v>6.59</v>
      </c>
      <c r="E71" s="2">
        <v>20</v>
      </c>
      <c r="F71" s="2">
        <v>20</v>
      </c>
      <c r="G71" s="2">
        <v>20</v>
      </c>
      <c r="H71" s="2">
        <v>20</v>
      </c>
      <c r="I71" s="2">
        <v>20</v>
      </c>
      <c r="J71" s="2">
        <v>20</v>
      </c>
      <c r="K71" s="2">
        <v>20</v>
      </c>
      <c r="L71" s="2">
        <v>20</v>
      </c>
      <c r="M71" s="2">
        <v>20</v>
      </c>
      <c r="N71" s="2">
        <v>20</v>
      </c>
      <c r="O71" s="2">
        <v>20</v>
      </c>
      <c r="P71" s="9"/>
      <c r="Q71" s="2">
        <f>SUM(OSRRefD21_13_1x)+IFERROR(SUM(OSRRefE21_13_1x),0)</f>
        <v>226.59</v>
      </c>
    </row>
    <row r="72" spans="1:17" s="34" customFormat="1" hidden="1" outlineLevel="1" x14ac:dyDescent="0.3">
      <c r="A72" s="35"/>
      <c r="B72" s="10" t="str">
        <f>CONCATENATE("          ","6247", " - ","STORE SUPPLIES")</f>
        <v xml:space="preserve">          6247 - STORE SUPPLIES</v>
      </c>
      <c r="C72" s="14"/>
      <c r="D72" s="2">
        <v>415.32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2">
        <f>SUM(OSRRefD21_13_2x)+IFERROR(SUM(OSRRefE21_13_2x),0)</f>
        <v>415.32</v>
      </c>
    </row>
    <row r="73" spans="1:17" s="34" customFormat="1" collapsed="1" x14ac:dyDescent="0.3">
      <c r="A73" s="35"/>
      <c r="B73" s="14" t="str">
        <f>CONCATENATE("     ","Telephone/Data Lines                              ")</f>
        <v xml:space="preserve">     Telephone/Data Lines                              </v>
      </c>
      <c r="C73" s="14"/>
      <c r="D73" s="1">
        <f>SUM(OSRRefD21_14x_0)</f>
        <v>392.84</v>
      </c>
      <c r="E73" s="1">
        <f>SUM(OSRRefE21_14x_0)</f>
        <v>250</v>
      </c>
      <c r="F73" s="1">
        <f>SUM(OSRRefE21_14x_1)</f>
        <v>250</v>
      </c>
      <c r="G73" s="1">
        <f>SUM(OSRRefE21_14x_2)</f>
        <v>250</v>
      </c>
      <c r="H73" s="1">
        <f>SUM(OSRRefE21_14x_3)</f>
        <v>250</v>
      </c>
      <c r="I73" s="1">
        <f>SUM(OSRRefE21_14x_4)</f>
        <v>250</v>
      </c>
      <c r="J73" s="1">
        <f>SUM(OSRRefE21_14x_5)</f>
        <v>250</v>
      </c>
      <c r="K73" s="1">
        <f>SUM(OSRRefE21_14x_6)</f>
        <v>250</v>
      </c>
      <c r="L73" s="1">
        <f>SUM(OSRRefE21_14x_7)</f>
        <v>250</v>
      </c>
      <c r="M73" s="1">
        <f>SUM(OSRRefE21_14x_8)</f>
        <v>250</v>
      </c>
      <c r="N73" s="1">
        <f>SUM(OSRRefE21_14x_9)</f>
        <v>250</v>
      </c>
      <c r="O73" s="1">
        <f>SUM(OSRRefE21_14x_10)</f>
        <v>250</v>
      </c>
      <c r="Q73" s="2">
        <f>SUM(OSRRefD20_14x)+IFERROR(SUM(OSRRefE20_14x),0)</f>
        <v>3142.84</v>
      </c>
    </row>
    <row r="74" spans="1:17" s="34" customFormat="1" hidden="1" outlineLevel="1" x14ac:dyDescent="0.3">
      <c r="A74" s="35"/>
      <c r="B74" s="10" t="str">
        <f>CONCATENATE("          ","6309", " - ","TELEPHONE")</f>
        <v xml:space="preserve">          6309 - TELEPHONE</v>
      </c>
      <c r="C74" s="14"/>
      <c r="D74" s="2">
        <v>392.84</v>
      </c>
      <c r="E74" s="2">
        <v>250</v>
      </c>
      <c r="F74" s="2">
        <v>250</v>
      </c>
      <c r="G74" s="2">
        <v>250</v>
      </c>
      <c r="H74" s="2">
        <v>250</v>
      </c>
      <c r="I74" s="2">
        <v>250</v>
      </c>
      <c r="J74" s="2">
        <v>250</v>
      </c>
      <c r="K74" s="2">
        <v>250</v>
      </c>
      <c r="L74" s="2">
        <v>250</v>
      </c>
      <c r="M74" s="2">
        <v>250</v>
      </c>
      <c r="N74" s="2">
        <v>250</v>
      </c>
      <c r="O74" s="2">
        <v>250</v>
      </c>
      <c r="P74" s="9"/>
      <c r="Q74" s="2">
        <f>SUM(OSRRefD21_14_0x)+IFERROR(SUM(OSRRefE21_14_0x),0)</f>
        <v>3142.84</v>
      </c>
    </row>
    <row r="75" spans="1:17" s="34" customFormat="1" collapsed="1" x14ac:dyDescent="0.3">
      <c r="A75" s="35"/>
      <c r="B75" s="14" t="str">
        <f>CONCATENATE("     ","Travel                                            ")</f>
        <v xml:space="preserve">     Travel                                            </v>
      </c>
      <c r="C75" s="14"/>
      <c r="D75" s="1">
        <f>SUM(OSRRefD21_15x_0)</f>
        <v>147.82</v>
      </c>
      <c r="E75" s="1">
        <f>SUM(OSRRefE21_15x_0)</f>
        <v>25</v>
      </c>
      <c r="F75" s="1">
        <f>SUM(OSRRefE21_15x_1)</f>
        <v>25</v>
      </c>
      <c r="G75" s="1">
        <f>SUM(OSRRefE21_15x_2)</f>
        <v>25</v>
      </c>
      <c r="H75" s="1">
        <f>SUM(OSRRefE21_15x_3)</f>
        <v>100</v>
      </c>
      <c r="I75" s="1">
        <f>SUM(OSRRefE21_15x_4)</f>
        <v>200</v>
      </c>
      <c r="J75" s="1">
        <f>SUM(OSRRefE21_15x_5)</f>
        <v>25</v>
      </c>
      <c r="K75" s="1">
        <f>SUM(OSRRefE21_15x_6)</f>
        <v>25</v>
      </c>
      <c r="L75" s="1">
        <f>SUM(OSRRefE21_15x_7)</f>
        <v>25</v>
      </c>
      <c r="M75" s="1">
        <f>SUM(OSRRefE21_15x_8)</f>
        <v>25</v>
      </c>
      <c r="N75" s="1">
        <f>SUM(OSRRefE21_15x_9)</f>
        <v>25</v>
      </c>
      <c r="O75" s="1">
        <f>SUM(OSRRefE21_15x_10)</f>
        <v>25</v>
      </c>
      <c r="Q75" s="2">
        <f>SUM(OSRRefD20_15x)+IFERROR(SUM(OSRRefE20_15x),0)</f>
        <v>672.81999999999994</v>
      </c>
    </row>
    <row r="76" spans="1:17" s="34" customFormat="1" hidden="1" outlineLevel="1" x14ac:dyDescent="0.3">
      <c r="A76" s="35"/>
      <c r="B76" s="10" t="str">
        <f>CONCATENATE("          ","6294", " - ","TRAVEL OPERATIONAL")</f>
        <v xml:space="preserve">          6294 - TRAVEL OPERATIONAL</v>
      </c>
      <c r="C76" s="14"/>
      <c r="D76" s="2">
        <v>147.82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2">
        <f>SUM(OSRRefD21_15_0x)+IFERROR(SUM(OSRRefE21_15_0x),0)</f>
        <v>147.82</v>
      </c>
    </row>
    <row r="77" spans="1:17" s="34" customFormat="1" hidden="1" outlineLevel="1" x14ac:dyDescent="0.3">
      <c r="A77" s="35"/>
      <c r="B77" s="10" t="str">
        <f>CONCATENATE("          ","6298", " - ","VEHICLE MILEAGE")</f>
        <v xml:space="preserve">          6298 - VEHICLE MILEAGE</v>
      </c>
      <c r="C77" s="14"/>
      <c r="D77" s="2"/>
      <c r="E77" s="2">
        <v>25</v>
      </c>
      <c r="F77" s="2">
        <v>25</v>
      </c>
      <c r="G77" s="2">
        <v>25</v>
      </c>
      <c r="H77" s="2">
        <v>100</v>
      </c>
      <c r="I77" s="2">
        <v>200</v>
      </c>
      <c r="J77" s="2">
        <v>25</v>
      </c>
      <c r="K77" s="2">
        <v>25</v>
      </c>
      <c r="L77" s="2">
        <v>25</v>
      </c>
      <c r="M77" s="2">
        <v>25</v>
      </c>
      <c r="N77" s="2">
        <v>25</v>
      </c>
      <c r="O77" s="2">
        <v>25</v>
      </c>
      <c r="P77" s="9"/>
      <c r="Q77" s="2">
        <f>SUM(OSRRefD21_15_1x)+IFERROR(SUM(OSRRefE21_15_1x),0)</f>
        <v>525</v>
      </c>
    </row>
    <row r="78" spans="1:17" s="34" customFormat="1" collapsed="1" x14ac:dyDescent="0.3">
      <c r="A78" s="35"/>
      <c r="B78" s="14" t="str">
        <f>CONCATENATE("     ","Utilities                                         ")</f>
        <v xml:space="preserve">     Utilities                                         </v>
      </c>
      <c r="C78" s="14"/>
      <c r="D78" s="1">
        <f>SUM(OSRRefD21_16x_0)</f>
        <v>36.49</v>
      </c>
      <c r="E78" s="1">
        <f>SUM(OSRRefE21_16x_0)</f>
        <v>120</v>
      </c>
      <c r="F78" s="1">
        <f>SUM(OSRRefE21_16x_1)</f>
        <v>120</v>
      </c>
      <c r="G78" s="1">
        <f>SUM(OSRRefE21_16x_2)</f>
        <v>120</v>
      </c>
      <c r="H78" s="1">
        <f>SUM(OSRRefE21_16x_3)</f>
        <v>120</v>
      </c>
      <c r="I78" s="1">
        <f>SUM(OSRRefE21_16x_4)</f>
        <v>120</v>
      </c>
      <c r="J78" s="1">
        <f>SUM(OSRRefE21_16x_5)</f>
        <v>120</v>
      </c>
      <c r="K78" s="1">
        <f>SUM(OSRRefE21_16x_6)</f>
        <v>2800</v>
      </c>
      <c r="L78" s="1">
        <f>SUM(OSRRefE21_16x_7)</f>
        <v>120</v>
      </c>
      <c r="M78" s="1">
        <f>SUM(OSRRefE21_16x_8)</f>
        <v>120</v>
      </c>
      <c r="N78" s="1">
        <f>SUM(OSRRefE21_16x_9)</f>
        <v>120</v>
      </c>
      <c r="O78" s="1">
        <f>SUM(OSRRefE21_16x_10)</f>
        <v>120</v>
      </c>
      <c r="Q78" s="2">
        <f>SUM(OSRRefD20_16x)+IFERROR(SUM(OSRRefE20_16x),0)</f>
        <v>4036.49</v>
      </c>
    </row>
    <row r="79" spans="1:17" s="34" customFormat="1" hidden="1" outlineLevel="1" x14ac:dyDescent="0.3">
      <c r="A79" s="35"/>
      <c r="B79" s="10" t="str">
        <f>CONCATENATE("          ","6274", " - ","UTILITIES")</f>
        <v xml:space="preserve">          6274 - UTILITIES</v>
      </c>
      <c r="C79" s="14"/>
      <c r="D79" s="2">
        <v>36.49</v>
      </c>
      <c r="E79" s="2">
        <v>120</v>
      </c>
      <c r="F79" s="2">
        <v>120</v>
      </c>
      <c r="G79" s="2">
        <v>120</v>
      </c>
      <c r="H79" s="2">
        <v>120</v>
      </c>
      <c r="I79" s="2">
        <v>120</v>
      </c>
      <c r="J79" s="2">
        <v>120</v>
      </c>
      <c r="K79" s="2">
        <v>2800</v>
      </c>
      <c r="L79" s="2">
        <v>120</v>
      </c>
      <c r="M79" s="2">
        <v>120</v>
      </c>
      <c r="N79" s="2">
        <v>120</v>
      </c>
      <c r="O79" s="2">
        <v>120</v>
      </c>
      <c r="P79" s="9"/>
      <c r="Q79" s="2">
        <f>SUM(OSRRefD21_16_0x)+IFERROR(SUM(OSRRefE21_16_0x),0)</f>
        <v>4036.49</v>
      </c>
    </row>
    <row r="80" spans="1:17" s="28" customFormat="1" x14ac:dyDescent="0.3">
      <c r="A80" s="21"/>
      <c r="B80" s="21"/>
      <c r="C80" s="2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"/>
    </row>
    <row r="81" spans="1:17" s="9" customFormat="1" x14ac:dyDescent="0.3">
      <c r="A81" s="22"/>
      <c r="B81" s="16" t="s">
        <v>293</v>
      </c>
      <c r="C81" s="23"/>
      <c r="D81" s="3">
        <f>0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2">
        <f>SUM(OSRRefD23_0x)+IFERROR(SUM(OSRRefE23_0x),0)</f>
        <v>0</v>
      </c>
    </row>
    <row r="82" spans="1:17" x14ac:dyDescent="0.3">
      <c r="A82" s="5"/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</row>
    <row r="83" spans="1:17" s="15" customFormat="1" x14ac:dyDescent="0.3">
      <c r="A83" s="6"/>
      <c r="B83" s="17" t="s">
        <v>276</v>
      </c>
      <c r="C83" s="17"/>
      <c r="D83" s="8">
        <f t="shared" ref="D83:O83" si="2">IFERROR(+D19-D22+D81, 0)</f>
        <v>-1073.2400000000034</v>
      </c>
      <c r="E83" s="8">
        <f t="shared" si="2"/>
        <v>-5587.7530057692275</v>
      </c>
      <c r="F83" s="8">
        <f t="shared" si="2"/>
        <v>-7163.6268157692248</v>
      </c>
      <c r="G83" s="8">
        <f t="shared" si="2"/>
        <v>-10439.658519711542</v>
      </c>
      <c r="H83" s="8">
        <f t="shared" si="2"/>
        <v>-8576.6268157692248</v>
      </c>
      <c r="I83" s="8">
        <f t="shared" si="2"/>
        <v>-530.1122557692288</v>
      </c>
      <c r="J83" s="8">
        <f t="shared" si="2"/>
        <v>-11655.408929961544</v>
      </c>
      <c r="K83" s="8">
        <f t="shared" si="2"/>
        <v>-9956.0271439692297</v>
      </c>
      <c r="L83" s="8">
        <f t="shared" si="2"/>
        <v>-5306.0271439692297</v>
      </c>
      <c r="M83" s="8">
        <f t="shared" si="2"/>
        <v>9305.5910700384557</v>
      </c>
      <c r="N83" s="8">
        <f t="shared" si="2"/>
        <v>13130.97285603077</v>
      </c>
      <c r="O83" s="8">
        <f t="shared" si="2"/>
        <v>13310.937832730771</v>
      </c>
      <c r="Q83" s="8">
        <f>IFERROR(+Q19-Q22+Q81, 0)</f>
        <v>-24540.978871888423</v>
      </c>
    </row>
    <row r="84" spans="1:17" s="6" customFormat="1" x14ac:dyDescent="0.3">
      <c r="B84" s="16"/>
      <c r="C84" s="16"/>
      <c r="D84" s="4">
        <f t="shared" ref="D84:O84" si="3">IFERROR(D83/D10, 0)</f>
        <v>-3.3738153027565845E-2</v>
      </c>
      <c r="E84" s="4">
        <f t="shared" si="3"/>
        <v>-0.21022396560456086</v>
      </c>
      <c r="F84" s="4">
        <f t="shared" si="3"/>
        <v>-0.30566764020179316</v>
      </c>
      <c r="G84" s="4">
        <f t="shared" si="3"/>
        <v>-0.47208368091306602</v>
      </c>
      <c r="H84" s="4">
        <f t="shared" si="3"/>
        <v>-0.4123774793619206</v>
      </c>
      <c r="I84" s="4">
        <f t="shared" si="3"/>
        <v>-1.1919599221325466E-2</v>
      </c>
      <c r="J84" s="4">
        <f t="shared" si="3"/>
        <v>-0.52770448363116518</v>
      </c>
      <c r="K84" s="4">
        <f t="shared" si="3"/>
        <v>-0.41306174102681115</v>
      </c>
      <c r="L84" s="4">
        <f t="shared" si="3"/>
        <v>-0.18971100661336585</v>
      </c>
      <c r="M84" s="4">
        <f t="shared" si="3"/>
        <v>0.15341836732402037</v>
      </c>
      <c r="N84" s="4">
        <f t="shared" si="3"/>
        <v>0.20936529953172567</v>
      </c>
      <c r="O84" s="4">
        <f t="shared" si="3"/>
        <v>0.21945326572798238</v>
      </c>
      <c r="P84" s="18"/>
      <c r="Q84" s="4">
        <f>IFERROR(Q83/Q10, 0)</f>
        <v>-5.741924739445621E-2</v>
      </c>
    </row>
    <row r="85" spans="1:17" x14ac:dyDescent="0.3">
      <c r="A85" s="5"/>
      <c r="B85" s="6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</row>
    <row r="86" spans="1:17" s="15" customFormat="1" x14ac:dyDescent="0.3">
      <c r="A86" s="25"/>
      <c r="B86" s="6" t="s">
        <v>125</v>
      </c>
      <c r="C86" s="6"/>
      <c r="D86" s="3">
        <v>14696.49</v>
      </c>
      <c r="E86" s="3">
        <v>-4807</v>
      </c>
      <c r="F86" s="3">
        <v>2348</v>
      </c>
      <c r="G86" s="3">
        <v>3063</v>
      </c>
      <c r="H86" s="3">
        <v>3635</v>
      </c>
      <c r="I86" s="3">
        <v>6311</v>
      </c>
      <c r="J86" s="3">
        <v>2064</v>
      </c>
      <c r="K86" s="3">
        <v>2365</v>
      </c>
      <c r="L86" s="3">
        <v>3306</v>
      </c>
      <c r="M86" s="3">
        <v>7761</v>
      </c>
      <c r="N86" s="3">
        <v>8062</v>
      </c>
      <c r="O86" s="3">
        <v>3009</v>
      </c>
      <c r="Q86" s="2">
        <f>SUM(OSRRefD28_0x)+IFERROR(SUM(OSRRefE28_0x),0)</f>
        <v>51813.49</v>
      </c>
    </row>
    <row r="87" spans="1:17" x14ac:dyDescent="0.3">
      <c r="A87" s="5"/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</row>
    <row r="88" spans="1:17" s="15" customFormat="1" ht="15" thickBot="1" x14ac:dyDescent="0.35">
      <c r="A88" s="6"/>
      <c r="B88" s="17" t="s">
        <v>124</v>
      </c>
      <c r="C88" s="17"/>
      <c r="D88" s="7">
        <f t="shared" ref="D88:O88" si="4">IFERROR(+D83-D86, 0)</f>
        <v>-15769.730000000003</v>
      </c>
      <c r="E88" s="7">
        <f t="shared" si="4"/>
        <v>-780.75300576922746</v>
      </c>
      <c r="F88" s="7">
        <f t="shared" si="4"/>
        <v>-9511.6268157692248</v>
      </c>
      <c r="G88" s="7">
        <f t="shared" si="4"/>
        <v>-13502.658519711542</v>
      </c>
      <c r="H88" s="7">
        <f t="shared" si="4"/>
        <v>-12211.626815769225</v>
      </c>
      <c r="I88" s="7">
        <f t="shared" si="4"/>
        <v>-6841.1122557692288</v>
      </c>
      <c r="J88" s="7">
        <f t="shared" si="4"/>
        <v>-13719.408929961544</v>
      </c>
      <c r="K88" s="7">
        <f t="shared" si="4"/>
        <v>-12321.02714396923</v>
      </c>
      <c r="L88" s="7">
        <f t="shared" si="4"/>
        <v>-8612.0271439692297</v>
      </c>
      <c r="M88" s="7">
        <f t="shared" si="4"/>
        <v>1544.5910700384557</v>
      </c>
      <c r="N88" s="7">
        <f t="shared" si="4"/>
        <v>5068.9728560307703</v>
      </c>
      <c r="O88" s="7">
        <f t="shared" si="4"/>
        <v>10301.937832730771</v>
      </c>
      <c r="Q88" s="7">
        <f>IFERROR(+Q83-Q86, 0)</f>
        <v>-76354.468871888414</v>
      </c>
    </row>
    <row r="89" spans="1:17" ht="15" thickTop="1" x14ac:dyDescent="0.3">
      <c r="A89" s="5"/>
      <c r="B89" s="5"/>
      <c r="C89" s="5"/>
      <c r="D89" s="4">
        <f t="shared" ref="D89:O89" si="5">IFERROR(D88/D10, 0)</f>
        <v>-0.49573400538872414</v>
      </c>
      <c r="E89" s="4">
        <f t="shared" si="5"/>
        <v>-2.9373702248654154E-2</v>
      </c>
      <c r="F89" s="4">
        <f t="shared" si="5"/>
        <v>-0.40585538555082884</v>
      </c>
      <c r="G89" s="4">
        <f t="shared" si="5"/>
        <v>-0.61059322238001001</v>
      </c>
      <c r="H89" s="4">
        <f t="shared" si="5"/>
        <v>-0.58715390017161384</v>
      </c>
      <c r="I89" s="4">
        <f t="shared" si="5"/>
        <v>-0.15382273363693907</v>
      </c>
      <c r="J89" s="4">
        <f t="shared" si="5"/>
        <v>-0.62115311857479716</v>
      </c>
      <c r="K89" s="4">
        <f t="shared" si="5"/>
        <v>-0.51118230693147038</v>
      </c>
      <c r="L89" s="4">
        <f t="shared" si="5"/>
        <v>-0.30791330201184275</v>
      </c>
      <c r="M89" s="4">
        <f t="shared" si="5"/>
        <v>2.5465189515101076E-2</v>
      </c>
      <c r="N89" s="4">
        <f t="shared" si="5"/>
        <v>8.0821659747293759E-2</v>
      </c>
      <c r="O89" s="4">
        <f t="shared" si="5"/>
        <v>0.16984482454423824</v>
      </c>
      <c r="P89" s="18"/>
      <c r="Q89" s="4">
        <f>IFERROR(Q88/Q10, 0)</f>
        <v>-0.17864878824574376</v>
      </c>
    </row>
    <row r="90" spans="1:17" x14ac:dyDescent="0.3">
      <c r="A90" s="5"/>
      <c r="B90" s="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</row>
    <row r="91" spans="1:17" x14ac:dyDescent="0.3">
      <c r="A91" s="5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s="15" customFormat="1" ht="15" thickBot="1" x14ac:dyDescent="0.35">
      <c r="A92" s="6"/>
      <c r="B92" s="17" t="s">
        <v>294</v>
      </c>
      <c r="C92" s="17"/>
      <c r="D92" s="7">
        <f t="shared" ref="D92:O92" si="6">IFERROR(SUM(D88:D91), 0)</f>
        <v>-15770.225734005391</v>
      </c>
      <c r="E92" s="7">
        <f t="shared" si="6"/>
        <v>-780.78237947147613</v>
      </c>
      <c r="F92" s="7">
        <f t="shared" si="6"/>
        <v>-9512.032671154775</v>
      </c>
      <c r="G92" s="7">
        <f t="shared" si="6"/>
        <v>-13503.269112933922</v>
      </c>
      <c r="H92" s="7">
        <f t="shared" si="6"/>
        <v>-12212.213969669396</v>
      </c>
      <c r="I92" s="7">
        <f t="shared" si="6"/>
        <v>-6841.2660785028656</v>
      </c>
      <c r="J92" s="7">
        <f t="shared" si="6"/>
        <v>-13720.030083080119</v>
      </c>
      <c r="K92" s="7">
        <f t="shared" si="6"/>
        <v>-12321.538326276161</v>
      </c>
      <c r="L92" s="7">
        <f t="shared" si="6"/>
        <v>-8612.3350572712407</v>
      </c>
      <c r="M92" s="7">
        <f t="shared" si="6"/>
        <v>1544.6165352279706</v>
      </c>
      <c r="N92" s="7">
        <f t="shared" si="6"/>
        <v>5069.0536776905174</v>
      </c>
      <c r="O92" s="7">
        <f t="shared" si="6"/>
        <v>10302.107677555316</v>
      </c>
      <c r="Q92" s="7">
        <f>IFERROR(SUM(Q88:Q91), 0)</f>
        <v>-76354.647520676663</v>
      </c>
    </row>
    <row r="93" spans="1:17" ht="15" thickTop="1" x14ac:dyDescent="0.3">
      <c r="A93" s="5"/>
      <c r="C93" s="5"/>
      <c r="D93" s="4">
        <f t="shared" ref="D93:O93" si="7">IFERROR(D92/D10, 0)</f>
        <v>-0.49574958918147766</v>
      </c>
      <c r="E93" s="4">
        <f t="shared" si="7"/>
        <v>-2.9374807354081118E-2</v>
      </c>
      <c r="F93" s="4">
        <f t="shared" si="7"/>
        <v>-0.4058727031556057</v>
      </c>
      <c r="G93" s="4">
        <f t="shared" si="7"/>
        <v>-0.61062083354137298</v>
      </c>
      <c r="H93" s="4">
        <f t="shared" si="7"/>
        <v>-0.58718213143905162</v>
      </c>
      <c r="I93" s="4">
        <f t="shared" si="7"/>
        <v>-0.15382619234840278</v>
      </c>
      <c r="J93" s="4">
        <f t="shared" si="7"/>
        <v>-0.62118124159370303</v>
      </c>
      <c r="K93" s="4">
        <f t="shared" si="7"/>
        <v>-0.51120351517554496</v>
      </c>
      <c r="L93" s="4">
        <f t="shared" si="7"/>
        <v>-0.30792431110412388</v>
      </c>
      <c r="M93" s="4">
        <f t="shared" si="7"/>
        <v>2.5465609351710009E-2</v>
      </c>
      <c r="N93" s="4">
        <f t="shared" si="7"/>
        <v>8.0822948399032452E-2</v>
      </c>
      <c r="O93" s="4">
        <f t="shared" si="7"/>
        <v>0.16984762472269913</v>
      </c>
      <c r="P93" s="18"/>
      <c r="Q93" s="4">
        <f>IFERROR(Q92/Q10, 0)</f>
        <v>-0.17864920623554861</v>
      </c>
    </row>
    <row r="94" spans="1:17" x14ac:dyDescent="0.3">
      <c r="A94" s="5"/>
      <c r="B94" s="30">
        <v>44462.678423958336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1"/>
    </row>
    <row r="95" spans="1:17" x14ac:dyDescent="0.3">
      <c r="A95" s="5"/>
      <c r="B95" s="31" t="s">
        <v>54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</row>
    <row r="96" spans="1:17" x14ac:dyDescent="0.3">
      <c r="A96" s="5"/>
      <c r="B96" s="2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  <row r="97" spans="4:17" x14ac:dyDescent="0.3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219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4"/>
      <c r="E18" s="4"/>
      <c r="F18" s="18"/>
      <c r="G18" s="4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s="6" customFormat="1" ht="15" thickTop="1" x14ac:dyDescent="0.3">
      <c r="B31" s="16"/>
      <c r="C31" s="16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outlinePr summaryBelow="0" summaryRight="0"/>
    <pageSetUpPr fitToPage="1"/>
  </sheetPr>
  <dimension ref="A2:R82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123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2531.7999999999997</v>
      </c>
      <c r="E10" s="3">
        <f>SUM(OSRRefE11x_0)</f>
        <v>44700</v>
      </c>
      <c r="F10" s="3">
        <f>SUM(OSRRefE11x_1)</f>
        <v>27900</v>
      </c>
      <c r="G10" s="3">
        <f>SUM(OSRRefE11x_2)</f>
        <v>22850</v>
      </c>
      <c r="H10" s="3">
        <f>SUM(OSRRefE11x_3)</f>
        <v>15250</v>
      </c>
      <c r="I10" s="3">
        <f>SUM(OSRRefE11x_4)</f>
        <v>17730</v>
      </c>
      <c r="J10" s="3">
        <f>SUM(OSRRefE11x_5)</f>
        <v>89000</v>
      </c>
      <c r="K10" s="3">
        <f>SUM(OSRRefE11x_6)</f>
        <v>46600</v>
      </c>
      <c r="L10" s="3">
        <f>SUM(OSRRefE11x_7)</f>
        <v>46600</v>
      </c>
      <c r="M10" s="3">
        <f>SUM(OSRRefE11x_8)</f>
        <v>40000</v>
      </c>
      <c r="N10" s="3">
        <f>SUM(OSRRefE11x_9)</f>
        <v>47000</v>
      </c>
      <c r="O10" s="3">
        <f>SUM(OSRRefE11x_10)</f>
        <v>5600</v>
      </c>
      <c r="P10" s="24"/>
      <c r="Q10" s="3">
        <f>SUM(OSRRefG11x)</f>
        <v>405761.8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--2230.15</f>
        <v>2230.15</v>
      </c>
      <c r="E11" s="2">
        <v>35000</v>
      </c>
      <c r="F11" s="2">
        <v>13100</v>
      </c>
      <c r="G11" s="2">
        <v>5350</v>
      </c>
      <c r="H11" s="2">
        <v>3050</v>
      </c>
      <c r="I11" s="2">
        <v>4230</v>
      </c>
      <c r="J11" s="2">
        <v>71200</v>
      </c>
      <c r="K11" s="2">
        <v>16800</v>
      </c>
      <c r="L11" s="2">
        <v>12100</v>
      </c>
      <c r="M11" s="2">
        <v>12800</v>
      </c>
      <c r="N11" s="2">
        <v>20000</v>
      </c>
      <c r="O11" s="2">
        <v>3100</v>
      </c>
      <c r="Q11" s="2">
        <f>SUM(OSRRefD11_0x)+IFERROR(SUM(OSRRefE11_0x),0)</f>
        <v>198960.15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--281.45</f>
        <v>281.45</v>
      </c>
      <c r="E12" s="2">
        <v>9700</v>
      </c>
      <c r="F12" s="2">
        <v>14800</v>
      </c>
      <c r="G12" s="2">
        <v>17500</v>
      </c>
      <c r="H12" s="2">
        <v>12200</v>
      </c>
      <c r="I12" s="2">
        <v>13500</v>
      </c>
      <c r="J12" s="2">
        <v>17800</v>
      </c>
      <c r="K12" s="2">
        <v>29800</v>
      </c>
      <c r="L12" s="2">
        <v>34500</v>
      </c>
      <c r="M12" s="2">
        <v>27200</v>
      </c>
      <c r="N12" s="2">
        <v>27000</v>
      </c>
      <c r="O12" s="2">
        <v>2500</v>
      </c>
      <c r="Q12" s="2">
        <f>SUM(OSRRefD11_1x)+IFERROR(SUM(OSRRefE11_1x),0)</f>
        <v>206781.45</v>
      </c>
    </row>
    <row r="13" spans="1:18" s="9" customFormat="1" hidden="1" outlineLevel="1" x14ac:dyDescent="0.3">
      <c r="A13" s="22"/>
      <c r="B13" s="10" t="str">
        <f>CONCATENATE("          ","4146", " - ","NON-TAXABLE SALES-COIN OP MACH")</f>
        <v xml:space="preserve">          4146 - NON-TAXABLE SALES-COIN OP MACH</v>
      </c>
      <c r="C13" s="23"/>
      <c r="D13" s="2">
        <f>--20.2</f>
        <v>20.2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20.2</v>
      </c>
    </row>
    <row r="14" spans="1:18" x14ac:dyDescent="0.3">
      <c r="A14" s="5"/>
      <c r="B14" s="6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</row>
    <row r="15" spans="1:18" s="9" customFormat="1" collapsed="1" x14ac:dyDescent="0.3">
      <c r="A15" s="22"/>
      <c r="B15" s="16" t="s">
        <v>218</v>
      </c>
      <c r="C15" s="23"/>
      <c r="D15" s="3">
        <f>SUM(OSRRefD14x_0)</f>
        <v>0</v>
      </c>
      <c r="E15" s="3">
        <f>SUM(OSRRefE14x_0)</f>
        <v>0</v>
      </c>
      <c r="F15" s="3">
        <f>SUM(OSRRefE14x_1)</f>
        <v>0</v>
      </c>
      <c r="G15" s="3">
        <f>SUM(OSRRefE14x_2)</f>
        <v>0</v>
      </c>
      <c r="H15" s="3">
        <f>SUM(OSRRefE14x_3)</f>
        <v>0</v>
      </c>
      <c r="I15" s="3">
        <f>SUM(OSRRefE14x_4)</f>
        <v>0</v>
      </c>
      <c r="J15" s="3">
        <f>SUM(OSRRefE14x_5)</f>
        <v>0</v>
      </c>
      <c r="K15" s="3">
        <f>SUM(OSRRefE14x_6)</f>
        <v>0</v>
      </c>
      <c r="L15" s="3">
        <f>SUM(OSRRefE14x_7)</f>
        <v>0</v>
      </c>
      <c r="M15" s="3">
        <f>SUM(OSRRefE14x_8)</f>
        <v>0</v>
      </c>
      <c r="N15" s="3">
        <f>SUM(OSRRefE14x_9)</f>
        <v>0</v>
      </c>
      <c r="O15" s="3">
        <f>SUM(OSRRefE14x_10)</f>
        <v>0</v>
      </c>
      <c r="Q15" s="3">
        <f>SUM(OSRRefG14x)</f>
        <v>0</v>
      </c>
    </row>
    <row r="16" spans="1:18" s="9" customFormat="1" hidden="1" outlineLevel="1" x14ac:dyDescent="0.3">
      <c r="A16" s="22"/>
      <c r="B16" s="10" t="str">
        <f>CONCATENATE("          ","5000", " - ","PURCHASES @ COST")</f>
        <v xml:space="preserve">          5000 - PURCHASES @ COST</v>
      </c>
      <c r="C16" s="23"/>
      <c r="D16" s="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Q16" s="2">
        <f>SUM(OSRRefD14_0x)+IFERROR(SUM(OSRRefE14_0x),0)</f>
        <v>0</v>
      </c>
    </row>
    <row r="17" spans="1:17" x14ac:dyDescent="0.3">
      <c r="A17" s="5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</row>
    <row r="18" spans="1:17" s="15" customFormat="1" x14ac:dyDescent="0.3">
      <c r="A18" s="6"/>
      <c r="B18" s="17" t="s">
        <v>105</v>
      </c>
      <c r="C18" s="17"/>
      <c r="D18" s="8">
        <f t="shared" ref="D18:O18" si="0">IFERROR(+D10-D15, 0)</f>
        <v>2531.7999999999997</v>
      </c>
      <c r="E18" s="8">
        <f t="shared" si="0"/>
        <v>44700</v>
      </c>
      <c r="F18" s="8">
        <f t="shared" si="0"/>
        <v>27900</v>
      </c>
      <c r="G18" s="8">
        <f t="shared" si="0"/>
        <v>22850</v>
      </c>
      <c r="H18" s="8">
        <f t="shared" si="0"/>
        <v>15250</v>
      </c>
      <c r="I18" s="8">
        <f t="shared" si="0"/>
        <v>17730</v>
      </c>
      <c r="J18" s="8">
        <f t="shared" si="0"/>
        <v>89000</v>
      </c>
      <c r="K18" s="8">
        <f t="shared" si="0"/>
        <v>46600</v>
      </c>
      <c r="L18" s="8">
        <f t="shared" si="0"/>
        <v>46600</v>
      </c>
      <c r="M18" s="8">
        <f t="shared" si="0"/>
        <v>40000</v>
      </c>
      <c r="N18" s="8">
        <f t="shared" si="0"/>
        <v>47000</v>
      </c>
      <c r="O18" s="8">
        <f t="shared" si="0"/>
        <v>5600</v>
      </c>
      <c r="Q18" s="8">
        <f>IFERROR(+Q10-Q15, 0)</f>
        <v>405761.8</v>
      </c>
    </row>
    <row r="19" spans="1:17" s="6" customFormat="1" x14ac:dyDescent="0.3">
      <c r="B19" s="16"/>
      <c r="C19" s="16"/>
      <c r="D19" s="4">
        <f t="shared" ref="D19:O19" si="1">IFERROR(D18/D10, 0)</f>
        <v>1</v>
      </c>
      <c r="E19" s="4">
        <f t="shared" si="1"/>
        <v>1</v>
      </c>
      <c r="F19" s="4">
        <f t="shared" si="1"/>
        <v>1</v>
      </c>
      <c r="G19" s="4">
        <f t="shared" si="1"/>
        <v>1</v>
      </c>
      <c r="H19" s="4">
        <f t="shared" si="1"/>
        <v>1</v>
      </c>
      <c r="I19" s="4">
        <f t="shared" si="1"/>
        <v>1</v>
      </c>
      <c r="J19" s="4">
        <f t="shared" si="1"/>
        <v>1</v>
      </c>
      <c r="K19" s="4">
        <f t="shared" si="1"/>
        <v>1</v>
      </c>
      <c r="L19" s="4">
        <f t="shared" si="1"/>
        <v>1</v>
      </c>
      <c r="M19" s="4">
        <f t="shared" si="1"/>
        <v>1</v>
      </c>
      <c r="N19" s="4">
        <f t="shared" si="1"/>
        <v>1</v>
      </c>
      <c r="O19" s="4">
        <f t="shared" si="1"/>
        <v>1</v>
      </c>
      <c r="P19" s="18"/>
      <c r="Q19" s="4">
        <f>IFERROR(Q18/Q10, 0)</f>
        <v>1</v>
      </c>
    </row>
    <row r="20" spans="1:17" x14ac:dyDescent="0.3">
      <c r="A20" s="5"/>
      <c r="B20" s="6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15" customFormat="1" x14ac:dyDescent="0.3">
      <c r="A21" s="6"/>
      <c r="B21" s="16" t="s">
        <v>255</v>
      </c>
      <c r="C21" s="6"/>
      <c r="D21" s="13">
        <f>SUM(OSRRefD20x_0)</f>
        <v>37658.880000000005</v>
      </c>
      <c r="E21" s="13">
        <f>SUM(OSRRefE20x_0)</f>
        <v>-8368.868195769217</v>
      </c>
      <c r="F21" s="13">
        <f>SUM(OSRRefE20x_1)</f>
        <v>27431.002261923066</v>
      </c>
      <c r="G21" s="13">
        <f>SUM(OSRRefE20x_2)</f>
        <v>69912.775299519242</v>
      </c>
      <c r="H21" s="13">
        <f>SUM(OSRRefE20x_3)</f>
        <v>35164.057119615391</v>
      </c>
      <c r="I21" s="13">
        <f>SUM(OSRRefE20x_4)</f>
        <v>17989.633819615392</v>
      </c>
      <c r="J21" s="13">
        <f>SUM(OSRRefE20x_5)</f>
        <v>21299.301879519251</v>
      </c>
      <c r="K21" s="13">
        <f>SUM(OSRRefE20x_6)</f>
        <v>37607.656323615389</v>
      </c>
      <c r="L21" s="13">
        <f>SUM(OSRRefE20x_7)</f>
        <v>23986.604975615392</v>
      </c>
      <c r="M21" s="13">
        <f>SUM(OSRRefE20x_8)</f>
        <v>26953.730955519248</v>
      </c>
      <c r="N21" s="13">
        <f>SUM(OSRRefE20x_9)</f>
        <v>31036.604975615392</v>
      </c>
      <c r="O21" s="13">
        <f>SUM(OSRRefE20x_10)</f>
        <v>24289.503919615392</v>
      </c>
      <c r="Q21" s="13">
        <f>SUM(OSRRefG20x)</f>
        <v>344960.88333440386</v>
      </c>
    </row>
    <row r="22" spans="1:17" s="34" customFormat="1" collapsed="1" x14ac:dyDescent="0.3">
      <c r="A22" s="35"/>
      <c r="B22" s="14" t="str">
        <f>CONCATENATE("     ","*Benefits                                         ")</f>
        <v xml:space="preserve">     *Benefits                                         </v>
      </c>
      <c r="C22" s="14"/>
      <c r="D22" s="1">
        <f>SUM(OSRRefD21_0x_0)</f>
        <v>8921.32</v>
      </c>
      <c r="E22" s="1">
        <f>SUM(OSRRefE21_0x_0)</f>
        <v>9060.2587273076842</v>
      </c>
      <c r="F22" s="1">
        <f>SUM(OSRRefE21_0x_1)</f>
        <v>6733.2176465384664</v>
      </c>
      <c r="G22" s="1">
        <f>SUM(OSRRefE21_0x_2)</f>
        <v>5079.7551072115421</v>
      </c>
      <c r="H22" s="1">
        <f>SUM(OSRRefE21_0x_3)</f>
        <v>4440.9609657692326</v>
      </c>
      <c r="I22" s="1">
        <f>SUM(OSRRefE21_0x_4)</f>
        <v>4222.6376657692326</v>
      </c>
      <c r="J22" s="1">
        <f>SUM(OSRRefE21_0x_5)</f>
        <v>5208.6216872115401</v>
      </c>
      <c r="K22" s="1">
        <f>SUM(OSRRefE21_0x_6)</f>
        <v>4568.4361697692329</v>
      </c>
      <c r="L22" s="1">
        <f>SUM(OSRRefE21_0x_7)</f>
        <v>4438.2928217692333</v>
      </c>
      <c r="M22" s="1">
        <f>SUM(OSRRefE21_0x_8)</f>
        <v>5059.6947632115398</v>
      </c>
      <c r="N22" s="1">
        <f>SUM(OSRRefE21_0x_9)</f>
        <v>4438.2928217692333</v>
      </c>
      <c r="O22" s="1">
        <f>SUM(OSRRefE21_0x_10)</f>
        <v>4161.6077657692331</v>
      </c>
      <c r="Q22" s="2">
        <f>SUM(OSRRefD20_0x)+IFERROR(SUM(OSRRefE20_0x),0)</f>
        <v>66333.096142096154</v>
      </c>
    </row>
    <row r="23" spans="1:17" s="34" customFormat="1" hidden="1" outlineLevel="1" x14ac:dyDescent="0.3">
      <c r="A23" s="35"/>
      <c r="B23" s="10" t="str">
        <f>CONCATENATE("          ","6111", " - ","F.I.C.A.")</f>
        <v xml:space="preserve">          6111 - F.I.C.A.</v>
      </c>
      <c r="C23" s="14"/>
      <c r="D23" s="2">
        <v>1247.51</v>
      </c>
      <c r="E23" s="2">
        <v>1395.5451542307701</v>
      </c>
      <c r="F23" s="2">
        <v>1058.6071119230801</v>
      </c>
      <c r="G23" s="2">
        <v>923.51473701923203</v>
      </c>
      <c r="H23" s="2">
        <v>743.09746961538497</v>
      </c>
      <c r="I23" s="2">
        <v>704.06716961538496</v>
      </c>
      <c r="J23" s="2">
        <v>1110.7071170192301</v>
      </c>
      <c r="K23" s="2">
        <v>929.43271361538496</v>
      </c>
      <c r="L23" s="2">
        <v>849.25988561538497</v>
      </c>
      <c r="M23" s="2">
        <v>1018.96295301923</v>
      </c>
      <c r="N23" s="2">
        <v>849.25988561538497</v>
      </c>
      <c r="O23" s="2">
        <v>678.81226961538505</v>
      </c>
      <c r="P23" s="9"/>
      <c r="Q23" s="2">
        <f>SUM(OSRRefD21_0_0x)+IFERROR(SUM(OSRRefE21_0_0x),0)</f>
        <v>11508.776466903853</v>
      </c>
    </row>
    <row r="24" spans="1:17" s="34" customFormat="1" hidden="1" outlineLevel="1" x14ac:dyDescent="0.3">
      <c r="A24" s="35"/>
      <c r="B24" s="10" t="str">
        <f>CONCATENATE("          ","6112", " - ","COMPENSATION INSURANCE")</f>
        <v xml:space="preserve">          6112 - COMPENSATION INSURANCE</v>
      </c>
      <c r="C24" s="14"/>
      <c r="D24" s="2">
        <v>251.73</v>
      </c>
      <c r="E24" s="2">
        <v>284.47019999999998</v>
      </c>
      <c r="F24" s="2">
        <v>215.78819999999999</v>
      </c>
      <c r="G24" s="2">
        <v>188.25075000000001</v>
      </c>
      <c r="H24" s="2">
        <v>151.4742</v>
      </c>
      <c r="I24" s="2">
        <v>150.0702</v>
      </c>
      <c r="J24" s="2">
        <v>226.40835000000001</v>
      </c>
      <c r="K24" s="2">
        <v>189.45707999999999</v>
      </c>
      <c r="L24" s="2">
        <v>173.11452</v>
      </c>
      <c r="M24" s="2">
        <v>207.70706999999999</v>
      </c>
      <c r="N24" s="2">
        <v>173.11452</v>
      </c>
      <c r="O24" s="2">
        <v>138.37020000000001</v>
      </c>
      <c r="P24" s="9"/>
      <c r="Q24" s="2">
        <f>SUM(OSRRefD21_0_1x)+IFERROR(SUM(OSRRefE21_0_1x),0)</f>
        <v>2349.9552899999999</v>
      </c>
    </row>
    <row r="25" spans="1:17" s="34" customFormat="1" hidden="1" outlineLevel="1" x14ac:dyDescent="0.3">
      <c r="A25" s="35"/>
      <c r="B25" s="10" t="str">
        <f>CONCATENATE("          ","6113", " - ","GROUP INSURANCE")</f>
        <v xml:space="preserve">          6113 - GROUP INSURANCE</v>
      </c>
      <c r="C25" s="14"/>
      <c r="D25" s="2">
        <v>3410.23</v>
      </c>
      <c r="E25" s="2">
        <v>3303</v>
      </c>
      <c r="F25" s="2">
        <v>2314.5</v>
      </c>
      <c r="G25" s="2">
        <v>1326</v>
      </c>
      <c r="H25" s="2">
        <v>1326</v>
      </c>
      <c r="I25" s="2">
        <v>1326</v>
      </c>
      <c r="J25" s="2">
        <v>1326</v>
      </c>
      <c r="K25" s="2">
        <v>1326</v>
      </c>
      <c r="L25" s="2">
        <v>1326</v>
      </c>
      <c r="M25" s="2">
        <v>1326</v>
      </c>
      <c r="N25" s="2">
        <v>1326</v>
      </c>
      <c r="O25" s="2">
        <v>1326</v>
      </c>
      <c r="P25" s="9"/>
      <c r="Q25" s="2">
        <f>SUM(OSRRefD21_0_2x)+IFERROR(SUM(OSRRefE21_0_2x),0)</f>
        <v>20961.73</v>
      </c>
    </row>
    <row r="26" spans="1:17" s="34" customFormat="1" hidden="1" outlineLevel="1" x14ac:dyDescent="0.3">
      <c r="A26" s="35"/>
      <c r="B26" s="10" t="str">
        <f>CONCATENATE("          ","6114", " - ","STATE UNEMPLOYMENT INSURANCE")</f>
        <v xml:space="preserve">          6114 - STATE UNEMPLOYMENT INSURANCE</v>
      </c>
      <c r="C26" s="14"/>
      <c r="D26" s="2">
        <v>44.22</v>
      </c>
      <c r="E26" s="2">
        <v>38.294065384615401</v>
      </c>
      <c r="F26" s="2">
        <v>29.048411538461501</v>
      </c>
      <c r="G26" s="2">
        <v>25.3414471153846</v>
      </c>
      <c r="H26" s="2">
        <v>20.390757692307702</v>
      </c>
      <c r="I26" s="2">
        <v>20.201757692307702</v>
      </c>
      <c r="J26" s="2">
        <v>30.478047115384602</v>
      </c>
      <c r="K26" s="2">
        <v>25.503837692307702</v>
      </c>
      <c r="L26" s="2">
        <v>23.303877692307701</v>
      </c>
      <c r="M26" s="2">
        <v>27.960567115384599</v>
      </c>
      <c r="N26" s="2">
        <v>23.303877692307701</v>
      </c>
      <c r="O26" s="2">
        <v>18.626757692307699</v>
      </c>
      <c r="P26" s="9"/>
      <c r="Q26" s="2">
        <f>SUM(OSRRefD21_0_3x)+IFERROR(SUM(OSRRefE21_0_3x),0)</f>
        <v>326.67340442307693</v>
      </c>
    </row>
    <row r="27" spans="1:17" s="34" customFormat="1" hidden="1" outlineLevel="1" x14ac:dyDescent="0.3">
      <c r="A27" s="35"/>
      <c r="B27" s="10" t="str">
        <f>CONCATENATE("          ","6115", " - ","P.E.R.S.")</f>
        <v xml:space="preserve">          6115 - P.E.R.S.</v>
      </c>
      <c r="C27" s="14"/>
      <c r="D27" s="2">
        <v>1590.79</v>
      </c>
      <c r="E27" s="2">
        <v>1423.7531538461501</v>
      </c>
      <c r="F27" s="2">
        <v>1093.28161538462</v>
      </c>
      <c r="G27" s="2">
        <v>953.51259615384697</v>
      </c>
      <c r="H27" s="2">
        <v>762.81007692307799</v>
      </c>
      <c r="I27" s="2">
        <v>762.81007692307799</v>
      </c>
      <c r="J27" s="2">
        <v>953.51259615384697</v>
      </c>
      <c r="K27" s="2">
        <v>762.81007692307799</v>
      </c>
      <c r="L27" s="2">
        <v>762.81007692307799</v>
      </c>
      <c r="M27" s="2">
        <v>953.51259615384697</v>
      </c>
      <c r="N27" s="2">
        <v>762.81007692307799</v>
      </c>
      <c r="O27" s="2">
        <v>762.81007692307799</v>
      </c>
      <c r="P27" s="9"/>
      <c r="Q27" s="2">
        <f>SUM(OSRRefD21_0_4x)+IFERROR(SUM(OSRRefE21_0_4x),0)</f>
        <v>11545.22301923078</v>
      </c>
    </row>
    <row r="28" spans="1:17" s="34" customFormat="1" hidden="1" outlineLevel="1" x14ac:dyDescent="0.3">
      <c r="A28" s="35"/>
      <c r="B28" s="10" t="str">
        <f>CONCATENATE("          ","6116", " - ","EDUCATIONAL BENEFITS")</f>
        <v xml:space="preserve">          6116 - EDUCATIONAL BENEFITS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SUM(OSRRefD21_0_5x)+IFERROR(SUM(OSRRefE21_0_5x),0)</f>
        <v>0</v>
      </c>
    </row>
    <row r="29" spans="1:17" s="34" customFormat="1" hidden="1" outlineLevel="1" x14ac:dyDescent="0.3">
      <c r="A29" s="35"/>
      <c r="B29" s="10" t="str">
        <f>CONCATENATE("          ","6118", " - ","VACATION")</f>
        <v xml:space="preserve">          6118 - VACATION</v>
      </c>
      <c r="C29" s="14"/>
      <c r="D29" s="2">
        <v>1216.0999999999999</v>
      </c>
      <c r="E29" s="2">
        <v>1389.43038461538</v>
      </c>
      <c r="F29" s="2">
        <v>1005.16115384615</v>
      </c>
      <c r="G29" s="2">
        <v>776.11490384615502</v>
      </c>
      <c r="H29" s="2">
        <v>620.89192307692304</v>
      </c>
      <c r="I29" s="2">
        <v>620.89192307692304</v>
      </c>
      <c r="J29" s="2">
        <v>776.11490384615502</v>
      </c>
      <c r="K29" s="2">
        <v>620.89192307692304</v>
      </c>
      <c r="L29" s="2">
        <v>620.89192307692304</v>
      </c>
      <c r="M29" s="2">
        <v>776.11490384615502</v>
      </c>
      <c r="N29" s="2">
        <v>620.89192307692304</v>
      </c>
      <c r="O29" s="2">
        <v>620.89192307692304</v>
      </c>
      <c r="P29" s="9"/>
      <c r="Q29" s="2">
        <f>SUM(OSRRefD21_0_6x)+IFERROR(SUM(OSRRefE21_0_6x),0)</f>
        <v>9664.3877884615358</v>
      </c>
    </row>
    <row r="30" spans="1:17" s="34" customFormat="1" hidden="1" outlineLevel="1" x14ac:dyDescent="0.3">
      <c r="A30" s="35"/>
      <c r="B30" s="10" t="str">
        <f>CONCATENATE("          ","6119", " - ","SICK LEAVE")</f>
        <v xml:space="preserve">          6119 - SICK LEAVE</v>
      </c>
      <c r="C30" s="14"/>
      <c r="D30" s="2">
        <v>738.5</v>
      </c>
      <c r="E30" s="2">
        <v>700.76576923076902</v>
      </c>
      <c r="F30" s="2">
        <v>491.83115384615502</v>
      </c>
      <c r="G30" s="2">
        <v>362.020673076923</v>
      </c>
      <c r="H30" s="2">
        <v>291.296538461539</v>
      </c>
      <c r="I30" s="2">
        <v>288.59653846153901</v>
      </c>
      <c r="J30" s="2">
        <v>435.400673076923</v>
      </c>
      <c r="K30" s="2">
        <v>364.34053846153898</v>
      </c>
      <c r="L30" s="2">
        <v>332.91253846153899</v>
      </c>
      <c r="M30" s="2">
        <v>399.436673076923</v>
      </c>
      <c r="N30" s="2">
        <v>332.91253846153899</v>
      </c>
      <c r="O30" s="2">
        <v>266.09653846153901</v>
      </c>
      <c r="P30" s="9"/>
      <c r="Q30" s="2">
        <f>SUM(OSRRefD21_0_7x)+IFERROR(SUM(OSRRefE21_0_7x),0)</f>
        <v>5004.1101730769269</v>
      </c>
    </row>
    <row r="31" spans="1:17" s="34" customFormat="1" hidden="1" outlineLevel="1" x14ac:dyDescent="0.3">
      <c r="A31" s="35"/>
      <c r="B31" s="10" t="str">
        <f>CONCATENATE("          ","6156", " - ","EMPLOYEE MEALS")</f>
        <v xml:space="preserve">          6156 - EMPLOYEE MEALS</v>
      </c>
      <c r="C31" s="14"/>
      <c r="D31" s="2">
        <v>422.24</v>
      </c>
      <c r="E31" s="2">
        <v>525</v>
      </c>
      <c r="F31" s="2">
        <v>525</v>
      </c>
      <c r="G31" s="2">
        <v>525</v>
      </c>
      <c r="H31" s="2">
        <v>525</v>
      </c>
      <c r="I31" s="2">
        <v>350</v>
      </c>
      <c r="J31" s="2">
        <v>350</v>
      </c>
      <c r="K31" s="2">
        <v>350</v>
      </c>
      <c r="L31" s="2">
        <v>350</v>
      </c>
      <c r="M31" s="2">
        <v>350</v>
      </c>
      <c r="N31" s="2">
        <v>350</v>
      </c>
      <c r="O31" s="2">
        <v>350</v>
      </c>
      <c r="P31" s="9"/>
      <c r="Q31" s="2">
        <f>SUM(OSRRefD21_0_8x)+IFERROR(SUM(OSRRefE21_0_8x),0)</f>
        <v>4972.24</v>
      </c>
    </row>
    <row r="32" spans="1:17" s="34" customFormat="1" collapsed="1" x14ac:dyDescent="0.3">
      <c r="A32" s="35"/>
      <c r="B32" s="14" t="str">
        <f>CONCATENATE("     ","*Payroll                                          ")</f>
        <v xml:space="preserve">     *Payroll                                          </v>
      </c>
      <c r="C32" s="14"/>
      <c r="D32" s="1">
        <f>SUM(OSRRefD21_1x_0)</f>
        <v>19441.55</v>
      </c>
      <c r="E32" s="1">
        <f>SUM(OSRRefE21_1x_0)</f>
        <v>16245.873076923099</v>
      </c>
      <c r="F32" s="1">
        <f>SUM(OSRRefE21_1x_1)</f>
        <v>12402.7846153846</v>
      </c>
      <c r="G32" s="1">
        <f>SUM(OSRRefE21_1x_2)</f>
        <v>10988.020192307709</v>
      </c>
      <c r="H32" s="1">
        <f>SUM(OSRRefE21_1x_3)</f>
        <v>8848.0961538461597</v>
      </c>
      <c r="I32" s="1">
        <f>SUM(OSRRefE21_1x_4)</f>
        <v>8761.9961538461594</v>
      </c>
      <c r="J32" s="1">
        <f>SUM(OSRRefE21_1x_5)</f>
        <v>13545.680192307711</v>
      </c>
      <c r="K32" s="1">
        <f>SUM(OSRRefE21_1x_6)</f>
        <v>11394.22015384616</v>
      </c>
      <c r="L32" s="1">
        <f>SUM(OSRRefE21_1x_7)</f>
        <v>10303.312153846158</v>
      </c>
      <c r="M32" s="1">
        <f>SUM(OSRRefE21_1x_8)</f>
        <v>12299.036192307709</v>
      </c>
      <c r="N32" s="1">
        <f>SUM(OSRRefE21_1x_9)</f>
        <v>10303.312153846158</v>
      </c>
      <c r="O32" s="1">
        <f>SUM(OSRRefE21_1x_10)</f>
        <v>7982.8961538461599</v>
      </c>
      <c r="Q32" s="2">
        <f>SUM(OSRRefD20_1x)+IFERROR(SUM(OSRRefE20_1x),0)</f>
        <v>142516.77719230778</v>
      </c>
    </row>
    <row r="33" spans="1:17" s="34" customFormat="1" hidden="1" outlineLevel="1" x14ac:dyDescent="0.3">
      <c r="A33" s="35"/>
      <c r="B33" s="10" t="str">
        <f>CONCATENATE("          ","6001", " - ","ADMINISTRATIVE SALARIES")</f>
        <v xml:space="preserve">          6001 - ADMINISTRATIVE SALARIES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SUM(OSRRefD21_1_0x)+IFERROR(SUM(OSRRefE21_1_0x),0)</f>
        <v>0</v>
      </c>
    </row>
    <row r="34" spans="1:17" s="34" customFormat="1" hidden="1" outlineLevel="1" x14ac:dyDescent="0.3">
      <c r="A34" s="35"/>
      <c r="B34" s="10" t="str">
        <f>CONCATENATE("          ","6002", " - ","STAFF SALARIES")</f>
        <v xml:space="preserve">          6002 - STAFF SALARIES</v>
      </c>
      <c r="C34" s="14"/>
      <c r="D34" s="2">
        <v>18934.05</v>
      </c>
      <c r="E34" s="2">
        <v>14515.473076923099</v>
      </c>
      <c r="F34" s="2">
        <v>11249.1846153846</v>
      </c>
      <c r="G34" s="2">
        <v>9978.6201923077097</v>
      </c>
      <c r="H34" s="2">
        <v>7982.8961538461599</v>
      </c>
      <c r="I34" s="2">
        <v>7982.8961538461599</v>
      </c>
      <c r="J34" s="2">
        <v>9978.6201923077097</v>
      </c>
      <c r="K34" s="2">
        <v>7982.8961538461599</v>
      </c>
      <c r="L34" s="2">
        <v>7982.8961538461599</v>
      </c>
      <c r="M34" s="2">
        <v>9978.6201923077097</v>
      </c>
      <c r="N34" s="2">
        <v>7982.8961538461599</v>
      </c>
      <c r="O34" s="2">
        <v>7982.8961538461599</v>
      </c>
      <c r="P34" s="9"/>
      <c r="Q34" s="2">
        <f>SUM(OSRRefD21_1_1x)+IFERROR(SUM(OSRRefE21_1_1x),0)</f>
        <v>122531.9451923078</v>
      </c>
    </row>
    <row r="35" spans="1:17" s="34" customFormat="1" hidden="1" outlineLevel="1" x14ac:dyDescent="0.3">
      <c r="A35" s="35"/>
      <c r="B35" s="10" t="str">
        <f>CONCATENATE("          ","6003", " - ","STAFF HOURLY-9 MONTH")</f>
        <v xml:space="preserve">          6003 - STAFF HOURLY-9 MONTH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SUM(OSRRefD21_1_2x)+IFERROR(SUM(OSRRefE21_1_2x),0)</f>
        <v>0</v>
      </c>
    </row>
    <row r="36" spans="1:17" s="34" customFormat="1" hidden="1" outlineLevel="1" x14ac:dyDescent="0.3">
      <c r="A36" s="35"/>
      <c r="B36" s="10" t="str">
        <f>CONCATENATE("          ","6004", " - ","STAFF HOURLY")</f>
        <v xml:space="preserve">          6004 - STAFF HOURLY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346.5</v>
      </c>
      <c r="J36" s="2">
        <v>2009.7</v>
      </c>
      <c r="K36" s="2">
        <v>2009.7</v>
      </c>
      <c r="L36" s="2">
        <v>1386</v>
      </c>
      <c r="M36" s="2">
        <v>1386</v>
      </c>
      <c r="N36" s="2">
        <v>1386</v>
      </c>
      <c r="O36" s="2">
        <v>0</v>
      </c>
      <c r="P36" s="9"/>
      <c r="Q36" s="2">
        <f>SUM(OSRRefD21_1_3x)+IFERROR(SUM(OSRRefE21_1_3x),0)</f>
        <v>8523.9</v>
      </c>
    </row>
    <row r="37" spans="1:17" s="34" customFormat="1" hidden="1" outlineLevel="1" x14ac:dyDescent="0.3">
      <c r="A37" s="35"/>
      <c r="B37" s="10" t="str">
        <f>CONCATENATE("          ","6005", " - ","TEMPORARY WAGES-HOURLY")</f>
        <v xml:space="preserve">          6005 - TEMPORARY WAGES-HOURLY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SUM(OSRRefD21_1_4x)+IFERROR(SUM(OSRRefE21_1_4x),0)</f>
        <v>0</v>
      </c>
    </row>
    <row r="38" spans="1:17" s="34" customFormat="1" hidden="1" outlineLevel="1" x14ac:dyDescent="0.3">
      <c r="A38" s="35"/>
      <c r="B38" s="10" t="str">
        <f>CONCATENATE("          ","6006", " - ","TEMPORARY PART TIME")</f>
        <v xml:space="preserve">          6006 - TEMPORARY PART TIME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SUM(OSRRefD21_1_5x)+IFERROR(SUM(OSRRefE21_1_5x),0)</f>
        <v>0</v>
      </c>
    </row>
    <row r="39" spans="1:17" s="34" customFormat="1" hidden="1" outlineLevel="1" x14ac:dyDescent="0.3">
      <c r="A39" s="35"/>
      <c r="B39" s="10" t="str">
        <f>CONCATENATE("          ","6007", " - ","STUDENT HOURLY")</f>
        <v xml:space="preserve">          6007 - STUDENT HOURLY</v>
      </c>
      <c r="C39" s="14"/>
      <c r="D39" s="2">
        <v>507.5</v>
      </c>
      <c r="E39" s="2">
        <v>1730.4</v>
      </c>
      <c r="F39" s="2">
        <v>1153.5999999999999</v>
      </c>
      <c r="G39" s="2">
        <v>1009.4</v>
      </c>
      <c r="H39" s="2">
        <v>865.2</v>
      </c>
      <c r="I39" s="2">
        <v>0</v>
      </c>
      <c r="J39" s="2">
        <v>1557.36</v>
      </c>
      <c r="K39" s="2">
        <v>1401.624</v>
      </c>
      <c r="L39" s="2">
        <v>934.41600000000005</v>
      </c>
      <c r="M39" s="2">
        <v>934.41600000000005</v>
      </c>
      <c r="N39" s="2">
        <v>934.41600000000005</v>
      </c>
      <c r="O39" s="2">
        <v>0</v>
      </c>
      <c r="P39" s="9"/>
      <c r="Q39" s="2">
        <f>SUM(OSRRefD21_1_6x)+IFERROR(SUM(OSRRefE21_1_6x),0)</f>
        <v>11028.331999999999</v>
      </c>
    </row>
    <row r="40" spans="1:17" s="34" customFormat="1" hidden="1" outlineLevel="1" x14ac:dyDescent="0.3">
      <c r="A40" s="35"/>
      <c r="B40" s="10" t="str">
        <f>CONCATENATE("          ","6008", " - ","STUDENT HOURLY-FICA EXEMPT")</f>
        <v xml:space="preserve">          6008 - STUDENT HOURLY-FICA EXEMPT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432.6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SUM(OSRRefD21_1_7x)+IFERROR(SUM(OSRRefE21_1_7x),0)</f>
        <v>432.6</v>
      </c>
    </row>
    <row r="41" spans="1:17" s="34" customFormat="1" hidden="1" outlineLevel="1" x14ac:dyDescent="0.3">
      <c r="A41" s="35"/>
      <c r="B41" s="10" t="str">
        <f>CONCATENATE("          ","6009", " - ","TEMPORARY-SEASONAL")</f>
        <v xml:space="preserve">          6009 - TEMPORARY-SEASONAL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SUM(OSRRefD21_1_8x)+IFERROR(SUM(OSRRefE21_1_8x),0)</f>
        <v>0</v>
      </c>
    </row>
    <row r="42" spans="1:17" s="34" customFormat="1" hidden="1" outlineLevel="1" x14ac:dyDescent="0.3">
      <c r="A42" s="35"/>
      <c r="B42" s="10" t="str">
        <f>CONCATENATE("          ","6010", " - ","GRATUITY")</f>
        <v xml:space="preserve">          6010 - GRATUITY</v>
      </c>
      <c r="C42" s="14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9"/>
      <c r="Q42" s="2">
        <f>SUM(OSRRefD21_1_9x)+IFERROR(SUM(OSRRefE21_1_9x),0)</f>
        <v>0</v>
      </c>
    </row>
    <row r="43" spans="1:17" s="34" customFormat="1" collapsed="1" x14ac:dyDescent="0.3">
      <c r="A43" s="35"/>
      <c r="B43" s="14" t="str">
        <f>CONCATENATE("     ","Advertising/Promo                                 ")</f>
        <v xml:space="preserve">     Advertising/Promo                                 </v>
      </c>
      <c r="C43" s="14"/>
      <c r="D43" s="1">
        <f>SUM(OSRRefD21_2x_0)</f>
        <v>0</v>
      </c>
      <c r="E43" s="1">
        <f>SUM(OSRRefE21_2x_0)</f>
        <v>50</v>
      </c>
      <c r="F43" s="1">
        <f>SUM(OSRRefE21_2x_1)</f>
        <v>50</v>
      </c>
      <c r="G43" s="1">
        <f>SUM(OSRRefE21_2x_2)</f>
        <v>50</v>
      </c>
      <c r="H43" s="1">
        <f>SUM(OSRRefE21_2x_3)</f>
        <v>50</v>
      </c>
      <c r="I43" s="1">
        <f>SUM(OSRRefE21_2x_4)</f>
        <v>50</v>
      </c>
      <c r="J43" s="1">
        <f>SUM(OSRRefE21_2x_5)</f>
        <v>50</v>
      </c>
      <c r="K43" s="1">
        <f>SUM(OSRRefE21_2x_6)</f>
        <v>50</v>
      </c>
      <c r="L43" s="1">
        <f>SUM(OSRRefE21_2x_7)</f>
        <v>50</v>
      </c>
      <c r="M43" s="1">
        <f>SUM(OSRRefE21_2x_8)</f>
        <v>50</v>
      </c>
      <c r="N43" s="1">
        <f>SUM(OSRRefE21_2x_9)</f>
        <v>50</v>
      </c>
      <c r="O43" s="1">
        <f>SUM(OSRRefE21_2x_10)</f>
        <v>50</v>
      </c>
      <c r="Q43" s="2">
        <f>SUM(OSRRefD20_2x)+IFERROR(SUM(OSRRefE20_2x),0)</f>
        <v>550</v>
      </c>
    </row>
    <row r="44" spans="1:17" s="34" customFormat="1" hidden="1" outlineLevel="1" x14ac:dyDescent="0.3">
      <c r="A44" s="35"/>
      <c r="B44" s="10" t="str">
        <f>CONCATENATE("          ","6362", " - ","ADVERTISING EXPENSE")</f>
        <v xml:space="preserve">          6362 - ADVERTISING EXPENSE</v>
      </c>
      <c r="C44" s="14"/>
      <c r="D44" s="2"/>
      <c r="E44" s="2">
        <v>50</v>
      </c>
      <c r="F44" s="2">
        <v>50</v>
      </c>
      <c r="G44" s="2">
        <v>50</v>
      </c>
      <c r="H44" s="2">
        <v>50</v>
      </c>
      <c r="I44" s="2">
        <v>50</v>
      </c>
      <c r="J44" s="2">
        <v>50</v>
      </c>
      <c r="K44" s="2">
        <v>50</v>
      </c>
      <c r="L44" s="2">
        <v>50</v>
      </c>
      <c r="M44" s="2">
        <v>50</v>
      </c>
      <c r="N44" s="2">
        <v>50</v>
      </c>
      <c r="O44" s="2">
        <v>50</v>
      </c>
      <c r="P44" s="9"/>
      <c r="Q44" s="2">
        <f>SUM(OSRRefD21_2_0x)+IFERROR(SUM(OSRRefE21_2_0x),0)</f>
        <v>550</v>
      </c>
    </row>
    <row r="45" spans="1:17" s="34" customFormat="1" collapsed="1" x14ac:dyDescent="0.3">
      <c r="A45" s="35"/>
      <c r="B45" s="14" t="str">
        <f>CONCATENATE("     ","Depreciation                                      ")</f>
        <v xml:space="preserve">     Depreciation                                      </v>
      </c>
      <c r="C45" s="14"/>
      <c r="D45" s="1">
        <f>SUM(OSRRefD21_3x_0)</f>
        <v>169.88</v>
      </c>
      <c r="E45" s="1">
        <f>SUM(OSRRefE21_3x_0)</f>
        <v>170</v>
      </c>
      <c r="F45" s="1">
        <f>SUM(OSRRefE21_3x_1)</f>
        <v>170</v>
      </c>
      <c r="G45" s="1">
        <f>SUM(OSRRefE21_3x_2)</f>
        <v>170</v>
      </c>
      <c r="H45" s="1">
        <f>SUM(OSRRefE21_3x_3)</f>
        <v>170</v>
      </c>
      <c r="I45" s="1">
        <f>SUM(OSRRefE21_3x_4)</f>
        <v>170</v>
      </c>
      <c r="J45" s="1">
        <f>SUM(OSRRefE21_3x_5)</f>
        <v>170</v>
      </c>
      <c r="K45" s="1">
        <f>SUM(OSRRefE21_3x_6)</f>
        <v>170</v>
      </c>
      <c r="L45" s="1">
        <f>SUM(OSRRefE21_3x_7)</f>
        <v>170</v>
      </c>
      <c r="M45" s="1">
        <f>SUM(OSRRefE21_3x_8)</f>
        <v>170</v>
      </c>
      <c r="N45" s="1">
        <f>SUM(OSRRefE21_3x_9)</f>
        <v>170</v>
      </c>
      <c r="O45" s="1">
        <f>SUM(OSRRefE21_3x_10)</f>
        <v>170</v>
      </c>
      <c r="Q45" s="2">
        <f>SUM(OSRRefD20_3x)+IFERROR(SUM(OSRRefE20_3x),0)</f>
        <v>2039.88</v>
      </c>
    </row>
    <row r="46" spans="1:17" s="34" customFormat="1" hidden="1" outlineLevel="1" x14ac:dyDescent="0.3">
      <c r="A46" s="35"/>
      <c r="B46" s="10" t="str">
        <f>CONCATENATE("          ","6322", " - ","EQUIPMENT DEPRECIATION EXPENSE")</f>
        <v xml:space="preserve">          6322 - EQUIPMENT DEPRECIATION EXPENSE</v>
      </c>
      <c r="C46" s="14"/>
      <c r="D46" s="2">
        <v>169.88</v>
      </c>
      <c r="E46" s="2">
        <v>170</v>
      </c>
      <c r="F46" s="2">
        <v>170</v>
      </c>
      <c r="G46" s="2">
        <v>170</v>
      </c>
      <c r="H46" s="2">
        <v>170</v>
      </c>
      <c r="I46" s="2">
        <v>170</v>
      </c>
      <c r="J46" s="2">
        <v>170</v>
      </c>
      <c r="K46" s="2">
        <v>170</v>
      </c>
      <c r="L46" s="2">
        <v>170</v>
      </c>
      <c r="M46" s="2">
        <v>170</v>
      </c>
      <c r="N46" s="2">
        <v>170</v>
      </c>
      <c r="O46" s="2">
        <v>170</v>
      </c>
      <c r="P46" s="9"/>
      <c r="Q46" s="2">
        <f>SUM(OSRRefD21_3_0x)+IFERROR(SUM(OSRRefE21_3_0x),0)</f>
        <v>2039.88</v>
      </c>
    </row>
    <row r="47" spans="1:17" s="34" customFormat="1" collapsed="1" x14ac:dyDescent="0.3">
      <c r="A47" s="35"/>
      <c r="B47" s="14" t="str">
        <f>CONCATENATE("     ","Equipment Rental                                  ")</f>
        <v xml:space="preserve">     Equipment Rental                                  </v>
      </c>
      <c r="C47" s="14"/>
      <c r="D47" s="1">
        <f>SUM(OSRRefD21_4x_0)</f>
        <v>1205.6400000000001</v>
      </c>
      <c r="E47" s="1">
        <f>SUM(OSRRefE21_4x_0)</f>
        <v>1200</v>
      </c>
      <c r="F47" s="1">
        <f>SUM(OSRRefE21_4x_1)</f>
        <v>1300</v>
      </c>
      <c r="G47" s="1">
        <f>SUM(OSRRefE21_4x_2)</f>
        <v>1300</v>
      </c>
      <c r="H47" s="1">
        <f>SUM(OSRRefE21_4x_3)</f>
        <v>1300</v>
      </c>
      <c r="I47" s="1">
        <f>SUM(OSRRefE21_4x_4)</f>
        <v>1300</v>
      </c>
      <c r="J47" s="1">
        <f>SUM(OSRRefE21_4x_5)</f>
        <v>1300</v>
      </c>
      <c r="K47" s="1">
        <f>SUM(OSRRefE21_4x_6)</f>
        <v>1300</v>
      </c>
      <c r="L47" s="1">
        <f>SUM(OSRRefE21_4x_7)</f>
        <v>1300</v>
      </c>
      <c r="M47" s="1">
        <f>SUM(OSRRefE21_4x_8)</f>
        <v>1300</v>
      </c>
      <c r="N47" s="1">
        <f>SUM(OSRRefE21_4x_9)</f>
        <v>1300</v>
      </c>
      <c r="O47" s="1">
        <f>SUM(OSRRefE21_4x_10)</f>
        <v>1300</v>
      </c>
      <c r="Q47" s="2">
        <f>SUM(OSRRefD20_4x)+IFERROR(SUM(OSRRefE20_4x),0)</f>
        <v>15405.64</v>
      </c>
    </row>
    <row r="48" spans="1:17" s="34" customFormat="1" hidden="1" outlineLevel="1" x14ac:dyDescent="0.3">
      <c r="A48" s="35"/>
      <c r="B48" s="10" t="str">
        <f>CONCATENATE("          ","6351", " - ","EQUIPMENT RENTAL")</f>
        <v xml:space="preserve">          6351 - EQUIPMENT RENTAL</v>
      </c>
      <c r="C48" s="14"/>
      <c r="D48" s="2">
        <v>1205.6400000000001</v>
      </c>
      <c r="E48" s="2">
        <v>1200</v>
      </c>
      <c r="F48" s="2">
        <v>1300</v>
      </c>
      <c r="G48" s="2">
        <v>1300</v>
      </c>
      <c r="H48" s="2">
        <v>1300</v>
      </c>
      <c r="I48" s="2">
        <v>1300</v>
      </c>
      <c r="J48" s="2">
        <v>1300</v>
      </c>
      <c r="K48" s="2">
        <v>1300</v>
      </c>
      <c r="L48" s="2">
        <v>1300</v>
      </c>
      <c r="M48" s="2">
        <v>1300</v>
      </c>
      <c r="N48" s="2">
        <v>1300</v>
      </c>
      <c r="O48" s="2">
        <v>1300</v>
      </c>
      <c r="P48" s="9"/>
      <c r="Q48" s="2">
        <f>SUM(OSRRefD21_4_0x)+IFERROR(SUM(OSRRefE21_4_0x),0)</f>
        <v>15405.64</v>
      </c>
    </row>
    <row r="49" spans="1:17" s="34" customFormat="1" collapsed="1" x14ac:dyDescent="0.3">
      <c r="A49" s="35"/>
      <c r="B49" s="14" t="str">
        <f>CONCATENATE("     ","Freight out/Postage                               ")</f>
        <v xml:space="preserve">     Freight out/Postage                               </v>
      </c>
      <c r="C49" s="14"/>
      <c r="D49" s="1">
        <f>SUM(OSRRefD21_5x_0)</f>
        <v>2283.8600000000006</v>
      </c>
      <c r="E49" s="1">
        <f>SUM(OSRRefE21_5x_0)</f>
        <v>-43200</v>
      </c>
      <c r="F49" s="1">
        <f>SUM(OSRRefE21_5x_1)</f>
        <v>-11100</v>
      </c>
      <c r="G49" s="1">
        <f>SUM(OSRRefE21_5x_2)</f>
        <v>43300</v>
      </c>
      <c r="H49" s="1">
        <f>SUM(OSRRefE21_5x_3)</f>
        <v>7500</v>
      </c>
      <c r="I49" s="1">
        <f>SUM(OSRRefE21_5x_4)</f>
        <v>-1700</v>
      </c>
      <c r="J49" s="1">
        <f>SUM(OSRRefE21_5x_5)</f>
        <v>-26500</v>
      </c>
      <c r="K49" s="1">
        <f>SUM(OSRRefE21_5x_6)</f>
        <v>0</v>
      </c>
      <c r="L49" s="1">
        <f>SUM(OSRRefE21_5x_7)</f>
        <v>0</v>
      </c>
      <c r="M49" s="1">
        <f>SUM(OSRRefE21_5x_8)</f>
        <v>-3000</v>
      </c>
      <c r="N49" s="1">
        <f>SUM(OSRRefE21_5x_9)</f>
        <v>-3000</v>
      </c>
      <c r="O49" s="1">
        <f>SUM(OSRRefE21_5x_10)</f>
        <v>-3000</v>
      </c>
      <c r="Q49" s="2">
        <f>SUM(OSRRefD20_5x)+IFERROR(SUM(OSRRefE20_5x),0)</f>
        <v>-38416.14</v>
      </c>
    </row>
    <row r="50" spans="1:17" s="34" customFormat="1" hidden="1" outlineLevel="1" x14ac:dyDescent="0.3">
      <c r="A50" s="35"/>
      <c r="B50" s="10" t="str">
        <f>CONCATENATE("          ","6305", " - ","FREIGHT OUT")</f>
        <v xml:space="preserve">          6305 - FREIGHT OUT</v>
      </c>
      <c r="C50" s="14"/>
      <c r="D50" s="2">
        <v>9911.1200000000008</v>
      </c>
      <c r="E50" s="2">
        <v>6800</v>
      </c>
      <c r="F50" s="2">
        <v>500</v>
      </c>
      <c r="G50" s="2">
        <v>55000</v>
      </c>
      <c r="H50" s="2">
        <v>12000</v>
      </c>
      <c r="I50" s="2">
        <v>8000</v>
      </c>
      <c r="J50" s="2">
        <v>15000</v>
      </c>
      <c r="K50" s="2">
        <v>22000</v>
      </c>
      <c r="L50" s="2">
        <v>6000</v>
      </c>
      <c r="M50" s="2">
        <v>1500</v>
      </c>
      <c r="N50" s="2">
        <v>1500</v>
      </c>
      <c r="O50" s="2">
        <v>1500</v>
      </c>
      <c r="P50" s="9"/>
      <c r="Q50" s="2">
        <f>SUM(OSRRefD21_5_0x)+IFERROR(SUM(OSRRefE21_5_0x),0)</f>
        <v>139711.12</v>
      </c>
    </row>
    <row r="51" spans="1:17" s="34" customFormat="1" hidden="1" outlineLevel="1" x14ac:dyDescent="0.3">
      <c r="A51" s="35"/>
      <c r="B51" s="10" t="str">
        <f>CONCATENATE("          ","6307", " - ","POSTAGE")</f>
        <v xml:space="preserve">          6307 - POSTAGE</v>
      </c>
      <c r="C51" s="14"/>
      <c r="D51" s="2">
        <v>-7627.26</v>
      </c>
      <c r="E51" s="2">
        <v>-50000</v>
      </c>
      <c r="F51" s="2">
        <v>-11600</v>
      </c>
      <c r="G51" s="2">
        <v>-11700</v>
      </c>
      <c r="H51" s="2">
        <v>-4500</v>
      </c>
      <c r="I51" s="2">
        <v>-9700</v>
      </c>
      <c r="J51" s="2">
        <v>-41500</v>
      </c>
      <c r="K51" s="2">
        <v>-22000</v>
      </c>
      <c r="L51" s="2">
        <v>-6000</v>
      </c>
      <c r="M51" s="2">
        <v>-4500</v>
      </c>
      <c r="N51" s="2">
        <v>-4500</v>
      </c>
      <c r="O51" s="2">
        <v>-4500</v>
      </c>
      <c r="P51" s="9"/>
      <c r="Q51" s="2">
        <f>SUM(OSRRefD21_5_1x)+IFERROR(SUM(OSRRefE21_5_1x),0)</f>
        <v>-178127.26</v>
      </c>
    </row>
    <row r="52" spans="1:17" s="34" customFormat="1" collapsed="1" x14ac:dyDescent="0.3">
      <c r="A52" s="35"/>
      <c r="B52" s="14" t="str">
        <f>CONCATENATE("     ","Repair and Maintenance                            ")</f>
        <v xml:space="preserve">     Repair and Maintenance                            </v>
      </c>
      <c r="C52" s="14"/>
      <c r="D52" s="1">
        <f>SUM(OSRRefD21_6x_0)</f>
        <v>2345.98</v>
      </c>
      <c r="E52" s="1">
        <f>SUM(OSRRefE21_6x_0)</f>
        <v>4000</v>
      </c>
      <c r="F52" s="1">
        <f>SUM(OSRRefE21_6x_1)</f>
        <v>8000</v>
      </c>
      <c r="G52" s="1">
        <f>SUM(OSRRefE21_6x_2)</f>
        <v>4600</v>
      </c>
      <c r="H52" s="1">
        <f>SUM(OSRRefE21_6x_3)</f>
        <v>5000</v>
      </c>
      <c r="I52" s="1">
        <f>SUM(OSRRefE21_6x_4)</f>
        <v>500</v>
      </c>
      <c r="J52" s="1">
        <f>SUM(OSRRefE21_6x_5)</f>
        <v>5600</v>
      </c>
      <c r="K52" s="1">
        <f>SUM(OSRRefE21_6x_6)</f>
        <v>10000</v>
      </c>
      <c r="L52" s="1">
        <f>SUM(OSRRefE21_6x_7)</f>
        <v>5600</v>
      </c>
      <c r="M52" s="1">
        <f>SUM(OSRRefE21_6x_8)</f>
        <v>5600</v>
      </c>
      <c r="N52" s="1">
        <f>SUM(OSRRefE21_6x_9)</f>
        <v>5600</v>
      </c>
      <c r="O52" s="1">
        <f>SUM(OSRRefE21_6x_10)</f>
        <v>5600</v>
      </c>
      <c r="Q52" s="2">
        <f>SUM(OSRRefD20_6x)+IFERROR(SUM(OSRRefE20_6x),0)</f>
        <v>62445.98</v>
      </c>
    </row>
    <row r="53" spans="1:17" s="34" customFormat="1" hidden="1" outlineLevel="1" x14ac:dyDescent="0.3">
      <c r="A53" s="35"/>
      <c r="B53" s="10" t="str">
        <f>CONCATENATE("          ","6371", " - ","COMPUTER SOFTWARE MAINTENANCE")</f>
        <v xml:space="preserve">          6371 - COMPUTER SOFTWARE MAINTENANCE</v>
      </c>
      <c r="C53" s="14"/>
      <c r="D53" s="2"/>
      <c r="E53" s="2"/>
      <c r="F53" s="2"/>
      <c r="G53" s="2">
        <v>100</v>
      </c>
      <c r="H53" s="2"/>
      <c r="I53" s="2"/>
      <c r="J53" s="2"/>
      <c r="K53" s="2"/>
      <c r="L53" s="2"/>
      <c r="M53" s="2"/>
      <c r="N53" s="2"/>
      <c r="O53" s="2"/>
      <c r="P53" s="9"/>
      <c r="Q53" s="2">
        <f>SUM(OSRRefD21_6_0x)+IFERROR(SUM(OSRRefE21_6_0x),0)</f>
        <v>100</v>
      </c>
    </row>
    <row r="54" spans="1:17" s="34" customFormat="1" hidden="1" outlineLevel="1" x14ac:dyDescent="0.3">
      <c r="A54" s="35"/>
      <c r="B54" s="10" t="str">
        <f>CONCATENATE("          ","6373", " - ","MAINTENANCE CONTRACTS")</f>
        <v xml:space="preserve">          6373 - MAINTENANCE CONTRACTS</v>
      </c>
      <c r="C54" s="14"/>
      <c r="D54" s="2">
        <v>625.34</v>
      </c>
      <c r="E54" s="2">
        <v>4000</v>
      </c>
      <c r="F54" s="2">
        <v>8000</v>
      </c>
      <c r="G54" s="2">
        <v>4500</v>
      </c>
      <c r="H54" s="2">
        <v>5000</v>
      </c>
      <c r="I54" s="2">
        <v>500</v>
      </c>
      <c r="J54" s="2">
        <v>5600</v>
      </c>
      <c r="K54" s="2">
        <v>10000</v>
      </c>
      <c r="L54" s="2">
        <v>5600</v>
      </c>
      <c r="M54" s="2">
        <v>5600</v>
      </c>
      <c r="N54" s="2">
        <v>5600</v>
      </c>
      <c r="O54" s="2">
        <v>5600</v>
      </c>
      <c r="P54" s="9"/>
      <c r="Q54" s="2">
        <f>SUM(OSRRefD21_6_1x)+IFERROR(SUM(OSRRefE21_6_1x),0)</f>
        <v>60625.34</v>
      </c>
    </row>
    <row r="55" spans="1:17" s="34" customFormat="1" hidden="1" outlineLevel="1" x14ac:dyDescent="0.3">
      <c r="A55" s="35"/>
      <c r="B55" s="10" t="str">
        <f>CONCATENATE("          ","6375", " - ","OUTSIDE REPAIRS &amp; MAINTENANCE")</f>
        <v xml:space="preserve">          6375 - OUTSIDE REPAIRS &amp; MAINTENANCE</v>
      </c>
      <c r="C55" s="14"/>
      <c r="D55" s="2">
        <v>1720.64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2">
        <f>SUM(OSRRefD21_6_2x)+IFERROR(SUM(OSRRefE21_6_2x),0)</f>
        <v>1720.64</v>
      </c>
    </row>
    <row r="56" spans="1:17" s="34" customFormat="1" collapsed="1" x14ac:dyDescent="0.3">
      <c r="A56" s="35"/>
      <c r="B56" s="14" t="str">
        <f>CONCATENATE("     ","Royalty &amp; Commissions                             ")</f>
        <v xml:space="preserve">     Royalty &amp; Commissions                             </v>
      </c>
      <c r="C56" s="14"/>
      <c r="D56" s="1">
        <f>SUM(OSRRefD21_7x_0)</f>
        <v>6.06</v>
      </c>
      <c r="E56" s="1">
        <f>SUM(OSRRefE21_7x_0)</f>
        <v>3000</v>
      </c>
      <c r="F56" s="1">
        <f>SUM(OSRRefE21_7x_1)</f>
        <v>500</v>
      </c>
      <c r="G56" s="1">
        <f>SUM(OSRRefE21_7x_2)</f>
        <v>200</v>
      </c>
      <c r="H56" s="1">
        <f>SUM(OSRRefE21_7x_3)</f>
        <v>6000</v>
      </c>
      <c r="I56" s="1">
        <f>SUM(OSRRefE21_7x_4)</f>
        <v>3000</v>
      </c>
      <c r="J56" s="1">
        <f>SUM(OSRRefE21_7x_5)</f>
        <v>10000</v>
      </c>
      <c r="K56" s="1">
        <f>SUM(OSRRefE21_7x_6)</f>
        <v>4000</v>
      </c>
      <c r="L56" s="1">
        <f>SUM(OSRRefE21_7x_7)</f>
        <v>600</v>
      </c>
      <c r="M56" s="1">
        <f>SUM(OSRRefE21_7x_8)</f>
        <v>700</v>
      </c>
      <c r="N56" s="1">
        <f>SUM(OSRRefE21_7x_9)</f>
        <v>6500</v>
      </c>
      <c r="O56" s="1">
        <f>SUM(OSRRefE21_7x_10)</f>
        <v>6500</v>
      </c>
      <c r="Q56" s="2">
        <f>SUM(OSRRefD20_7x)+IFERROR(SUM(OSRRefE20_7x),0)</f>
        <v>41006.06</v>
      </c>
    </row>
    <row r="57" spans="1:17" s="34" customFormat="1" hidden="1" outlineLevel="1" x14ac:dyDescent="0.3">
      <c r="A57" s="35"/>
      <c r="B57" s="10" t="str">
        <f>CONCATENATE("          ","6259", " - ","ROYALTY &amp; COMMISSIONS")</f>
        <v xml:space="preserve">          6259 - ROYALTY &amp; COMMISSIONS</v>
      </c>
      <c r="C57" s="14"/>
      <c r="D57" s="2">
        <v>6.06</v>
      </c>
      <c r="E57" s="2">
        <v>3000</v>
      </c>
      <c r="F57" s="2">
        <v>500</v>
      </c>
      <c r="G57" s="2">
        <v>200</v>
      </c>
      <c r="H57" s="2">
        <v>6000</v>
      </c>
      <c r="I57" s="2">
        <v>3000</v>
      </c>
      <c r="J57" s="2">
        <v>10000</v>
      </c>
      <c r="K57" s="2">
        <v>4000</v>
      </c>
      <c r="L57" s="2">
        <v>600</v>
      </c>
      <c r="M57" s="2">
        <v>700</v>
      </c>
      <c r="N57" s="2">
        <v>6500</v>
      </c>
      <c r="O57" s="2">
        <v>6500</v>
      </c>
      <c r="P57" s="9"/>
      <c r="Q57" s="2">
        <f>SUM(OSRRefD21_7_0x)+IFERROR(SUM(OSRRefE21_7_0x),0)</f>
        <v>41006.06</v>
      </c>
    </row>
    <row r="58" spans="1:17" s="34" customFormat="1" collapsed="1" x14ac:dyDescent="0.3">
      <c r="A58" s="35"/>
      <c r="B58" s="14" t="str">
        <f>CONCATENATE("     ","Supplies                                          ")</f>
        <v xml:space="preserve">     Supplies                                          </v>
      </c>
      <c r="C58" s="14"/>
      <c r="D58" s="1">
        <f>SUM(OSRRefD21_8x_0)</f>
        <v>3116.79</v>
      </c>
      <c r="E58" s="1">
        <f>SUM(OSRRefE21_8x_0)</f>
        <v>930</v>
      </c>
      <c r="F58" s="1">
        <f>SUM(OSRRefE21_8x_1)</f>
        <v>9200</v>
      </c>
      <c r="G58" s="1">
        <f>SUM(OSRRefE21_8x_2)</f>
        <v>4050</v>
      </c>
      <c r="H58" s="1">
        <f>SUM(OSRRefE21_8x_3)</f>
        <v>1680</v>
      </c>
      <c r="I58" s="1">
        <f>SUM(OSRRefE21_8x_4)</f>
        <v>1510</v>
      </c>
      <c r="J58" s="1">
        <f>SUM(OSRRefE21_8x_5)</f>
        <v>11750</v>
      </c>
      <c r="K58" s="1">
        <f>SUM(OSRRefE21_8x_6)</f>
        <v>5950</v>
      </c>
      <c r="L58" s="1">
        <f>SUM(OSRRefE21_8x_7)</f>
        <v>1350</v>
      </c>
      <c r="M58" s="1">
        <f>SUM(OSRRefE21_8x_8)</f>
        <v>4600</v>
      </c>
      <c r="N58" s="1">
        <f>SUM(OSRRefE21_8x_9)</f>
        <v>5500</v>
      </c>
      <c r="O58" s="1">
        <f>SUM(OSRRefE21_8x_10)</f>
        <v>1350</v>
      </c>
      <c r="Q58" s="2">
        <f>SUM(OSRRefD20_8x)+IFERROR(SUM(OSRRefE20_8x),0)</f>
        <v>50986.79</v>
      </c>
    </row>
    <row r="59" spans="1:17" s="34" customFormat="1" hidden="1" outlineLevel="1" x14ac:dyDescent="0.3">
      <c r="A59" s="35"/>
      <c r="B59" s="10" t="str">
        <f>CONCATENATE("          ","6241", " - ","OFFICE EXPENSE")</f>
        <v xml:space="preserve">          6241 - OFFICE EXPENSE</v>
      </c>
      <c r="C59" s="14"/>
      <c r="D59" s="2">
        <v>153.85</v>
      </c>
      <c r="E59" s="2"/>
      <c r="F59" s="2"/>
      <c r="G59" s="2"/>
      <c r="H59" s="2"/>
      <c r="I59" s="2"/>
      <c r="J59" s="2"/>
      <c r="K59" s="2">
        <v>50</v>
      </c>
      <c r="L59" s="2"/>
      <c r="M59" s="2"/>
      <c r="N59" s="2"/>
      <c r="O59" s="2">
        <v>50</v>
      </c>
      <c r="P59" s="9"/>
      <c r="Q59" s="2">
        <f>SUM(OSRRefD21_8_0x)+IFERROR(SUM(OSRRefE21_8_0x),0)</f>
        <v>253.85</v>
      </c>
    </row>
    <row r="60" spans="1:17" s="34" customFormat="1" hidden="1" outlineLevel="1" x14ac:dyDescent="0.3">
      <c r="A60" s="35"/>
      <c r="B60" s="10" t="str">
        <f>CONCATENATE("          ","6243", " - ","PAPER SUPPLIES")</f>
        <v xml:space="preserve">          6243 - PAPER SUPPLIES</v>
      </c>
      <c r="C60" s="14"/>
      <c r="D60" s="2">
        <v>1649.24</v>
      </c>
      <c r="E60" s="2">
        <v>900</v>
      </c>
      <c r="F60" s="2">
        <v>7500</v>
      </c>
      <c r="G60" s="2">
        <v>3500</v>
      </c>
      <c r="H60" s="2">
        <v>1600</v>
      </c>
      <c r="I60" s="2">
        <v>1200</v>
      </c>
      <c r="J60" s="2">
        <v>7500</v>
      </c>
      <c r="K60" s="2">
        <v>3800</v>
      </c>
      <c r="L60" s="2">
        <v>150</v>
      </c>
      <c r="M60" s="2">
        <v>4200</v>
      </c>
      <c r="N60" s="2">
        <v>2800</v>
      </c>
      <c r="O60" s="2">
        <v>1250</v>
      </c>
      <c r="P60" s="9"/>
      <c r="Q60" s="2">
        <f>SUM(OSRRefD21_8_1x)+IFERROR(SUM(OSRRefE21_8_1x),0)</f>
        <v>36049.24</v>
      </c>
    </row>
    <row r="61" spans="1:17" s="34" customFormat="1" hidden="1" outlineLevel="1" x14ac:dyDescent="0.3">
      <c r="A61" s="35"/>
      <c r="B61" s="10" t="str">
        <f>CONCATENATE("          ","6245", " - ","PRINTING")</f>
        <v xml:space="preserve">          6245 - PRINTING</v>
      </c>
      <c r="C61" s="14"/>
      <c r="D61" s="2">
        <v>251.64</v>
      </c>
      <c r="E61" s="2">
        <v>30</v>
      </c>
      <c r="F61" s="2">
        <v>1600</v>
      </c>
      <c r="G61" s="2">
        <v>250</v>
      </c>
      <c r="H61" s="2">
        <v>80</v>
      </c>
      <c r="I61" s="2">
        <v>160</v>
      </c>
      <c r="J61" s="2">
        <v>3750</v>
      </c>
      <c r="K61" s="2">
        <v>1600</v>
      </c>
      <c r="L61" s="2">
        <v>500</v>
      </c>
      <c r="M61" s="2">
        <v>50</v>
      </c>
      <c r="N61" s="2">
        <v>2300</v>
      </c>
      <c r="O61" s="2">
        <v>50</v>
      </c>
      <c r="P61" s="9"/>
      <c r="Q61" s="2">
        <f>SUM(OSRRefD21_8_2x)+IFERROR(SUM(OSRRefE21_8_2x),0)</f>
        <v>10621.64</v>
      </c>
    </row>
    <row r="62" spans="1:17" s="34" customFormat="1" hidden="1" outlineLevel="1" x14ac:dyDescent="0.3">
      <c r="A62" s="35"/>
      <c r="B62" s="10" t="str">
        <f>CONCATENATE("          ","6247", " - ","STORE SUPPLIES")</f>
        <v xml:space="preserve">          6247 - STORE SUPPLIES</v>
      </c>
      <c r="C62" s="14"/>
      <c r="D62" s="2">
        <v>1062.06</v>
      </c>
      <c r="E62" s="2">
        <v>0</v>
      </c>
      <c r="F62" s="2">
        <v>100</v>
      </c>
      <c r="G62" s="2">
        <v>300</v>
      </c>
      <c r="H62" s="2">
        <v>0</v>
      </c>
      <c r="I62" s="2">
        <v>150</v>
      </c>
      <c r="J62" s="2">
        <v>500</v>
      </c>
      <c r="K62" s="2">
        <v>500</v>
      </c>
      <c r="L62" s="2">
        <v>700</v>
      </c>
      <c r="M62" s="2">
        <v>350</v>
      </c>
      <c r="N62" s="2">
        <v>400</v>
      </c>
      <c r="O62" s="2"/>
      <c r="P62" s="9"/>
      <c r="Q62" s="2">
        <f>SUM(OSRRefD21_8_3x)+IFERROR(SUM(OSRRefE21_8_3x),0)</f>
        <v>4062.06</v>
      </c>
    </row>
    <row r="63" spans="1:17" s="34" customFormat="1" collapsed="1" x14ac:dyDescent="0.3">
      <c r="A63" s="35"/>
      <c r="B63" s="14" t="str">
        <f>CONCATENATE("     ","Telephone/Data Lines                              ")</f>
        <v xml:space="preserve">     Telephone/Data Lines                              </v>
      </c>
      <c r="C63" s="14"/>
      <c r="D63" s="1">
        <f>SUM(OSRRefD21_9x_0)</f>
        <v>167.8</v>
      </c>
      <c r="E63" s="1">
        <f>SUM(OSRRefE21_9x_0)</f>
        <v>175</v>
      </c>
      <c r="F63" s="1">
        <f>SUM(OSRRefE21_9x_1)</f>
        <v>175</v>
      </c>
      <c r="G63" s="1">
        <f>SUM(OSRRefE21_9x_2)</f>
        <v>175</v>
      </c>
      <c r="H63" s="1">
        <f>SUM(OSRRefE21_9x_3)</f>
        <v>175</v>
      </c>
      <c r="I63" s="1">
        <f>SUM(OSRRefE21_9x_4)</f>
        <v>175</v>
      </c>
      <c r="J63" s="1">
        <f>SUM(OSRRefE21_9x_5)</f>
        <v>175</v>
      </c>
      <c r="K63" s="1">
        <f>SUM(OSRRefE21_9x_6)</f>
        <v>175</v>
      </c>
      <c r="L63" s="1">
        <f>SUM(OSRRefE21_9x_7)</f>
        <v>175</v>
      </c>
      <c r="M63" s="1">
        <f>SUM(OSRRefE21_9x_8)</f>
        <v>175</v>
      </c>
      <c r="N63" s="1">
        <f>SUM(OSRRefE21_9x_9)</f>
        <v>175</v>
      </c>
      <c r="O63" s="1">
        <f>SUM(OSRRefE21_9x_10)</f>
        <v>175</v>
      </c>
      <c r="Q63" s="2">
        <f>SUM(OSRRefD20_9x)+IFERROR(SUM(OSRRefE20_9x),0)</f>
        <v>2092.8000000000002</v>
      </c>
    </row>
    <row r="64" spans="1:17" s="34" customFormat="1" hidden="1" outlineLevel="1" x14ac:dyDescent="0.3">
      <c r="A64" s="35"/>
      <c r="B64" s="10" t="str">
        <f>CONCATENATE("          ","6309", " - ","TELEPHONE")</f>
        <v xml:space="preserve">          6309 - TELEPHONE</v>
      </c>
      <c r="C64" s="14"/>
      <c r="D64" s="2">
        <v>167.8</v>
      </c>
      <c r="E64" s="2">
        <v>175</v>
      </c>
      <c r="F64" s="2">
        <v>175</v>
      </c>
      <c r="G64" s="2">
        <v>175</v>
      </c>
      <c r="H64" s="2">
        <v>175</v>
      </c>
      <c r="I64" s="2">
        <v>175</v>
      </c>
      <c r="J64" s="2">
        <v>175</v>
      </c>
      <c r="K64" s="2">
        <v>175</v>
      </c>
      <c r="L64" s="2">
        <v>175</v>
      </c>
      <c r="M64" s="2">
        <v>175</v>
      </c>
      <c r="N64" s="2">
        <v>175</v>
      </c>
      <c r="O64" s="2">
        <v>175</v>
      </c>
      <c r="P64" s="9"/>
      <c r="Q64" s="2">
        <f>SUM(OSRRefD21_9_0x)+IFERROR(SUM(OSRRefE21_9_0x),0)</f>
        <v>2092.8000000000002</v>
      </c>
    </row>
    <row r="65" spans="1:17" s="28" customFormat="1" x14ac:dyDescent="0.3">
      <c r="A65" s="21"/>
      <c r="B65" s="21"/>
      <c r="C65" s="2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</row>
    <row r="66" spans="1:17" s="9" customFormat="1" x14ac:dyDescent="0.3">
      <c r="A66" s="22"/>
      <c r="B66" s="16" t="s">
        <v>293</v>
      </c>
      <c r="C66" s="23"/>
      <c r="D66" s="3">
        <f>0</f>
        <v>0</v>
      </c>
      <c r="E66" s="3">
        <v>6782</v>
      </c>
      <c r="F66" s="3">
        <v>6782</v>
      </c>
      <c r="G66" s="3">
        <v>6782</v>
      </c>
      <c r="H66" s="3">
        <v>6782</v>
      </c>
      <c r="I66" s="3"/>
      <c r="J66" s="3"/>
      <c r="K66" s="3"/>
      <c r="L66" s="3"/>
      <c r="M66" s="3"/>
      <c r="N66" s="3"/>
      <c r="O66" s="3"/>
      <c r="Q66" s="2">
        <f>SUM(OSRRefD23_0x)+IFERROR(SUM(OSRRefE23_0x),0)</f>
        <v>27128</v>
      </c>
    </row>
    <row r="67" spans="1:17" x14ac:dyDescent="0.3">
      <c r="A67" s="5"/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</row>
    <row r="68" spans="1:17" s="15" customFormat="1" x14ac:dyDescent="0.3">
      <c r="A68" s="6"/>
      <c r="B68" s="17" t="s">
        <v>276</v>
      </c>
      <c r="C68" s="17"/>
      <c r="D68" s="8">
        <f t="shared" ref="D68:O68" si="2">IFERROR(+D18-D21+D66, 0)</f>
        <v>-35127.08</v>
      </c>
      <c r="E68" s="8">
        <f t="shared" si="2"/>
        <v>59850.868195769217</v>
      </c>
      <c r="F68" s="8">
        <f t="shared" si="2"/>
        <v>7250.9977380769342</v>
      </c>
      <c r="G68" s="8">
        <f t="shared" si="2"/>
        <v>-40280.775299519242</v>
      </c>
      <c r="H68" s="8">
        <f t="shared" si="2"/>
        <v>-13132.057119615391</v>
      </c>
      <c r="I68" s="8">
        <f t="shared" si="2"/>
        <v>-259.63381961539199</v>
      </c>
      <c r="J68" s="8">
        <f t="shared" si="2"/>
        <v>67700.698120480753</v>
      </c>
      <c r="K68" s="8">
        <f t="shared" si="2"/>
        <v>8992.3436763846112</v>
      </c>
      <c r="L68" s="8">
        <f t="shared" si="2"/>
        <v>22613.395024384608</v>
      </c>
      <c r="M68" s="8">
        <f t="shared" si="2"/>
        <v>13046.269044480752</v>
      </c>
      <c r="N68" s="8">
        <f t="shared" si="2"/>
        <v>15963.395024384608</v>
      </c>
      <c r="O68" s="8">
        <f t="shared" si="2"/>
        <v>-18689.503919615392</v>
      </c>
      <c r="Q68" s="8">
        <f>IFERROR(+Q18-Q21+Q66, 0)</f>
        <v>87928.916665596131</v>
      </c>
    </row>
    <row r="69" spans="1:17" s="6" customFormat="1" x14ac:dyDescent="0.3">
      <c r="B69" s="16"/>
      <c r="C69" s="16"/>
      <c r="D69" s="4">
        <f t="shared" ref="D69:O69" si="3">IFERROR(D68/D10, 0)</f>
        <v>-13.874350264633859</v>
      </c>
      <c r="E69" s="4">
        <f t="shared" si="3"/>
        <v>1.3389455972207878</v>
      </c>
      <c r="F69" s="4">
        <f t="shared" si="3"/>
        <v>0.25989239204576825</v>
      </c>
      <c r="G69" s="4">
        <f t="shared" si="3"/>
        <v>-1.7628348052306013</v>
      </c>
      <c r="H69" s="4">
        <f t="shared" si="3"/>
        <v>-0.8611184996469109</v>
      </c>
      <c r="I69" s="4">
        <f t="shared" si="3"/>
        <v>-1.464375745151675E-2</v>
      </c>
      <c r="J69" s="4">
        <f t="shared" si="3"/>
        <v>0.76068200135371633</v>
      </c>
      <c r="K69" s="4">
        <f t="shared" si="3"/>
        <v>0.19296874842027062</v>
      </c>
      <c r="L69" s="4">
        <f t="shared" si="3"/>
        <v>0.48526598764773837</v>
      </c>
      <c r="M69" s="4">
        <f t="shared" si="3"/>
        <v>0.32615672611201879</v>
      </c>
      <c r="N69" s="4">
        <f t="shared" si="3"/>
        <v>0.339646702646481</v>
      </c>
      <c r="O69" s="4">
        <f t="shared" si="3"/>
        <v>-3.3374114142170344</v>
      </c>
      <c r="P69" s="18"/>
      <c r="Q69" s="4">
        <f>IFERROR(Q68/Q10, 0)</f>
        <v>0.21670082463552787</v>
      </c>
    </row>
    <row r="70" spans="1:17" x14ac:dyDescent="0.3">
      <c r="A70" s="5"/>
      <c r="B70" s="6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1:17" s="15" customFormat="1" x14ac:dyDescent="0.3">
      <c r="A71" s="25"/>
      <c r="B71" s="6" t="s">
        <v>125</v>
      </c>
      <c r="C71" s="6"/>
      <c r="D71" s="3">
        <v>1169.68</v>
      </c>
      <c r="E71" s="3">
        <v>4331</v>
      </c>
      <c r="F71" s="3">
        <v>2868</v>
      </c>
      <c r="G71" s="3">
        <v>3110</v>
      </c>
      <c r="H71" s="3">
        <v>2890</v>
      </c>
      <c r="I71" s="3">
        <v>2801</v>
      </c>
      <c r="J71" s="3">
        <v>10604</v>
      </c>
      <c r="K71" s="3">
        <v>5026</v>
      </c>
      <c r="L71" s="3">
        <v>5551</v>
      </c>
      <c r="M71" s="3">
        <v>5307</v>
      </c>
      <c r="N71" s="3">
        <v>6161</v>
      </c>
      <c r="O71" s="3">
        <v>-3596</v>
      </c>
      <c r="Q71" s="2">
        <f>SUM(OSRRefD28_0x)+IFERROR(SUM(OSRRefE28_0x),0)</f>
        <v>46222.68</v>
      </c>
    </row>
    <row r="72" spans="1:17" x14ac:dyDescent="0.3">
      <c r="A72" s="5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ht="15" thickBot="1" x14ac:dyDescent="0.35">
      <c r="A73" s="6"/>
      <c r="B73" s="17" t="s">
        <v>124</v>
      </c>
      <c r="C73" s="17"/>
      <c r="D73" s="7">
        <f t="shared" ref="D73:O73" si="4">IFERROR(+D68-D71, 0)</f>
        <v>-36296.76</v>
      </c>
      <c r="E73" s="7">
        <f t="shared" si="4"/>
        <v>55519.868195769217</v>
      </c>
      <c r="F73" s="7">
        <f t="shared" si="4"/>
        <v>4382.9977380769342</v>
      </c>
      <c r="G73" s="7">
        <f t="shared" si="4"/>
        <v>-43390.775299519242</v>
      </c>
      <c r="H73" s="7">
        <f t="shared" si="4"/>
        <v>-16022.057119615391</v>
      </c>
      <c r="I73" s="7">
        <f t="shared" si="4"/>
        <v>-3060.633819615392</v>
      </c>
      <c r="J73" s="7">
        <f t="shared" si="4"/>
        <v>57096.698120480753</v>
      </c>
      <c r="K73" s="7">
        <f t="shared" si="4"/>
        <v>3966.3436763846112</v>
      </c>
      <c r="L73" s="7">
        <f t="shared" si="4"/>
        <v>17062.395024384608</v>
      </c>
      <c r="M73" s="7">
        <f t="shared" si="4"/>
        <v>7739.2690444807522</v>
      </c>
      <c r="N73" s="7">
        <f t="shared" si="4"/>
        <v>9802.3950243846084</v>
      </c>
      <c r="O73" s="7">
        <f t="shared" si="4"/>
        <v>-15093.503919615392</v>
      </c>
      <c r="Q73" s="7">
        <f>IFERROR(+Q68-Q71, 0)</f>
        <v>41706.23666559613</v>
      </c>
    </row>
    <row r="74" spans="1:17" ht="15" thickTop="1" x14ac:dyDescent="0.3">
      <c r="A74" s="5"/>
      <c r="B74" s="5"/>
      <c r="C74" s="5"/>
      <c r="D74" s="4">
        <f t="shared" ref="D74:O74" si="5">IFERROR(D73/D10, 0)</f>
        <v>-14.336345682913345</v>
      </c>
      <c r="E74" s="4">
        <f t="shared" si="5"/>
        <v>1.2420552169075887</v>
      </c>
      <c r="F74" s="4">
        <f t="shared" si="5"/>
        <v>0.15709669312103708</v>
      </c>
      <c r="G74" s="4">
        <f t="shared" si="5"/>
        <v>-1.8989398380533584</v>
      </c>
      <c r="H74" s="4">
        <f t="shared" si="5"/>
        <v>-1.0506266963682223</v>
      </c>
      <c r="I74" s="4">
        <f t="shared" si="5"/>
        <v>-0.17262458091457372</v>
      </c>
      <c r="J74" s="4">
        <f t="shared" si="5"/>
        <v>0.64153593393798602</v>
      </c>
      <c r="K74" s="4">
        <f t="shared" si="5"/>
        <v>8.5114671167051736E-2</v>
      </c>
      <c r="L74" s="4">
        <f t="shared" si="5"/>
        <v>0.36614581597391865</v>
      </c>
      <c r="M74" s="4">
        <f t="shared" si="5"/>
        <v>0.1934817261120188</v>
      </c>
      <c r="N74" s="4">
        <f t="shared" si="5"/>
        <v>0.20856159626350232</v>
      </c>
      <c r="O74" s="4">
        <f t="shared" si="5"/>
        <v>-2.695268557074177</v>
      </c>
      <c r="P74" s="18"/>
      <c r="Q74" s="4">
        <f>IFERROR(Q73/Q10, 0)</f>
        <v>0.10278502477462426</v>
      </c>
    </row>
    <row r="75" spans="1:17" x14ac:dyDescent="0.3">
      <c r="A75" s="5"/>
      <c r="B75" s="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</row>
    <row r="76" spans="1:17" x14ac:dyDescent="0.3">
      <c r="A76" s="5"/>
      <c r="B76" s="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</row>
    <row r="77" spans="1:17" s="15" customFormat="1" ht="15" thickBot="1" x14ac:dyDescent="0.35">
      <c r="A77" s="6"/>
      <c r="B77" s="17" t="s">
        <v>294</v>
      </c>
      <c r="C77" s="17"/>
      <c r="D77" s="7">
        <f t="shared" ref="D77:O77" si="6">IFERROR(SUM(D73:D76), 0)</f>
        <v>-36311.096345682912</v>
      </c>
      <c r="E77" s="7">
        <f t="shared" si="6"/>
        <v>55521.110250986123</v>
      </c>
      <c r="F77" s="7">
        <f t="shared" si="6"/>
        <v>4383.1548347700555</v>
      </c>
      <c r="G77" s="7">
        <f t="shared" si="6"/>
        <v>-43392.674239357293</v>
      </c>
      <c r="H77" s="7">
        <f t="shared" si="6"/>
        <v>-16023.107746311758</v>
      </c>
      <c r="I77" s="7">
        <f t="shared" si="6"/>
        <v>-3060.8064441963065</v>
      </c>
      <c r="J77" s="7">
        <f t="shared" si="6"/>
        <v>57097.33965641469</v>
      </c>
      <c r="K77" s="7">
        <f t="shared" si="6"/>
        <v>3966.4287910557782</v>
      </c>
      <c r="L77" s="7">
        <f t="shared" si="6"/>
        <v>17062.761170200582</v>
      </c>
      <c r="M77" s="7">
        <f t="shared" si="6"/>
        <v>7739.4625262068639</v>
      </c>
      <c r="N77" s="7">
        <f t="shared" si="6"/>
        <v>9802.6035859808726</v>
      </c>
      <c r="O77" s="7">
        <f t="shared" si="6"/>
        <v>-15096.199188172466</v>
      </c>
      <c r="Q77" s="7">
        <f>IFERROR(SUM(Q73:Q76), 0)</f>
        <v>41706.339450620908</v>
      </c>
    </row>
    <row r="78" spans="1:17" ht="15" thickTop="1" x14ac:dyDescent="0.3">
      <c r="A78" s="5"/>
      <c r="C78" s="5"/>
      <c r="D78" s="4">
        <f t="shared" ref="D78:O78" si="7">IFERROR(D77/D10, 0)</f>
        <v>-14.342008194044915</v>
      </c>
      <c r="E78" s="4">
        <f t="shared" si="7"/>
        <v>1.2420830033777657</v>
      </c>
      <c r="F78" s="4">
        <f t="shared" si="7"/>
        <v>0.15710232382688372</v>
      </c>
      <c r="G78" s="4">
        <f t="shared" si="7"/>
        <v>-1.8990229426414571</v>
      </c>
      <c r="H78" s="4">
        <f t="shared" si="7"/>
        <v>-1.0506955899220825</v>
      </c>
      <c r="I78" s="4">
        <f t="shared" si="7"/>
        <v>-0.17263431721355366</v>
      </c>
      <c r="J78" s="4">
        <f t="shared" si="7"/>
        <v>0.64154314220690667</v>
      </c>
      <c r="K78" s="4">
        <f t="shared" si="7"/>
        <v>8.5116497662141161E-2</v>
      </c>
      <c r="L78" s="4">
        <f t="shared" si="7"/>
        <v>0.36615367318026998</v>
      </c>
      <c r="M78" s="4">
        <f t="shared" si="7"/>
        <v>0.1934865631551716</v>
      </c>
      <c r="N78" s="4">
        <f t="shared" si="7"/>
        <v>0.20856603374427388</v>
      </c>
      <c r="O78" s="4">
        <f t="shared" si="7"/>
        <v>-2.6957498550307974</v>
      </c>
      <c r="P78" s="18"/>
      <c r="Q78" s="4">
        <f>IFERROR(Q77/Q10, 0)</f>
        <v>0.10278527808832894</v>
      </c>
    </row>
    <row r="79" spans="1:17" x14ac:dyDescent="0.3">
      <c r="A79" s="5"/>
      <c r="B79" s="30">
        <v>44462.678369247682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1"/>
    </row>
    <row r="80" spans="1:17" x14ac:dyDescent="0.3">
      <c r="A80" s="5"/>
      <c r="B80" s="31" t="s">
        <v>54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 s="11"/>
    </row>
    <row r="81" spans="1:17" x14ac:dyDescent="0.3">
      <c r="A81" s="5"/>
      <c r="B81" s="2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1"/>
    </row>
    <row r="82" spans="1:17" x14ac:dyDescent="0.3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92D050"/>
    <outlinePr summaryBelow="0" summaryRight="0"/>
    <pageSetUpPr fitToPage="1"/>
  </sheetPr>
  <dimension ref="A2:R82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","316", " - ", "Campus Copy Center")</f>
        <v>Department 316 - Campus Copy Center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2531.7999999999997</v>
      </c>
      <c r="E10" s="3">
        <f>SUM(OSRRefE11x_0)</f>
        <v>44700</v>
      </c>
      <c r="F10" s="3">
        <f>SUM(OSRRefE11x_1)</f>
        <v>27900</v>
      </c>
      <c r="G10" s="3">
        <f>SUM(OSRRefE11x_2)</f>
        <v>22850</v>
      </c>
      <c r="H10" s="3">
        <f>SUM(OSRRefE11x_3)</f>
        <v>15250</v>
      </c>
      <c r="I10" s="3">
        <f>SUM(OSRRefE11x_4)</f>
        <v>17730</v>
      </c>
      <c r="J10" s="3">
        <f>SUM(OSRRefE11x_5)</f>
        <v>89000</v>
      </c>
      <c r="K10" s="3">
        <f>SUM(OSRRefE11x_6)</f>
        <v>46600</v>
      </c>
      <c r="L10" s="3">
        <f>SUM(OSRRefE11x_7)</f>
        <v>46600</v>
      </c>
      <c r="M10" s="3">
        <f>SUM(OSRRefE11x_8)</f>
        <v>40000</v>
      </c>
      <c r="N10" s="3">
        <f>SUM(OSRRefE11x_9)</f>
        <v>47000</v>
      </c>
      <c r="O10" s="3">
        <f>SUM(OSRRefE11x_10)</f>
        <v>5600</v>
      </c>
      <c r="P10" s="24"/>
      <c r="Q10" s="3">
        <f>SUM(OSRRefG11x)</f>
        <v>405761.8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--2230.15</f>
        <v>2230.15</v>
      </c>
      <c r="E11" s="2">
        <v>35000</v>
      </c>
      <c r="F11" s="2">
        <v>13100</v>
      </c>
      <c r="G11" s="2">
        <v>5350</v>
      </c>
      <c r="H11" s="2">
        <v>3050</v>
      </c>
      <c r="I11" s="2">
        <v>4230</v>
      </c>
      <c r="J11" s="2">
        <v>71200</v>
      </c>
      <c r="K11" s="2">
        <v>16800</v>
      </c>
      <c r="L11" s="2">
        <v>12100</v>
      </c>
      <c r="M11" s="2">
        <v>12800</v>
      </c>
      <c r="N11" s="2">
        <v>20000</v>
      </c>
      <c r="O11" s="2">
        <v>3100</v>
      </c>
      <c r="Q11" s="2">
        <f>SUM(OSRRefD11_0x)+IFERROR(SUM(OSRRefE11_0x),0)</f>
        <v>198960.15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--281.45</f>
        <v>281.45</v>
      </c>
      <c r="E12" s="2">
        <v>9700</v>
      </c>
      <c r="F12" s="2">
        <v>14800</v>
      </c>
      <c r="G12" s="2">
        <v>17500</v>
      </c>
      <c r="H12" s="2">
        <v>12200</v>
      </c>
      <c r="I12" s="2">
        <v>13500</v>
      </c>
      <c r="J12" s="2">
        <v>17800</v>
      </c>
      <c r="K12" s="2">
        <v>29800</v>
      </c>
      <c r="L12" s="2">
        <v>34500</v>
      </c>
      <c r="M12" s="2">
        <v>27200</v>
      </c>
      <c r="N12" s="2">
        <v>27000</v>
      </c>
      <c r="O12" s="2">
        <v>2500</v>
      </c>
      <c r="Q12" s="2">
        <f>SUM(OSRRefD11_1x)+IFERROR(SUM(OSRRefE11_1x),0)</f>
        <v>206781.45</v>
      </c>
    </row>
    <row r="13" spans="1:18" s="9" customFormat="1" hidden="1" outlineLevel="1" x14ac:dyDescent="0.3">
      <c r="A13" s="22"/>
      <c r="B13" s="10" t="str">
        <f>CONCATENATE("          ","4146", " - ","NON-TAXABLE SALES-COIN OP MACH")</f>
        <v xml:space="preserve">          4146 - NON-TAXABLE SALES-COIN OP MACH</v>
      </c>
      <c r="C13" s="23"/>
      <c r="D13" s="2">
        <f>--20.2</f>
        <v>20.2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20.2</v>
      </c>
    </row>
    <row r="14" spans="1:18" x14ac:dyDescent="0.3">
      <c r="A14" s="5"/>
      <c r="B14" s="6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</row>
    <row r="15" spans="1:18" s="9" customFormat="1" collapsed="1" x14ac:dyDescent="0.3">
      <c r="A15" s="22"/>
      <c r="B15" s="16" t="s">
        <v>218</v>
      </c>
      <c r="C15" s="23"/>
      <c r="D15" s="3">
        <f>SUM(OSRRefD14x_0)</f>
        <v>0</v>
      </c>
      <c r="E15" s="3">
        <f>SUM(OSRRefE14x_0)</f>
        <v>0</v>
      </c>
      <c r="F15" s="3">
        <f>SUM(OSRRefE14x_1)</f>
        <v>0</v>
      </c>
      <c r="G15" s="3">
        <f>SUM(OSRRefE14x_2)</f>
        <v>0</v>
      </c>
      <c r="H15" s="3">
        <f>SUM(OSRRefE14x_3)</f>
        <v>0</v>
      </c>
      <c r="I15" s="3">
        <f>SUM(OSRRefE14x_4)</f>
        <v>0</v>
      </c>
      <c r="J15" s="3">
        <f>SUM(OSRRefE14x_5)</f>
        <v>0</v>
      </c>
      <c r="K15" s="3">
        <f>SUM(OSRRefE14x_6)</f>
        <v>0</v>
      </c>
      <c r="L15" s="3">
        <f>SUM(OSRRefE14x_7)</f>
        <v>0</v>
      </c>
      <c r="M15" s="3">
        <f>SUM(OSRRefE14x_8)</f>
        <v>0</v>
      </c>
      <c r="N15" s="3">
        <f>SUM(OSRRefE14x_9)</f>
        <v>0</v>
      </c>
      <c r="O15" s="3">
        <f>SUM(OSRRefE14x_10)</f>
        <v>0</v>
      </c>
      <c r="Q15" s="3">
        <f>SUM(OSRRefG14x)</f>
        <v>0</v>
      </c>
    </row>
    <row r="16" spans="1:18" s="9" customFormat="1" hidden="1" outlineLevel="1" x14ac:dyDescent="0.3">
      <c r="A16" s="22"/>
      <c r="B16" s="10" t="str">
        <f>CONCATENATE("          ","5000", " - ","PURCHASES @ COST")</f>
        <v xml:space="preserve">          5000 - PURCHASES @ COST</v>
      </c>
      <c r="C16" s="23"/>
      <c r="D16" s="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Q16" s="2">
        <f>SUM(OSRRefD14_0x)+IFERROR(SUM(OSRRefE14_0x),0)</f>
        <v>0</v>
      </c>
    </row>
    <row r="17" spans="1:17" x14ac:dyDescent="0.3">
      <c r="A17" s="5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</row>
    <row r="18" spans="1:17" s="15" customFormat="1" x14ac:dyDescent="0.3">
      <c r="A18" s="6"/>
      <c r="B18" s="17" t="s">
        <v>105</v>
      </c>
      <c r="C18" s="17"/>
      <c r="D18" s="8">
        <f t="shared" ref="D18:O18" si="0">IFERROR(+D10-D15, 0)</f>
        <v>2531.7999999999997</v>
      </c>
      <c r="E18" s="8">
        <f t="shared" si="0"/>
        <v>44700</v>
      </c>
      <c r="F18" s="8">
        <f t="shared" si="0"/>
        <v>27900</v>
      </c>
      <c r="G18" s="8">
        <f t="shared" si="0"/>
        <v>22850</v>
      </c>
      <c r="H18" s="8">
        <f t="shared" si="0"/>
        <v>15250</v>
      </c>
      <c r="I18" s="8">
        <f t="shared" si="0"/>
        <v>17730</v>
      </c>
      <c r="J18" s="8">
        <f t="shared" si="0"/>
        <v>89000</v>
      </c>
      <c r="K18" s="8">
        <f t="shared" si="0"/>
        <v>46600</v>
      </c>
      <c r="L18" s="8">
        <f t="shared" si="0"/>
        <v>46600</v>
      </c>
      <c r="M18" s="8">
        <f t="shared" si="0"/>
        <v>40000</v>
      </c>
      <c r="N18" s="8">
        <f t="shared" si="0"/>
        <v>47000</v>
      </c>
      <c r="O18" s="8">
        <f t="shared" si="0"/>
        <v>5600</v>
      </c>
      <c r="Q18" s="8">
        <f>IFERROR(+Q10-Q15, 0)</f>
        <v>405761.8</v>
      </c>
    </row>
    <row r="19" spans="1:17" s="6" customFormat="1" x14ac:dyDescent="0.3">
      <c r="B19" s="16"/>
      <c r="C19" s="16"/>
      <c r="D19" s="4">
        <f t="shared" ref="D19:O19" si="1">IFERROR(D18/D10, 0)</f>
        <v>1</v>
      </c>
      <c r="E19" s="4">
        <f t="shared" si="1"/>
        <v>1</v>
      </c>
      <c r="F19" s="4">
        <f t="shared" si="1"/>
        <v>1</v>
      </c>
      <c r="G19" s="4">
        <f t="shared" si="1"/>
        <v>1</v>
      </c>
      <c r="H19" s="4">
        <f t="shared" si="1"/>
        <v>1</v>
      </c>
      <c r="I19" s="4">
        <f t="shared" si="1"/>
        <v>1</v>
      </c>
      <c r="J19" s="4">
        <f t="shared" si="1"/>
        <v>1</v>
      </c>
      <c r="K19" s="4">
        <f t="shared" si="1"/>
        <v>1</v>
      </c>
      <c r="L19" s="4">
        <f t="shared" si="1"/>
        <v>1</v>
      </c>
      <c r="M19" s="4">
        <f t="shared" si="1"/>
        <v>1</v>
      </c>
      <c r="N19" s="4">
        <f t="shared" si="1"/>
        <v>1</v>
      </c>
      <c r="O19" s="4">
        <f t="shared" si="1"/>
        <v>1</v>
      </c>
      <c r="P19" s="18"/>
      <c r="Q19" s="4">
        <f>IFERROR(Q18/Q10, 0)</f>
        <v>1</v>
      </c>
    </row>
    <row r="20" spans="1:17" x14ac:dyDescent="0.3">
      <c r="A20" s="5"/>
      <c r="B20" s="6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15" customFormat="1" x14ac:dyDescent="0.3">
      <c r="A21" s="6"/>
      <c r="B21" s="16" t="s">
        <v>255</v>
      </c>
      <c r="C21" s="6"/>
      <c r="D21" s="13">
        <f>SUM(OSRRefD20x_0)</f>
        <v>37658.880000000005</v>
      </c>
      <c r="E21" s="13">
        <f>SUM(OSRRefE20x_0)</f>
        <v>-8368.868195769217</v>
      </c>
      <c r="F21" s="13">
        <f>SUM(OSRRefE20x_1)</f>
        <v>27431.002261923066</v>
      </c>
      <c r="G21" s="13">
        <f>SUM(OSRRefE20x_2)</f>
        <v>69912.775299519242</v>
      </c>
      <c r="H21" s="13">
        <f>SUM(OSRRefE20x_3)</f>
        <v>35164.057119615391</v>
      </c>
      <c r="I21" s="13">
        <f>SUM(OSRRefE20x_4)</f>
        <v>17989.633819615392</v>
      </c>
      <c r="J21" s="13">
        <f>SUM(OSRRefE20x_5)</f>
        <v>21299.301879519251</v>
      </c>
      <c r="K21" s="13">
        <f>SUM(OSRRefE20x_6)</f>
        <v>37607.656323615389</v>
      </c>
      <c r="L21" s="13">
        <f>SUM(OSRRefE20x_7)</f>
        <v>23986.604975615392</v>
      </c>
      <c r="M21" s="13">
        <f>SUM(OSRRefE20x_8)</f>
        <v>26953.730955519248</v>
      </c>
      <c r="N21" s="13">
        <f>SUM(OSRRefE20x_9)</f>
        <v>31036.604975615392</v>
      </c>
      <c r="O21" s="13">
        <f>SUM(OSRRefE20x_10)</f>
        <v>24289.503919615392</v>
      </c>
      <c r="Q21" s="13">
        <f>SUM(OSRRefG20x)</f>
        <v>344960.88333440386</v>
      </c>
    </row>
    <row r="22" spans="1:17" s="34" customFormat="1" collapsed="1" x14ac:dyDescent="0.3">
      <c r="A22" s="35"/>
      <c r="B22" s="14" t="str">
        <f>CONCATENATE("     ","*Benefits                                         ")</f>
        <v xml:space="preserve">     *Benefits                                         </v>
      </c>
      <c r="C22" s="14"/>
      <c r="D22" s="1">
        <f>SUM(OSRRefD21_0x_0)</f>
        <v>8921.32</v>
      </c>
      <c r="E22" s="1">
        <f>SUM(OSRRefE21_0x_0)</f>
        <v>9060.2587273076842</v>
      </c>
      <c r="F22" s="1">
        <f>SUM(OSRRefE21_0x_1)</f>
        <v>6733.2176465384664</v>
      </c>
      <c r="G22" s="1">
        <f>SUM(OSRRefE21_0x_2)</f>
        <v>5079.7551072115421</v>
      </c>
      <c r="H22" s="1">
        <f>SUM(OSRRefE21_0x_3)</f>
        <v>4440.9609657692326</v>
      </c>
      <c r="I22" s="1">
        <f>SUM(OSRRefE21_0x_4)</f>
        <v>4222.6376657692326</v>
      </c>
      <c r="J22" s="1">
        <f>SUM(OSRRefE21_0x_5)</f>
        <v>5208.6216872115401</v>
      </c>
      <c r="K22" s="1">
        <f>SUM(OSRRefE21_0x_6)</f>
        <v>4568.4361697692329</v>
      </c>
      <c r="L22" s="1">
        <f>SUM(OSRRefE21_0x_7)</f>
        <v>4438.2928217692333</v>
      </c>
      <c r="M22" s="1">
        <f>SUM(OSRRefE21_0x_8)</f>
        <v>5059.6947632115398</v>
      </c>
      <c r="N22" s="1">
        <f>SUM(OSRRefE21_0x_9)</f>
        <v>4438.2928217692333</v>
      </c>
      <c r="O22" s="1">
        <f>SUM(OSRRefE21_0x_10)</f>
        <v>4161.6077657692331</v>
      </c>
      <c r="Q22" s="2">
        <f>SUM(OSRRefD20_0x)+IFERROR(SUM(OSRRefE20_0x),0)</f>
        <v>66333.096142096154</v>
      </c>
    </row>
    <row r="23" spans="1:17" s="34" customFormat="1" hidden="1" outlineLevel="1" x14ac:dyDescent="0.3">
      <c r="A23" s="35"/>
      <c r="B23" s="10" t="str">
        <f>CONCATENATE("          ","6111", " - ","F.I.C.A.")</f>
        <v xml:space="preserve">          6111 - F.I.C.A.</v>
      </c>
      <c r="C23" s="14"/>
      <c r="D23" s="2">
        <v>1247.51</v>
      </c>
      <c r="E23" s="2">
        <v>1395.5451542307701</v>
      </c>
      <c r="F23" s="2">
        <v>1058.6071119230801</v>
      </c>
      <c r="G23" s="2">
        <v>923.51473701923203</v>
      </c>
      <c r="H23" s="2">
        <v>743.09746961538497</v>
      </c>
      <c r="I23" s="2">
        <v>704.06716961538496</v>
      </c>
      <c r="J23" s="2">
        <v>1110.7071170192301</v>
      </c>
      <c r="K23" s="2">
        <v>929.43271361538496</v>
      </c>
      <c r="L23" s="2">
        <v>849.25988561538497</v>
      </c>
      <c r="M23" s="2">
        <v>1018.96295301923</v>
      </c>
      <c r="N23" s="2">
        <v>849.25988561538497</v>
      </c>
      <c r="O23" s="2">
        <v>678.81226961538505</v>
      </c>
      <c r="P23" s="9"/>
      <c r="Q23" s="2">
        <f>SUM(OSRRefD21_0_0x)+IFERROR(SUM(OSRRefE21_0_0x),0)</f>
        <v>11508.776466903853</v>
      </c>
    </row>
    <row r="24" spans="1:17" s="34" customFormat="1" hidden="1" outlineLevel="1" x14ac:dyDescent="0.3">
      <c r="A24" s="35"/>
      <c r="B24" s="10" t="str">
        <f>CONCATENATE("          ","6112", " - ","COMPENSATION INSURANCE")</f>
        <v xml:space="preserve">          6112 - COMPENSATION INSURANCE</v>
      </c>
      <c r="C24" s="14"/>
      <c r="D24" s="2">
        <v>251.73</v>
      </c>
      <c r="E24" s="2">
        <v>284.47019999999998</v>
      </c>
      <c r="F24" s="2">
        <v>215.78819999999999</v>
      </c>
      <c r="G24" s="2">
        <v>188.25075000000001</v>
      </c>
      <c r="H24" s="2">
        <v>151.4742</v>
      </c>
      <c r="I24" s="2">
        <v>150.0702</v>
      </c>
      <c r="J24" s="2">
        <v>226.40835000000001</v>
      </c>
      <c r="K24" s="2">
        <v>189.45707999999999</v>
      </c>
      <c r="L24" s="2">
        <v>173.11452</v>
      </c>
      <c r="M24" s="2">
        <v>207.70706999999999</v>
      </c>
      <c r="N24" s="2">
        <v>173.11452</v>
      </c>
      <c r="O24" s="2">
        <v>138.37020000000001</v>
      </c>
      <c r="P24" s="9"/>
      <c r="Q24" s="2">
        <f>SUM(OSRRefD21_0_1x)+IFERROR(SUM(OSRRefE21_0_1x),0)</f>
        <v>2349.9552899999999</v>
      </c>
    </row>
    <row r="25" spans="1:17" s="34" customFormat="1" hidden="1" outlineLevel="1" x14ac:dyDescent="0.3">
      <c r="A25" s="35"/>
      <c r="B25" s="10" t="str">
        <f>CONCATENATE("          ","6113", " - ","GROUP INSURANCE")</f>
        <v xml:space="preserve">          6113 - GROUP INSURANCE</v>
      </c>
      <c r="C25" s="14"/>
      <c r="D25" s="2">
        <v>3410.23</v>
      </c>
      <c r="E25" s="2">
        <v>3303</v>
      </c>
      <c r="F25" s="2">
        <v>2314.5</v>
      </c>
      <c r="G25" s="2">
        <v>1326</v>
      </c>
      <c r="H25" s="2">
        <v>1326</v>
      </c>
      <c r="I25" s="2">
        <v>1326</v>
      </c>
      <c r="J25" s="2">
        <v>1326</v>
      </c>
      <c r="K25" s="2">
        <v>1326</v>
      </c>
      <c r="L25" s="2">
        <v>1326</v>
      </c>
      <c r="M25" s="2">
        <v>1326</v>
      </c>
      <c r="N25" s="2">
        <v>1326</v>
      </c>
      <c r="O25" s="2">
        <v>1326</v>
      </c>
      <c r="P25" s="9"/>
      <c r="Q25" s="2">
        <f>SUM(OSRRefD21_0_2x)+IFERROR(SUM(OSRRefE21_0_2x),0)</f>
        <v>20961.73</v>
      </c>
    </row>
    <row r="26" spans="1:17" s="34" customFormat="1" hidden="1" outlineLevel="1" x14ac:dyDescent="0.3">
      <c r="A26" s="35"/>
      <c r="B26" s="10" t="str">
        <f>CONCATENATE("          ","6114", " - ","STATE UNEMPLOYMENT INSURANCE")</f>
        <v xml:space="preserve">          6114 - STATE UNEMPLOYMENT INSURANCE</v>
      </c>
      <c r="C26" s="14"/>
      <c r="D26" s="2">
        <v>44.22</v>
      </c>
      <c r="E26" s="2">
        <v>38.294065384615401</v>
      </c>
      <c r="F26" s="2">
        <v>29.048411538461501</v>
      </c>
      <c r="G26" s="2">
        <v>25.3414471153846</v>
      </c>
      <c r="H26" s="2">
        <v>20.390757692307702</v>
      </c>
      <c r="I26" s="2">
        <v>20.201757692307702</v>
      </c>
      <c r="J26" s="2">
        <v>30.478047115384602</v>
      </c>
      <c r="K26" s="2">
        <v>25.503837692307702</v>
      </c>
      <c r="L26" s="2">
        <v>23.303877692307701</v>
      </c>
      <c r="M26" s="2">
        <v>27.960567115384599</v>
      </c>
      <c r="N26" s="2">
        <v>23.303877692307701</v>
      </c>
      <c r="O26" s="2">
        <v>18.626757692307699</v>
      </c>
      <c r="P26" s="9"/>
      <c r="Q26" s="2">
        <f>SUM(OSRRefD21_0_3x)+IFERROR(SUM(OSRRefE21_0_3x),0)</f>
        <v>326.67340442307693</v>
      </c>
    </row>
    <row r="27" spans="1:17" s="34" customFormat="1" hidden="1" outlineLevel="1" x14ac:dyDescent="0.3">
      <c r="A27" s="35"/>
      <c r="B27" s="10" t="str">
        <f>CONCATENATE("          ","6115", " - ","P.E.R.S.")</f>
        <v xml:space="preserve">          6115 - P.E.R.S.</v>
      </c>
      <c r="C27" s="14"/>
      <c r="D27" s="2">
        <v>1590.79</v>
      </c>
      <c r="E27" s="2">
        <v>1423.7531538461501</v>
      </c>
      <c r="F27" s="2">
        <v>1093.28161538462</v>
      </c>
      <c r="G27" s="2">
        <v>953.51259615384697</v>
      </c>
      <c r="H27" s="2">
        <v>762.81007692307799</v>
      </c>
      <c r="I27" s="2">
        <v>762.81007692307799</v>
      </c>
      <c r="J27" s="2">
        <v>953.51259615384697</v>
      </c>
      <c r="K27" s="2">
        <v>762.81007692307799</v>
      </c>
      <c r="L27" s="2">
        <v>762.81007692307799</v>
      </c>
      <c r="M27" s="2">
        <v>953.51259615384697</v>
      </c>
      <c r="N27" s="2">
        <v>762.81007692307799</v>
      </c>
      <c r="O27" s="2">
        <v>762.81007692307799</v>
      </c>
      <c r="P27" s="9"/>
      <c r="Q27" s="2">
        <f>SUM(OSRRefD21_0_4x)+IFERROR(SUM(OSRRefE21_0_4x),0)</f>
        <v>11545.22301923078</v>
      </c>
    </row>
    <row r="28" spans="1:17" s="34" customFormat="1" hidden="1" outlineLevel="1" x14ac:dyDescent="0.3">
      <c r="A28" s="35"/>
      <c r="B28" s="10" t="str">
        <f>CONCATENATE("          ","6116", " - ","EDUCATIONAL BENEFITS")</f>
        <v xml:space="preserve">          6116 - EDUCATIONAL BENEFITS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SUM(OSRRefD21_0_5x)+IFERROR(SUM(OSRRefE21_0_5x),0)</f>
        <v>0</v>
      </c>
    </row>
    <row r="29" spans="1:17" s="34" customFormat="1" hidden="1" outlineLevel="1" x14ac:dyDescent="0.3">
      <c r="A29" s="35"/>
      <c r="B29" s="10" t="str">
        <f>CONCATENATE("          ","6118", " - ","VACATION")</f>
        <v xml:space="preserve">          6118 - VACATION</v>
      </c>
      <c r="C29" s="14"/>
      <c r="D29" s="2">
        <v>1216.0999999999999</v>
      </c>
      <c r="E29" s="2">
        <v>1389.43038461538</v>
      </c>
      <c r="F29" s="2">
        <v>1005.16115384615</v>
      </c>
      <c r="G29" s="2">
        <v>776.11490384615502</v>
      </c>
      <c r="H29" s="2">
        <v>620.89192307692304</v>
      </c>
      <c r="I29" s="2">
        <v>620.89192307692304</v>
      </c>
      <c r="J29" s="2">
        <v>776.11490384615502</v>
      </c>
      <c r="K29" s="2">
        <v>620.89192307692304</v>
      </c>
      <c r="L29" s="2">
        <v>620.89192307692304</v>
      </c>
      <c r="M29" s="2">
        <v>776.11490384615502</v>
      </c>
      <c r="N29" s="2">
        <v>620.89192307692304</v>
      </c>
      <c r="O29" s="2">
        <v>620.89192307692304</v>
      </c>
      <c r="P29" s="9"/>
      <c r="Q29" s="2">
        <f>SUM(OSRRefD21_0_6x)+IFERROR(SUM(OSRRefE21_0_6x),0)</f>
        <v>9664.3877884615358</v>
      </c>
    </row>
    <row r="30" spans="1:17" s="34" customFormat="1" hidden="1" outlineLevel="1" x14ac:dyDescent="0.3">
      <c r="A30" s="35"/>
      <c r="B30" s="10" t="str">
        <f>CONCATENATE("          ","6119", " - ","SICK LEAVE")</f>
        <v xml:space="preserve">          6119 - SICK LEAVE</v>
      </c>
      <c r="C30" s="14"/>
      <c r="D30" s="2">
        <v>738.5</v>
      </c>
      <c r="E30" s="2">
        <v>700.76576923076902</v>
      </c>
      <c r="F30" s="2">
        <v>491.83115384615502</v>
      </c>
      <c r="G30" s="2">
        <v>362.020673076923</v>
      </c>
      <c r="H30" s="2">
        <v>291.296538461539</v>
      </c>
      <c r="I30" s="2">
        <v>288.59653846153901</v>
      </c>
      <c r="J30" s="2">
        <v>435.400673076923</v>
      </c>
      <c r="K30" s="2">
        <v>364.34053846153898</v>
      </c>
      <c r="L30" s="2">
        <v>332.91253846153899</v>
      </c>
      <c r="M30" s="2">
        <v>399.436673076923</v>
      </c>
      <c r="N30" s="2">
        <v>332.91253846153899</v>
      </c>
      <c r="O30" s="2">
        <v>266.09653846153901</v>
      </c>
      <c r="P30" s="9"/>
      <c r="Q30" s="2">
        <f>SUM(OSRRefD21_0_7x)+IFERROR(SUM(OSRRefE21_0_7x),0)</f>
        <v>5004.1101730769269</v>
      </c>
    </row>
    <row r="31" spans="1:17" s="34" customFormat="1" hidden="1" outlineLevel="1" x14ac:dyDescent="0.3">
      <c r="A31" s="35"/>
      <c r="B31" s="10" t="str">
        <f>CONCATENATE("          ","6156", " - ","EMPLOYEE MEALS")</f>
        <v xml:space="preserve">          6156 - EMPLOYEE MEALS</v>
      </c>
      <c r="C31" s="14"/>
      <c r="D31" s="2">
        <v>422.24</v>
      </c>
      <c r="E31" s="2">
        <v>525</v>
      </c>
      <c r="F31" s="2">
        <v>525</v>
      </c>
      <c r="G31" s="2">
        <v>525</v>
      </c>
      <c r="H31" s="2">
        <v>525</v>
      </c>
      <c r="I31" s="2">
        <v>350</v>
      </c>
      <c r="J31" s="2">
        <v>350</v>
      </c>
      <c r="K31" s="2">
        <v>350</v>
      </c>
      <c r="L31" s="2">
        <v>350</v>
      </c>
      <c r="M31" s="2">
        <v>350</v>
      </c>
      <c r="N31" s="2">
        <v>350</v>
      </c>
      <c r="O31" s="2">
        <v>350</v>
      </c>
      <c r="P31" s="9"/>
      <c r="Q31" s="2">
        <f>SUM(OSRRefD21_0_8x)+IFERROR(SUM(OSRRefE21_0_8x),0)</f>
        <v>4972.24</v>
      </c>
    </row>
    <row r="32" spans="1:17" s="34" customFormat="1" collapsed="1" x14ac:dyDescent="0.3">
      <c r="A32" s="35"/>
      <c r="B32" s="14" t="str">
        <f>CONCATENATE("     ","*Payroll                                          ")</f>
        <v xml:space="preserve">     *Payroll                                          </v>
      </c>
      <c r="C32" s="14"/>
      <c r="D32" s="1">
        <f>SUM(OSRRefD21_1x_0)</f>
        <v>19441.55</v>
      </c>
      <c r="E32" s="1">
        <f>SUM(OSRRefE21_1x_0)</f>
        <v>16245.873076923099</v>
      </c>
      <c r="F32" s="1">
        <f>SUM(OSRRefE21_1x_1)</f>
        <v>12402.7846153846</v>
      </c>
      <c r="G32" s="1">
        <f>SUM(OSRRefE21_1x_2)</f>
        <v>10988.020192307709</v>
      </c>
      <c r="H32" s="1">
        <f>SUM(OSRRefE21_1x_3)</f>
        <v>8848.0961538461597</v>
      </c>
      <c r="I32" s="1">
        <f>SUM(OSRRefE21_1x_4)</f>
        <v>8761.9961538461594</v>
      </c>
      <c r="J32" s="1">
        <f>SUM(OSRRefE21_1x_5)</f>
        <v>13545.680192307711</v>
      </c>
      <c r="K32" s="1">
        <f>SUM(OSRRefE21_1x_6)</f>
        <v>11394.22015384616</v>
      </c>
      <c r="L32" s="1">
        <f>SUM(OSRRefE21_1x_7)</f>
        <v>10303.312153846158</v>
      </c>
      <c r="M32" s="1">
        <f>SUM(OSRRefE21_1x_8)</f>
        <v>12299.036192307709</v>
      </c>
      <c r="N32" s="1">
        <f>SUM(OSRRefE21_1x_9)</f>
        <v>10303.312153846158</v>
      </c>
      <c r="O32" s="1">
        <f>SUM(OSRRefE21_1x_10)</f>
        <v>7982.8961538461599</v>
      </c>
      <c r="Q32" s="2">
        <f>SUM(OSRRefD20_1x)+IFERROR(SUM(OSRRefE20_1x),0)</f>
        <v>142516.77719230778</v>
      </c>
    </row>
    <row r="33" spans="1:17" s="34" customFormat="1" hidden="1" outlineLevel="1" x14ac:dyDescent="0.3">
      <c r="A33" s="35"/>
      <c r="B33" s="10" t="str">
        <f>CONCATENATE("          ","6001", " - ","ADMINISTRATIVE SALARIES")</f>
        <v xml:space="preserve">          6001 - ADMINISTRATIVE SALARIES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SUM(OSRRefD21_1_0x)+IFERROR(SUM(OSRRefE21_1_0x),0)</f>
        <v>0</v>
      </c>
    </row>
    <row r="34" spans="1:17" s="34" customFormat="1" hidden="1" outlineLevel="1" x14ac:dyDescent="0.3">
      <c r="A34" s="35"/>
      <c r="B34" s="10" t="str">
        <f>CONCATENATE("          ","6002", " - ","STAFF SALARIES")</f>
        <v xml:space="preserve">          6002 - STAFF SALARIES</v>
      </c>
      <c r="C34" s="14"/>
      <c r="D34" s="2">
        <v>18934.05</v>
      </c>
      <c r="E34" s="2">
        <v>14515.473076923099</v>
      </c>
      <c r="F34" s="2">
        <v>11249.1846153846</v>
      </c>
      <c r="G34" s="2">
        <v>9978.6201923077097</v>
      </c>
      <c r="H34" s="2">
        <v>7982.8961538461599</v>
      </c>
      <c r="I34" s="2">
        <v>7982.8961538461599</v>
      </c>
      <c r="J34" s="2">
        <v>9978.6201923077097</v>
      </c>
      <c r="K34" s="2">
        <v>7982.8961538461599</v>
      </c>
      <c r="L34" s="2">
        <v>7982.8961538461599</v>
      </c>
      <c r="M34" s="2">
        <v>9978.6201923077097</v>
      </c>
      <c r="N34" s="2">
        <v>7982.8961538461599</v>
      </c>
      <c r="O34" s="2">
        <v>7982.8961538461599</v>
      </c>
      <c r="P34" s="9"/>
      <c r="Q34" s="2">
        <f>SUM(OSRRefD21_1_1x)+IFERROR(SUM(OSRRefE21_1_1x),0)</f>
        <v>122531.9451923078</v>
      </c>
    </row>
    <row r="35" spans="1:17" s="34" customFormat="1" hidden="1" outlineLevel="1" x14ac:dyDescent="0.3">
      <c r="A35" s="35"/>
      <c r="B35" s="10" t="str">
        <f>CONCATENATE("          ","6003", " - ","STAFF HOURLY-9 MONTH")</f>
        <v xml:space="preserve">          6003 - STAFF HOURLY-9 MONTH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SUM(OSRRefD21_1_2x)+IFERROR(SUM(OSRRefE21_1_2x),0)</f>
        <v>0</v>
      </c>
    </row>
    <row r="36" spans="1:17" s="34" customFormat="1" hidden="1" outlineLevel="1" x14ac:dyDescent="0.3">
      <c r="A36" s="35"/>
      <c r="B36" s="10" t="str">
        <f>CONCATENATE("          ","6004", " - ","STAFF HOURLY")</f>
        <v xml:space="preserve">          6004 - STAFF HOURLY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346.5</v>
      </c>
      <c r="J36" s="2">
        <v>2009.7</v>
      </c>
      <c r="K36" s="2">
        <v>2009.7</v>
      </c>
      <c r="L36" s="2">
        <v>1386</v>
      </c>
      <c r="M36" s="2">
        <v>1386</v>
      </c>
      <c r="N36" s="2">
        <v>1386</v>
      </c>
      <c r="O36" s="2">
        <v>0</v>
      </c>
      <c r="P36" s="9"/>
      <c r="Q36" s="2">
        <f>SUM(OSRRefD21_1_3x)+IFERROR(SUM(OSRRefE21_1_3x),0)</f>
        <v>8523.9</v>
      </c>
    </row>
    <row r="37" spans="1:17" s="34" customFormat="1" hidden="1" outlineLevel="1" x14ac:dyDescent="0.3">
      <c r="A37" s="35"/>
      <c r="B37" s="10" t="str">
        <f>CONCATENATE("          ","6005", " - ","TEMPORARY WAGES-HOURLY")</f>
        <v xml:space="preserve">          6005 - TEMPORARY WAGES-HOURLY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SUM(OSRRefD21_1_4x)+IFERROR(SUM(OSRRefE21_1_4x),0)</f>
        <v>0</v>
      </c>
    </row>
    <row r="38" spans="1:17" s="34" customFormat="1" hidden="1" outlineLevel="1" x14ac:dyDescent="0.3">
      <c r="A38" s="35"/>
      <c r="B38" s="10" t="str">
        <f>CONCATENATE("          ","6006", " - ","TEMPORARY PART TIME")</f>
        <v xml:space="preserve">          6006 - TEMPORARY PART TIME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SUM(OSRRefD21_1_5x)+IFERROR(SUM(OSRRefE21_1_5x),0)</f>
        <v>0</v>
      </c>
    </row>
    <row r="39" spans="1:17" s="34" customFormat="1" hidden="1" outlineLevel="1" x14ac:dyDescent="0.3">
      <c r="A39" s="35"/>
      <c r="B39" s="10" t="str">
        <f>CONCATENATE("          ","6007", " - ","STUDENT HOURLY")</f>
        <v xml:space="preserve">          6007 - STUDENT HOURLY</v>
      </c>
      <c r="C39" s="14"/>
      <c r="D39" s="2">
        <v>507.5</v>
      </c>
      <c r="E39" s="2">
        <v>1730.4</v>
      </c>
      <c r="F39" s="2">
        <v>1153.5999999999999</v>
      </c>
      <c r="G39" s="2">
        <v>1009.4</v>
      </c>
      <c r="H39" s="2">
        <v>865.2</v>
      </c>
      <c r="I39" s="2">
        <v>0</v>
      </c>
      <c r="J39" s="2">
        <v>1557.36</v>
      </c>
      <c r="K39" s="2">
        <v>1401.624</v>
      </c>
      <c r="L39" s="2">
        <v>934.41600000000005</v>
      </c>
      <c r="M39" s="2">
        <v>934.41600000000005</v>
      </c>
      <c r="N39" s="2">
        <v>934.41600000000005</v>
      </c>
      <c r="O39" s="2">
        <v>0</v>
      </c>
      <c r="P39" s="9"/>
      <c r="Q39" s="2">
        <f>SUM(OSRRefD21_1_6x)+IFERROR(SUM(OSRRefE21_1_6x),0)</f>
        <v>11028.331999999999</v>
      </c>
    </row>
    <row r="40" spans="1:17" s="34" customFormat="1" hidden="1" outlineLevel="1" x14ac:dyDescent="0.3">
      <c r="A40" s="35"/>
      <c r="B40" s="10" t="str">
        <f>CONCATENATE("          ","6008", " - ","STUDENT HOURLY-FICA EXEMPT")</f>
        <v xml:space="preserve">          6008 - STUDENT HOURLY-FICA EXEMPT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432.6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SUM(OSRRefD21_1_7x)+IFERROR(SUM(OSRRefE21_1_7x),0)</f>
        <v>432.6</v>
      </c>
    </row>
    <row r="41" spans="1:17" s="34" customFormat="1" hidden="1" outlineLevel="1" x14ac:dyDescent="0.3">
      <c r="A41" s="35"/>
      <c r="B41" s="10" t="str">
        <f>CONCATENATE("          ","6009", " - ","TEMPORARY-SEASONAL")</f>
        <v xml:space="preserve">          6009 - TEMPORARY-SEASONAL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SUM(OSRRefD21_1_8x)+IFERROR(SUM(OSRRefE21_1_8x),0)</f>
        <v>0</v>
      </c>
    </row>
    <row r="42" spans="1:17" s="34" customFormat="1" hidden="1" outlineLevel="1" x14ac:dyDescent="0.3">
      <c r="A42" s="35"/>
      <c r="B42" s="10" t="str">
        <f>CONCATENATE("          ","6010", " - ","GRATUITY")</f>
        <v xml:space="preserve">          6010 - GRATUITY</v>
      </c>
      <c r="C42" s="14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9"/>
      <c r="Q42" s="2">
        <f>SUM(OSRRefD21_1_9x)+IFERROR(SUM(OSRRefE21_1_9x),0)</f>
        <v>0</v>
      </c>
    </row>
    <row r="43" spans="1:17" s="34" customFormat="1" collapsed="1" x14ac:dyDescent="0.3">
      <c r="A43" s="35"/>
      <c r="B43" s="14" t="str">
        <f>CONCATENATE("     ","Advertising/Promo                                 ")</f>
        <v xml:space="preserve">     Advertising/Promo                                 </v>
      </c>
      <c r="C43" s="14"/>
      <c r="D43" s="1">
        <f>SUM(OSRRefD21_2x_0)</f>
        <v>0</v>
      </c>
      <c r="E43" s="1">
        <f>SUM(OSRRefE21_2x_0)</f>
        <v>50</v>
      </c>
      <c r="F43" s="1">
        <f>SUM(OSRRefE21_2x_1)</f>
        <v>50</v>
      </c>
      <c r="G43" s="1">
        <f>SUM(OSRRefE21_2x_2)</f>
        <v>50</v>
      </c>
      <c r="H43" s="1">
        <f>SUM(OSRRefE21_2x_3)</f>
        <v>50</v>
      </c>
      <c r="I43" s="1">
        <f>SUM(OSRRefE21_2x_4)</f>
        <v>50</v>
      </c>
      <c r="J43" s="1">
        <f>SUM(OSRRefE21_2x_5)</f>
        <v>50</v>
      </c>
      <c r="K43" s="1">
        <f>SUM(OSRRefE21_2x_6)</f>
        <v>50</v>
      </c>
      <c r="L43" s="1">
        <f>SUM(OSRRefE21_2x_7)</f>
        <v>50</v>
      </c>
      <c r="M43" s="1">
        <f>SUM(OSRRefE21_2x_8)</f>
        <v>50</v>
      </c>
      <c r="N43" s="1">
        <f>SUM(OSRRefE21_2x_9)</f>
        <v>50</v>
      </c>
      <c r="O43" s="1">
        <f>SUM(OSRRefE21_2x_10)</f>
        <v>50</v>
      </c>
      <c r="Q43" s="2">
        <f>SUM(OSRRefD20_2x)+IFERROR(SUM(OSRRefE20_2x),0)</f>
        <v>550</v>
      </c>
    </row>
    <row r="44" spans="1:17" s="34" customFormat="1" hidden="1" outlineLevel="1" x14ac:dyDescent="0.3">
      <c r="A44" s="35"/>
      <c r="B44" s="10" t="str">
        <f>CONCATENATE("          ","6362", " - ","ADVERTISING EXPENSE")</f>
        <v xml:space="preserve">          6362 - ADVERTISING EXPENSE</v>
      </c>
      <c r="C44" s="14"/>
      <c r="D44" s="2"/>
      <c r="E44" s="2">
        <v>50</v>
      </c>
      <c r="F44" s="2">
        <v>50</v>
      </c>
      <c r="G44" s="2">
        <v>50</v>
      </c>
      <c r="H44" s="2">
        <v>50</v>
      </c>
      <c r="I44" s="2">
        <v>50</v>
      </c>
      <c r="J44" s="2">
        <v>50</v>
      </c>
      <c r="K44" s="2">
        <v>50</v>
      </c>
      <c r="L44" s="2">
        <v>50</v>
      </c>
      <c r="M44" s="2">
        <v>50</v>
      </c>
      <c r="N44" s="2">
        <v>50</v>
      </c>
      <c r="O44" s="2">
        <v>50</v>
      </c>
      <c r="P44" s="9"/>
      <c r="Q44" s="2">
        <f>SUM(OSRRefD21_2_0x)+IFERROR(SUM(OSRRefE21_2_0x),0)</f>
        <v>550</v>
      </c>
    </row>
    <row r="45" spans="1:17" s="34" customFormat="1" collapsed="1" x14ac:dyDescent="0.3">
      <c r="A45" s="35"/>
      <c r="B45" s="14" t="str">
        <f>CONCATENATE("     ","Depreciation                                      ")</f>
        <v xml:space="preserve">     Depreciation                                      </v>
      </c>
      <c r="C45" s="14"/>
      <c r="D45" s="1">
        <f>SUM(OSRRefD21_3x_0)</f>
        <v>169.88</v>
      </c>
      <c r="E45" s="1">
        <f>SUM(OSRRefE21_3x_0)</f>
        <v>170</v>
      </c>
      <c r="F45" s="1">
        <f>SUM(OSRRefE21_3x_1)</f>
        <v>170</v>
      </c>
      <c r="G45" s="1">
        <f>SUM(OSRRefE21_3x_2)</f>
        <v>170</v>
      </c>
      <c r="H45" s="1">
        <f>SUM(OSRRefE21_3x_3)</f>
        <v>170</v>
      </c>
      <c r="I45" s="1">
        <f>SUM(OSRRefE21_3x_4)</f>
        <v>170</v>
      </c>
      <c r="J45" s="1">
        <f>SUM(OSRRefE21_3x_5)</f>
        <v>170</v>
      </c>
      <c r="K45" s="1">
        <f>SUM(OSRRefE21_3x_6)</f>
        <v>170</v>
      </c>
      <c r="L45" s="1">
        <f>SUM(OSRRefE21_3x_7)</f>
        <v>170</v>
      </c>
      <c r="M45" s="1">
        <f>SUM(OSRRefE21_3x_8)</f>
        <v>170</v>
      </c>
      <c r="N45" s="1">
        <f>SUM(OSRRefE21_3x_9)</f>
        <v>170</v>
      </c>
      <c r="O45" s="1">
        <f>SUM(OSRRefE21_3x_10)</f>
        <v>170</v>
      </c>
      <c r="Q45" s="2">
        <f>SUM(OSRRefD20_3x)+IFERROR(SUM(OSRRefE20_3x),0)</f>
        <v>2039.88</v>
      </c>
    </row>
    <row r="46" spans="1:17" s="34" customFormat="1" hidden="1" outlineLevel="1" x14ac:dyDescent="0.3">
      <c r="A46" s="35"/>
      <c r="B46" s="10" t="str">
        <f>CONCATENATE("          ","6322", " - ","EQUIPMENT DEPRECIATION EXPENSE")</f>
        <v xml:space="preserve">          6322 - EQUIPMENT DEPRECIATION EXPENSE</v>
      </c>
      <c r="C46" s="14"/>
      <c r="D46" s="2">
        <v>169.88</v>
      </c>
      <c r="E46" s="2">
        <v>170</v>
      </c>
      <c r="F46" s="2">
        <v>170</v>
      </c>
      <c r="G46" s="2">
        <v>170</v>
      </c>
      <c r="H46" s="2">
        <v>170</v>
      </c>
      <c r="I46" s="2">
        <v>170</v>
      </c>
      <c r="J46" s="2">
        <v>170</v>
      </c>
      <c r="K46" s="2">
        <v>170</v>
      </c>
      <c r="L46" s="2">
        <v>170</v>
      </c>
      <c r="M46" s="2">
        <v>170</v>
      </c>
      <c r="N46" s="2">
        <v>170</v>
      </c>
      <c r="O46" s="2">
        <v>170</v>
      </c>
      <c r="P46" s="9"/>
      <c r="Q46" s="2">
        <f>SUM(OSRRefD21_3_0x)+IFERROR(SUM(OSRRefE21_3_0x),0)</f>
        <v>2039.88</v>
      </c>
    </row>
    <row r="47" spans="1:17" s="34" customFormat="1" collapsed="1" x14ac:dyDescent="0.3">
      <c r="A47" s="35"/>
      <c r="B47" s="14" t="str">
        <f>CONCATENATE("     ","Equipment Rental                                  ")</f>
        <v xml:space="preserve">     Equipment Rental                                  </v>
      </c>
      <c r="C47" s="14"/>
      <c r="D47" s="1">
        <f>SUM(OSRRefD21_4x_0)</f>
        <v>1205.6400000000001</v>
      </c>
      <c r="E47" s="1">
        <f>SUM(OSRRefE21_4x_0)</f>
        <v>1200</v>
      </c>
      <c r="F47" s="1">
        <f>SUM(OSRRefE21_4x_1)</f>
        <v>1300</v>
      </c>
      <c r="G47" s="1">
        <f>SUM(OSRRefE21_4x_2)</f>
        <v>1300</v>
      </c>
      <c r="H47" s="1">
        <f>SUM(OSRRefE21_4x_3)</f>
        <v>1300</v>
      </c>
      <c r="I47" s="1">
        <f>SUM(OSRRefE21_4x_4)</f>
        <v>1300</v>
      </c>
      <c r="J47" s="1">
        <f>SUM(OSRRefE21_4x_5)</f>
        <v>1300</v>
      </c>
      <c r="K47" s="1">
        <f>SUM(OSRRefE21_4x_6)</f>
        <v>1300</v>
      </c>
      <c r="L47" s="1">
        <f>SUM(OSRRefE21_4x_7)</f>
        <v>1300</v>
      </c>
      <c r="M47" s="1">
        <f>SUM(OSRRefE21_4x_8)</f>
        <v>1300</v>
      </c>
      <c r="N47" s="1">
        <f>SUM(OSRRefE21_4x_9)</f>
        <v>1300</v>
      </c>
      <c r="O47" s="1">
        <f>SUM(OSRRefE21_4x_10)</f>
        <v>1300</v>
      </c>
      <c r="Q47" s="2">
        <f>SUM(OSRRefD20_4x)+IFERROR(SUM(OSRRefE20_4x),0)</f>
        <v>15405.64</v>
      </c>
    </row>
    <row r="48" spans="1:17" s="34" customFormat="1" hidden="1" outlineLevel="1" x14ac:dyDescent="0.3">
      <c r="A48" s="35"/>
      <c r="B48" s="10" t="str">
        <f>CONCATENATE("          ","6351", " - ","EQUIPMENT RENTAL")</f>
        <v xml:space="preserve">          6351 - EQUIPMENT RENTAL</v>
      </c>
      <c r="C48" s="14"/>
      <c r="D48" s="2">
        <v>1205.6400000000001</v>
      </c>
      <c r="E48" s="2">
        <v>1200</v>
      </c>
      <c r="F48" s="2">
        <v>1300</v>
      </c>
      <c r="G48" s="2">
        <v>1300</v>
      </c>
      <c r="H48" s="2">
        <v>1300</v>
      </c>
      <c r="I48" s="2">
        <v>1300</v>
      </c>
      <c r="J48" s="2">
        <v>1300</v>
      </c>
      <c r="K48" s="2">
        <v>1300</v>
      </c>
      <c r="L48" s="2">
        <v>1300</v>
      </c>
      <c r="M48" s="2">
        <v>1300</v>
      </c>
      <c r="N48" s="2">
        <v>1300</v>
      </c>
      <c r="O48" s="2">
        <v>1300</v>
      </c>
      <c r="P48" s="9"/>
      <c r="Q48" s="2">
        <f>SUM(OSRRefD21_4_0x)+IFERROR(SUM(OSRRefE21_4_0x),0)</f>
        <v>15405.64</v>
      </c>
    </row>
    <row r="49" spans="1:17" s="34" customFormat="1" collapsed="1" x14ac:dyDescent="0.3">
      <c r="A49" s="35"/>
      <c r="B49" s="14" t="str">
        <f>CONCATENATE("     ","Freight out/Postage                               ")</f>
        <v xml:space="preserve">     Freight out/Postage                               </v>
      </c>
      <c r="C49" s="14"/>
      <c r="D49" s="1">
        <f>SUM(OSRRefD21_5x_0)</f>
        <v>2283.8600000000006</v>
      </c>
      <c r="E49" s="1">
        <f>SUM(OSRRefE21_5x_0)</f>
        <v>-43200</v>
      </c>
      <c r="F49" s="1">
        <f>SUM(OSRRefE21_5x_1)</f>
        <v>-11100</v>
      </c>
      <c r="G49" s="1">
        <f>SUM(OSRRefE21_5x_2)</f>
        <v>43300</v>
      </c>
      <c r="H49" s="1">
        <f>SUM(OSRRefE21_5x_3)</f>
        <v>7500</v>
      </c>
      <c r="I49" s="1">
        <f>SUM(OSRRefE21_5x_4)</f>
        <v>-1700</v>
      </c>
      <c r="J49" s="1">
        <f>SUM(OSRRefE21_5x_5)</f>
        <v>-26500</v>
      </c>
      <c r="K49" s="1">
        <f>SUM(OSRRefE21_5x_6)</f>
        <v>0</v>
      </c>
      <c r="L49" s="1">
        <f>SUM(OSRRefE21_5x_7)</f>
        <v>0</v>
      </c>
      <c r="M49" s="1">
        <f>SUM(OSRRefE21_5x_8)</f>
        <v>-3000</v>
      </c>
      <c r="N49" s="1">
        <f>SUM(OSRRefE21_5x_9)</f>
        <v>-3000</v>
      </c>
      <c r="O49" s="1">
        <f>SUM(OSRRefE21_5x_10)</f>
        <v>-3000</v>
      </c>
      <c r="Q49" s="2">
        <f>SUM(OSRRefD20_5x)+IFERROR(SUM(OSRRefE20_5x),0)</f>
        <v>-38416.14</v>
      </c>
    </row>
    <row r="50" spans="1:17" s="34" customFormat="1" hidden="1" outlineLevel="1" x14ac:dyDescent="0.3">
      <c r="A50" s="35"/>
      <c r="B50" s="10" t="str">
        <f>CONCATENATE("          ","6305", " - ","FREIGHT OUT")</f>
        <v xml:space="preserve">          6305 - FREIGHT OUT</v>
      </c>
      <c r="C50" s="14"/>
      <c r="D50" s="2">
        <v>9911.1200000000008</v>
      </c>
      <c r="E50" s="2">
        <v>6800</v>
      </c>
      <c r="F50" s="2">
        <v>500</v>
      </c>
      <c r="G50" s="2">
        <v>55000</v>
      </c>
      <c r="H50" s="2">
        <v>12000</v>
      </c>
      <c r="I50" s="2">
        <v>8000</v>
      </c>
      <c r="J50" s="2">
        <v>15000</v>
      </c>
      <c r="K50" s="2">
        <v>22000</v>
      </c>
      <c r="L50" s="2">
        <v>6000</v>
      </c>
      <c r="M50" s="2">
        <v>1500</v>
      </c>
      <c r="N50" s="2">
        <v>1500</v>
      </c>
      <c r="O50" s="2">
        <v>1500</v>
      </c>
      <c r="P50" s="9"/>
      <c r="Q50" s="2">
        <f>SUM(OSRRefD21_5_0x)+IFERROR(SUM(OSRRefE21_5_0x),0)</f>
        <v>139711.12</v>
      </c>
    </row>
    <row r="51" spans="1:17" s="34" customFormat="1" hidden="1" outlineLevel="1" x14ac:dyDescent="0.3">
      <c r="A51" s="35"/>
      <c r="B51" s="10" t="str">
        <f>CONCATENATE("          ","6307", " - ","POSTAGE")</f>
        <v xml:space="preserve">          6307 - POSTAGE</v>
      </c>
      <c r="C51" s="14"/>
      <c r="D51" s="2">
        <v>-7627.26</v>
      </c>
      <c r="E51" s="2">
        <v>-50000</v>
      </c>
      <c r="F51" s="2">
        <v>-11600</v>
      </c>
      <c r="G51" s="2">
        <v>-11700</v>
      </c>
      <c r="H51" s="2">
        <v>-4500</v>
      </c>
      <c r="I51" s="2">
        <v>-9700</v>
      </c>
      <c r="J51" s="2">
        <v>-41500</v>
      </c>
      <c r="K51" s="2">
        <v>-22000</v>
      </c>
      <c r="L51" s="2">
        <v>-6000</v>
      </c>
      <c r="M51" s="2">
        <v>-4500</v>
      </c>
      <c r="N51" s="2">
        <v>-4500</v>
      </c>
      <c r="O51" s="2">
        <v>-4500</v>
      </c>
      <c r="P51" s="9"/>
      <c r="Q51" s="2">
        <f>SUM(OSRRefD21_5_1x)+IFERROR(SUM(OSRRefE21_5_1x),0)</f>
        <v>-178127.26</v>
      </c>
    </row>
    <row r="52" spans="1:17" s="34" customFormat="1" collapsed="1" x14ac:dyDescent="0.3">
      <c r="A52" s="35"/>
      <c r="B52" s="14" t="str">
        <f>CONCATENATE("     ","Repair and Maintenance                            ")</f>
        <v xml:space="preserve">     Repair and Maintenance                            </v>
      </c>
      <c r="C52" s="14"/>
      <c r="D52" s="1">
        <f>SUM(OSRRefD21_6x_0)</f>
        <v>2345.98</v>
      </c>
      <c r="E52" s="1">
        <f>SUM(OSRRefE21_6x_0)</f>
        <v>4000</v>
      </c>
      <c r="F52" s="1">
        <f>SUM(OSRRefE21_6x_1)</f>
        <v>8000</v>
      </c>
      <c r="G52" s="1">
        <f>SUM(OSRRefE21_6x_2)</f>
        <v>4600</v>
      </c>
      <c r="H52" s="1">
        <f>SUM(OSRRefE21_6x_3)</f>
        <v>5000</v>
      </c>
      <c r="I52" s="1">
        <f>SUM(OSRRefE21_6x_4)</f>
        <v>500</v>
      </c>
      <c r="J52" s="1">
        <f>SUM(OSRRefE21_6x_5)</f>
        <v>5600</v>
      </c>
      <c r="K52" s="1">
        <f>SUM(OSRRefE21_6x_6)</f>
        <v>10000</v>
      </c>
      <c r="L52" s="1">
        <f>SUM(OSRRefE21_6x_7)</f>
        <v>5600</v>
      </c>
      <c r="M52" s="1">
        <f>SUM(OSRRefE21_6x_8)</f>
        <v>5600</v>
      </c>
      <c r="N52" s="1">
        <f>SUM(OSRRefE21_6x_9)</f>
        <v>5600</v>
      </c>
      <c r="O52" s="1">
        <f>SUM(OSRRefE21_6x_10)</f>
        <v>5600</v>
      </c>
      <c r="Q52" s="2">
        <f>SUM(OSRRefD20_6x)+IFERROR(SUM(OSRRefE20_6x),0)</f>
        <v>62445.98</v>
      </c>
    </row>
    <row r="53" spans="1:17" s="34" customFormat="1" hidden="1" outlineLevel="1" x14ac:dyDescent="0.3">
      <c r="A53" s="35"/>
      <c r="B53" s="10" t="str">
        <f>CONCATENATE("          ","6371", " - ","COMPUTER SOFTWARE MAINTENANCE")</f>
        <v xml:space="preserve">          6371 - COMPUTER SOFTWARE MAINTENANCE</v>
      </c>
      <c r="C53" s="14"/>
      <c r="D53" s="2"/>
      <c r="E53" s="2"/>
      <c r="F53" s="2"/>
      <c r="G53" s="2">
        <v>100</v>
      </c>
      <c r="H53" s="2"/>
      <c r="I53" s="2"/>
      <c r="J53" s="2"/>
      <c r="K53" s="2"/>
      <c r="L53" s="2"/>
      <c r="M53" s="2"/>
      <c r="N53" s="2"/>
      <c r="O53" s="2"/>
      <c r="P53" s="9"/>
      <c r="Q53" s="2">
        <f>SUM(OSRRefD21_6_0x)+IFERROR(SUM(OSRRefE21_6_0x),0)</f>
        <v>100</v>
      </c>
    </row>
    <row r="54" spans="1:17" s="34" customFormat="1" hidden="1" outlineLevel="1" x14ac:dyDescent="0.3">
      <c r="A54" s="35"/>
      <c r="B54" s="10" t="str">
        <f>CONCATENATE("          ","6373", " - ","MAINTENANCE CONTRACTS")</f>
        <v xml:space="preserve">          6373 - MAINTENANCE CONTRACTS</v>
      </c>
      <c r="C54" s="14"/>
      <c r="D54" s="2">
        <v>625.34</v>
      </c>
      <c r="E54" s="2">
        <v>4000</v>
      </c>
      <c r="F54" s="2">
        <v>8000</v>
      </c>
      <c r="G54" s="2">
        <v>4500</v>
      </c>
      <c r="H54" s="2">
        <v>5000</v>
      </c>
      <c r="I54" s="2">
        <v>500</v>
      </c>
      <c r="J54" s="2">
        <v>5600</v>
      </c>
      <c r="K54" s="2">
        <v>10000</v>
      </c>
      <c r="L54" s="2">
        <v>5600</v>
      </c>
      <c r="M54" s="2">
        <v>5600</v>
      </c>
      <c r="N54" s="2">
        <v>5600</v>
      </c>
      <c r="O54" s="2">
        <v>5600</v>
      </c>
      <c r="P54" s="9"/>
      <c r="Q54" s="2">
        <f>SUM(OSRRefD21_6_1x)+IFERROR(SUM(OSRRefE21_6_1x),0)</f>
        <v>60625.34</v>
      </c>
    </row>
    <row r="55" spans="1:17" s="34" customFormat="1" hidden="1" outlineLevel="1" x14ac:dyDescent="0.3">
      <c r="A55" s="35"/>
      <c r="B55" s="10" t="str">
        <f>CONCATENATE("          ","6375", " - ","OUTSIDE REPAIRS &amp; MAINTENANCE")</f>
        <v xml:space="preserve">          6375 - OUTSIDE REPAIRS &amp; MAINTENANCE</v>
      </c>
      <c r="C55" s="14"/>
      <c r="D55" s="2">
        <v>1720.64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2">
        <f>SUM(OSRRefD21_6_2x)+IFERROR(SUM(OSRRefE21_6_2x),0)</f>
        <v>1720.64</v>
      </c>
    </row>
    <row r="56" spans="1:17" s="34" customFormat="1" collapsed="1" x14ac:dyDescent="0.3">
      <c r="A56" s="35"/>
      <c r="B56" s="14" t="str">
        <f>CONCATENATE("     ","Royalty &amp; Commissions                             ")</f>
        <v xml:space="preserve">     Royalty &amp; Commissions                             </v>
      </c>
      <c r="C56" s="14"/>
      <c r="D56" s="1">
        <f>SUM(OSRRefD21_7x_0)</f>
        <v>6.06</v>
      </c>
      <c r="E56" s="1">
        <f>SUM(OSRRefE21_7x_0)</f>
        <v>3000</v>
      </c>
      <c r="F56" s="1">
        <f>SUM(OSRRefE21_7x_1)</f>
        <v>500</v>
      </c>
      <c r="G56" s="1">
        <f>SUM(OSRRefE21_7x_2)</f>
        <v>200</v>
      </c>
      <c r="H56" s="1">
        <f>SUM(OSRRefE21_7x_3)</f>
        <v>6000</v>
      </c>
      <c r="I56" s="1">
        <f>SUM(OSRRefE21_7x_4)</f>
        <v>3000</v>
      </c>
      <c r="J56" s="1">
        <f>SUM(OSRRefE21_7x_5)</f>
        <v>10000</v>
      </c>
      <c r="K56" s="1">
        <f>SUM(OSRRefE21_7x_6)</f>
        <v>4000</v>
      </c>
      <c r="L56" s="1">
        <f>SUM(OSRRefE21_7x_7)</f>
        <v>600</v>
      </c>
      <c r="M56" s="1">
        <f>SUM(OSRRefE21_7x_8)</f>
        <v>700</v>
      </c>
      <c r="N56" s="1">
        <f>SUM(OSRRefE21_7x_9)</f>
        <v>6500</v>
      </c>
      <c r="O56" s="1">
        <f>SUM(OSRRefE21_7x_10)</f>
        <v>6500</v>
      </c>
      <c r="Q56" s="2">
        <f>SUM(OSRRefD20_7x)+IFERROR(SUM(OSRRefE20_7x),0)</f>
        <v>41006.06</v>
      </c>
    </row>
    <row r="57" spans="1:17" s="34" customFormat="1" hidden="1" outlineLevel="1" x14ac:dyDescent="0.3">
      <c r="A57" s="35"/>
      <c r="B57" s="10" t="str">
        <f>CONCATENATE("          ","6259", " - ","ROYALTY &amp; COMMISSIONS")</f>
        <v xml:space="preserve">          6259 - ROYALTY &amp; COMMISSIONS</v>
      </c>
      <c r="C57" s="14"/>
      <c r="D57" s="2">
        <v>6.06</v>
      </c>
      <c r="E57" s="2">
        <v>3000</v>
      </c>
      <c r="F57" s="2">
        <v>500</v>
      </c>
      <c r="G57" s="2">
        <v>200</v>
      </c>
      <c r="H57" s="2">
        <v>6000</v>
      </c>
      <c r="I57" s="2">
        <v>3000</v>
      </c>
      <c r="J57" s="2">
        <v>10000</v>
      </c>
      <c r="K57" s="2">
        <v>4000</v>
      </c>
      <c r="L57" s="2">
        <v>600</v>
      </c>
      <c r="M57" s="2">
        <v>700</v>
      </c>
      <c r="N57" s="2">
        <v>6500</v>
      </c>
      <c r="O57" s="2">
        <v>6500</v>
      </c>
      <c r="P57" s="9"/>
      <c r="Q57" s="2">
        <f>SUM(OSRRefD21_7_0x)+IFERROR(SUM(OSRRefE21_7_0x),0)</f>
        <v>41006.06</v>
      </c>
    </row>
    <row r="58" spans="1:17" s="34" customFormat="1" collapsed="1" x14ac:dyDescent="0.3">
      <c r="A58" s="35"/>
      <c r="B58" s="14" t="str">
        <f>CONCATENATE("     ","Supplies                                          ")</f>
        <v xml:space="preserve">     Supplies                                          </v>
      </c>
      <c r="C58" s="14"/>
      <c r="D58" s="1">
        <f>SUM(OSRRefD21_8x_0)</f>
        <v>3116.79</v>
      </c>
      <c r="E58" s="1">
        <f>SUM(OSRRefE21_8x_0)</f>
        <v>930</v>
      </c>
      <c r="F58" s="1">
        <f>SUM(OSRRefE21_8x_1)</f>
        <v>9200</v>
      </c>
      <c r="G58" s="1">
        <f>SUM(OSRRefE21_8x_2)</f>
        <v>4050</v>
      </c>
      <c r="H58" s="1">
        <f>SUM(OSRRefE21_8x_3)</f>
        <v>1680</v>
      </c>
      <c r="I58" s="1">
        <f>SUM(OSRRefE21_8x_4)</f>
        <v>1510</v>
      </c>
      <c r="J58" s="1">
        <f>SUM(OSRRefE21_8x_5)</f>
        <v>11750</v>
      </c>
      <c r="K58" s="1">
        <f>SUM(OSRRefE21_8x_6)</f>
        <v>5950</v>
      </c>
      <c r="L58" s="1">
        <f>SUM(OSRRefE21_8x_7)</f>
        <v>1350</v>
      </c>
      <c r="M58" s="1">
        <f>SUM(OSRRefE21_8x_8)</f>
        <v>4600</v>
      </c>
      <c r="N58" s="1">
        <f>SUM(OSRRefE21_8x_9)</f>
        <v>5500</v>
      </c>
      <c r="O58" s="1">
        <f>SUM(OSRRefE21_8x_10)</f>
        <v>1350</v>
      </c>
      <c r="Q58" s="2">
        <f>SUM(OSRRefD20_8x)+IFERROR(SUM(OSRRefE20_8x),0)</f>
        <v>50986.79</v>
      </c>
    </row>
    <row r="59" spans="1:17" s="34" customFormat="1" hidden="1" outlineLevel="1" x14ac:dyDescent="0.3">
      <c r="A59" s="35"/>
      <c r="B59" s="10" t="str">
        <f>CONCATENATE("          ","6241", " - ","OFFICE EXPENSE")</f>
        <v xml:space="preserve">          6241 - OFFICE EXPENSE</v>
      </c>
      <c r="C59" s="14"/>
      <c r="D59" s="2">
        <v>153.85</v>
      </c>
      <c r="E59" s="2"/>
      <c r="F59" s="2"/>
      <c r="G59" s="2"/>
      <c r="H59" s="2"/>
      <c r="I59" s="2"/>
      <c r="J59" s="2"/>
      <c r="K59" s="2">
        <v>50</v>
      </c>
      <c r="L59" s="2"/>
      <c r="M59" s="2"/>
      <c r="N59" s="2"/>
      <c r="O59" s="2">
        <v>50</v>
      </c>
      <c r="P59" s="9"/>
      <c r="Q59" s="2">
        <f>SUM(OSRRefD21_8_0x)+IFERROR(SUM(OSRRefE21_8_0x),0)</f>
        <v>253.85</v>
      </c>
    </row>
    <row r="60" spans="1:17" s="34" customFormat="1" hidden="1" outlineLevel="1" x14ac:dyDescent="0.3">
      <c r="A60" s="35"/>
      <c r="B60" s="10" t="str">
        <f>CONCATENATE("          ","6243", " - ","PAPER SUPPLIES")</f>
        <v xml:space="preserve">          6243 - PAPER SUPPLIES</v>
      </c>
      <c r="C60" s="14"/>
      <c r="D60" s="2">
        <v>1649.24</v>
      </c>
      <c r="E60" s="2">
        <v>900</v>
      </c>
      <c r="F60" s="2">
        <v>7500</v>
      </c>
      <c r="G60" s="2">
        <v>3500</v>
      </c>
      <c r="H60" s="2">
        <v>1600</v>
      </c>
      <c r="I60" s="2">
        <v>1200</v>
      </c>
      <c r="J60" s="2">
        <v>7500</v>
      </c>
      <c r="K60" s="2">
        <v>3800</v>
      </c>
      <c r="L60" s="2">
        <v>150</v>
      </c>
      <c r="M60" s="2">
        <v>4200</v>
      </c>
      <c r="N60" s="2">
        <v>2800</v>
      </c>
      <c r="O60" s="2">
        <v>1250</v>
      </c>
      <c r="P60" s="9"/>
      <c r="Q60" s="2">
        <f>SUM(OSRRefD21_8_1x)+IFERROR(SUM(OSRRefE21_8_1x),0)</f>
        <v>36049.24</v>
      </c>
    </row>
    <row r="61" spans="1:17" s="34" customFormat="1" hidden="1" outlineLevel="1" x14ac:dyDescent="0.3">
      <c r="A61" s="35"/>
      <c r="B61" s="10" t="str">
        <f>CONCATENATE("          ","6245", " - ","PRINTING")</f>
        <v xml:space="preserve">          6245 - PRINTING</v>
      </c>
      <c r="C61" s="14"/>
      <c r="D61" s="2">
        <v>251.64</v>
      </c>
      <c r="E61" s="2">
        <v>30</v>
      </c>
      <c r="F61" s="2">
        <v>1600</v>
      </c>
      <c r="G61" s="2">
        <v>250</v>
      </c>
      <c r="H61" s="2">
        <v>80</v>
      </c>
      <c r="I61" s="2">
        <v>160</v>
      </c>
      <c r="J61" s="2">
        <v>3750</v>
      </c>
      <c r="K61" s="2">
        <v>1600</v>
      </c>
      <c r="L61" s="2">
        <v>500</v>
      </c>
      <c r="M61" s="2">
        <v>50</v>
      </c>
      <c r="N61" s="2">
        <v>2300</v>
      </c>
      <c r="O61" s="2">
        <v>50</v>
      </c>
      <c r="P61" s="9"/>
      <c r="Q61" s="2">
        <f>SUM(OSRRefD21_8_2x)+IFERROR(SUM(OSRRefE21_8_2x),0)</f>
        <v>10621.64</v>
      </c>
    </row>
    <row r="62" spans="1:17" s="34" customFormat="1" hidden="1" outlineLevel="1" x14ac:dyDescent="0.3">
      <c r="A62" s="35"/>
      <c r="B62" s="10" t="str">
        <f>CONCATENATE("          ","6247", " - ","STORE SUPPLIES")</f>
        <v xml:space="preserve">          6247 - STORE SUPPLIES</v>
      </c>
      <c r="C62" s="14"/>
      <c r="D62" s="2">
        <v>1062.06</v>
      </c>
      <c r="E62" s="2">
        <v>0</v>
      </c>
      <c r="F62" s="2">
        <v>100</v>
      </c>
      <c r="G62" s="2">
        <v>300</v>
      </c>
      <c r="H62" s="2">
        <v>0</v>
      </c>
      <c r="I62" s="2">
        <v>150</v>
      </c>
      <c r="J62" s="2">
        <v>500</v>
      </c>
      <c r="K62" s="2">
        <v>500</v>
      </c>
      <c r="L62" s="2">
        <v>700</v>
      </c>
      <c r="M62" s="2">
        <v>350</v>
      </c>
      <c r="N62" s="2">
        <v>400</v>
      </c>
      <c r="O62" s="2"/>
      <c r="P62" s="9"/>
      <c r="Q62" s="2">
        <f>SUM(OSRRefD21_8_3x)+IFERROR(SUM(OSRRefE21_8_3x),0)</f>
        <v>4062.06</v>
      </c>
    </row>
    <row r="63" spans="1:17" s="34" customFormat="1" collapsed="1" x14ac:dyDescent="0.3">
      <c r="A63" s="35"/>
      <c r="B63" s="14" t="str">
        <f>CONCATENATE("     ","Telephone/Data Lines                              ")</f>
        <v xml:space="preserve">     Telephone/Data Lines                              </v>
      </c>
      <c r="C63" s="14"/>
      <c r="D63" s="1">
        <f>SUM(OSRRefD21_9x_0)</f>
        <v>167.8</v>
      </c>
      <c r="E63" s="1">
        <f>SUM(OSRRefE21_9x_0)</f>
        <v>175</v>
      </c>
      <c r="F63" s="1">
        <f>SUM(OSRRefE21_9x_1)</f>
        <v>175</v>
      </c>
      <c r="G63" s="1">
        <f>SUM(OSRRefE21_9x_2)</f>
        <v>175</v>
      </c>
      <c r="H63" s="1">
        <f>SUM(OSRRefE21_9x_3)</f>
        <v>175</v>
      </c>
      <c r="I63" s="1">
        <f>SUM(OSRRefE21_9x_4)</f>
        <v>175</v>
      </c>
      <c r="J63" s="1">
        <f>SUM(OSRRefE21_9x_5)</f>
        <v>175</v>
      </c>
      <c r="K63" s="1">
        <f>SUM(OSRRefE21_9x_6)</f>
        <v>175</v>
      </c>
      <c r="L63" s="1">
        <f>SUM(OSRRefE21_9x_7)</f>
        <v>175</v>
      </c>
      <c r="M63" s="1">
        <f>SUM(OSRRefE21_9x_8)</f>
        <v>175</v>
      </c>
      <c r="N63" s="1">
        <f>SUM(OSRRefE21_9x_9)</f>
        <v>175</v>
      </c>
      <c r="O63" s="1">
        <f>SUM(OSRRefE21_9x_10)</f>
        <v>175</v>
      </c>
      <c r="Q63" s="2">
        <f>SUM(OSRRefD20_9x)+IFERROR(SUM(OSRRefE20_9x),0)</f>
        <v>2092.8000000000002</v>
      </c>
    </row>
    <row r="64" spans="1:17" s="34" customFormat="1" hidden="1" outlineLevel="1" x14ac:dyDescent="0.3">
      <c r="A64" s="35"/>
      <c r="B64" s="10" t="str">
        <f>CONCATENATE("          ","6309", " - ","TELEPHONE")</f>
        <v xml:space="preserve">          6309 - TELEPHONE</v>
      </c>
      <c r="C64" s="14"/>
      <c r="D64" s="2">
        <v>167.8</v>
      </c>
      <c r="E64" s="2">
        <v>175</v>
      </c>
      <c r="F64" s="2">
        <v>175</v>
      </c>
      <c r="G64" s="2">
        <v>175</v>
      </c>
      <c r="H64" s="2">
        <v>175</v>
      </c>
      <c r="I64" s="2">
        <v>175</v>
      </c>
      <c r="J64" s="2">
        <v>175</v>
      </c>
      <c r="K64" s="2">
        <v>175</v>
      </c>
      <c r="L64" s="2">
        <v>175</v>
      </c>
      <c r="M64" s="2">
        <v>175</v>
      </c>
      <c r="N64" s="2">
        <v>175</v>
      </c>
      <c r="O64" s="2">
        <v>175</v>
      </c>
      <c r="P64" s="9"/>
      <c r="Q64" s="2">
        <f>SUM(OSRRefD21_9_0x)+IFERROR(SUM(OSRRefE21_9_0x),0)</f>
        <v>2092.8000000000002</v>
      </c>
    </row>
    <row r="65" spans="1:17" s="28" customFormat="1" x14ac:dyDescent="0.3">
      <c r="A65" s="21"/>
      <c r="B65" s="21"/>
      <c r="C65" s="2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</row>
    <row r="66" spans="1:17" s="9" customFormat="1" x14ac:dyDescent="0.3">
      <c r="A66" s="22"/>
      <c r="B66" s="16" t="s">
        <v>293</v>
      </c>
      <c r="C66" s="23"/>
      <c r="D66" s="3">
        <f>0</f>
        <v>0</v>
      </c>
      <c r="E66" s="3">
        <v>6782</v>
      </c>
      <c r="F66" s="3">
        <v>6782</v>
      </c>
      <c r="G66" s="3">
        <v>6782</v>
      </c>
      <c r="H66" s="3">
        <v>6782</v>
      </c>
      <c r="I66" s="3"/>
      <c r="J66" s="3"/>
      <c r="K66" s="3"/>
      <c r="L66" s="3"/>
      <c r="M66" s="3"/>
      <c r="N66" s="3"/>
      <c r="O66" s="3"/>
      <c r="Q66" s="2">
        <f>SUM(OSRRefD23_0x)+IFERROR(SUM(OSRRefE23_0x),0)</f>
        <v>27128</v>
      </c>
    </row>
    <row r="67" spans="1:17" x14ac:dyDescent="0.3">
      <c r="A67" s="5"/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</row>
    <row r="68" spans="1:17" s="15" customFormat="1" x14ac:dyDescent="0.3">
      <c r="A68" s="6"/>
      <c r="B68" s="17" t="s">
        <v>276</v>
      </c>
      <c r="C68" s="17"/>
      <c r="D68" s="8">
        <f t="shared" ref="D68:O68" si="2">IFERROR(+D18-D21+D66, 0)</f>
        <v>-35127.08</v>
      </c>
      <c r="E68" s="8">
        <f t="shared" si="2"/>
        <v>59850.868195769217</v>
      </c>
      <c r="F68" s="8">
        <f t="shared" si="2"/>
        <v>7250.9977380769342</v>
      </c>
      <c r="G68" s="8">
        <f t="shared" si="2"/>
        <v>-40280.775299519242</v>
      </c>
      <c r="H68" s="8">
        <f t="shared" si="2"/>
        <v>-13132.057119615391</v>
      </c>
      <c r="I68" s="8">
        <f t="shared" si="2"/>
        <v>-259.63381961539199</v>
      </c>
      <c r="J68" s="8">
        <f t="shared" si="2"/>
        <v>67700.698120480753</v>
      </c>
      <c r="K68" s="8">
        <f t="shared" si="2"/>
        <v>8992.3436763846112</v>
      </c>
      <c r="L68" s="8">
        <f t="shared" si="2"/>
        <v>22613.395024384608</v>
      </c>
      <c r="M68" s="8">
        <f t="shared" si="2"/>
        <v>13046.269044480752</v>
      </c>
      <c r="N68" s="8">
        <f t="shared" si="2"/>
        <v>15963.395024384608</v>
      </c>
      <c r="O68" s="8">
        <f t="shared" si="2"/>
        <v>-18689.503919615392</v>
      </c>
      <c r="Q68" s="8">
        <f>IFERROR(+Q18-Q21+Q66, 0)</f>
        <v>87928.916665596131</v>
      </c>
    </row>
    <row r="69" spans="1:17" s="6" customFormat="1" x14ac:dyDescent="0.3">
      <c r="B69" s="16"/>
      <c r="C69" s="16"/>
      <c r="D69" s="4">
        <f t="shared" ref="D69:O69" si="3">IFERROR(D68/D10, 0)</f>
        <v>-13.874350264633859</v>
      </c>
      <c r="E69" s="4">
        <f t="shared" si="3"/>
        <v>1.3389455972207878</v>
      </c>
      <c r="F69" s="4">
        <f t="shared" si="3"/>
        <v>0.25989239204576825</v>
      </c>
      <c r="G69" s="4">
        <f t="shared" si="3"/>
        <v>-1.7628348052306013</v>
      </c>
      <c r="H69" s="4">
        <f t="shared" si="3"/>
        <v>-0.8611184996469109</v>
      </c>
      <c r="I69" s="4">
        <f t="shared" si="3"/>
        <v>-1.464375745151675E-2</v>
      </c>
      <c r="J69" s="4">
        <f t="shared" si="3"/>
        <v>0.76068200135371633</v>
      </c>
      <c r="K69" s="4">
        <f t="shared" si="3"/>
        <v>0.19296874842027062</v>
      </c>
      <c r="L69" s="4">
        <f t="shared" si="3"/>
        <v>0.48526598764773837</v>
      </c>
      <c r="M69" s="4">
        <f t="shared" si="3"/>
        <v>0.32615672611201879</v>
      </c>
      <c r="N69" s="4">
        <f t="shared" si="3"/>
        <v>0.339646702646481</v>
      </c>
      <c r="O69" s="4">
        <f t="shared" si="3"/>
        <v>-3.3374114142170344</v>
      </c>
      <c r="P69" s="18"/>
      <c r="Q69" s="4">
        <f>IFERROR(Q68/Q10, 0)</f>
        <v>0.21670082463552787</v>
      </c>
    </row>
    <row r="70" spans="1:17" x14ac:dyDescent="0.3">
      <c r="A70" s="5"/>
      <c r="B70" s="6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1:17" s="15" customFormat="1" x14ac:dyDescent="0.3">
      <c r="A71" s="25"/>
      <c r="B71" s="6" t="s">
        <v>125</v>
      </c>
      <c r="C71" s="6"/>
      <c r="D71" s="3">
        <v>1169.68</v>
      </c>
      <c r="E71" s="3">
        <v>4331</v>
      </c>
      <c r="F71" s="3">
        <v>2868</v>
      </c>
      <c r="G71" s="3">
        <v>3110</v>
      </c>
      <c r="H71" s="3">
        <v>2890</v>
      </c>
      <c r="I71" s="3">
        <v>2801</v>
      </c>
      <c r="J71" s="3">
        <v>10604</v>
      </c>
      <c r="K71" s="3">
        <v>5026</v>
      </c>
      <c r="L71" s="3">
        <v>5551</v>
      </c>
      <c r="M71" s="3">
        <v>5307</v>
      </c>
      <c r="N71" s="3">
        <v>6161</v>
      </c>
      <c r="O71" s="3">
        <v>-3596</v>
      </c>
      <c r="Q71" s="2">
        <f>SUM(OSRRefD28_0x)+IFERROR(SUM(OSRRefE28_0x),0)</f>
        <v>46222.68</v>
      </c>
    </row>
    <row r="72" spans="1:17" x14ac:dyDescent="0.3">
      <c r="A72" s="5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ht="15" thickBot="1" x14ac:dyDescent="0.35">
      <c r="A73" s="6"/>
      <c r="B73" s="17" t="s">
        <v>124</v>
      </c>
      <c r="C73" s="17"/>
      <c r="D73" s="7">
        <f t="shared" ref="D73:O73" si="4">IFERROR(+D68-D71, 0)</f>
        <v>-36296.76</v>
      </c>
      <c r="E73" s="7">
        <f t="shared" si="4"/>
        <v>55519.868195769217</v>
      </c>
      <c r="F73" s="7">
        <f t="shared" si="4"/>
        <v>4382.9977380769342</v>
      </c>
      <c r="G73" s="7">
        <f t="shared" si="4"/>
        <v>-43390.775299519242</v>
      </c>
      <c r="H73" s="7">
        <f t="shared" si="4"/>
        <v>-16022.057119615391</v>
      </c>
      <c r="I73" s="7">
        <f t="shared" si="4"/>
        <v>-3060.633819615392</v>
      </c>
      <c r="J73" s="7">
        <f t="shared" si="4"/>
        <v>57096.698120480753</v>
      </c>
      <c r="K73" s="7">
        <f t="shared" si="4"/>
        <v>3966.3436763846112</v>
      </c>
      <c r="L73" s="7">
        <f t="shared" si="4"/>
        <v>17062.395024384608</v>
      </c>
      <c r="M73" s="7">
        <f t="shared" si="4"/>
        <v>7739.2690444807522</v>
      </c>
      <c r="N73" s="7">
        <f t="shared" si="4"/>
        <v>9802.3950243846084</v>
      </c>
      <c r="O73" s="7">
        <f t="shared" si="4"/>
        <v>-15093.503919615392</v>
      </c>
      <c r="Q73" s="7">
        <f>IFERROR(+Q68-Q71, 0)</f>
        <v>41706.23666559613</v>
      </c>
    </row>
    <row r="74" spans="1:17" ht="15" thickTop="1" x14ac:dyDescent="0.3">
      <c r="A74" s="5"/>
      <c r="B74" s="5"/>
      <c r="C74" s="5"/>
      <c r="D74" s="4">
        <f t="shared" ref="D74:O74" si="5">IFERROR(D73/D10, 0)</f>
        <v>-14.336345682913345</v>
      </c>
      <c r="E74" s="4">
        <f t="shared" si="5"/>
        <v>1.2420552169075887</v>
      </c>
      <c r="F74" s="4">
        <f t="shared" si="5"/>
        <v>0.15709669312103708</v>
      </c>
      <c r="G74" s="4">
        <f t="shared" si="5"/>
        <v>-1.8989398380533584</v>
      </c>
      <c r="H74" s="4">
        <f t="shared" si="5"/>
        <v>-1.0506266963682223</v>
      </c>
      <c r="I74" s="4">
        <f t="shared" si="5"/>
        <v>-0.17262458091457372</v>
      </c>
      <c r="J74" s="4">
        <f t="shared" si="5"/>
        <v>0.64153593393798602</v>
      </c>
      <c r="K74" s="4">
        <f t="shared" si="5"/>
        <v>8.5114671167051736E-2</v>
      </c>
      <c r="L74" s="4">
        <f t="shared" si="5"/>
        <v>0.36614581597391865</v>
      </c>
      <c r="M74" s="4">
        <f t="shared" si="5"/>
        <v>0.1934817261120188</v>
      </c>
      <c r="N74" s="4">
        <f t="shared" si="5"/>
        <v>0.20856159626350232</v>
      </c>
      <c r="O74" s="4">
        <f t="shared" si="5"/>
        <v>-2.695268557074177</v>
      </c>
      <c r="P74" s="18"/>
      <c r="Q74" s="4">
        <f>IFERROR(Q73/Q10, 0)</f>
        <v>0.10278502477462426</v>
      </c>
    </row>
    <row r="75" spans="1:17" x14ac:dyDescent="0.3">
      <c r="A75" s="5"/>
      <c r="B75" s="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</row>
    <row r="76" spans="1:17" x14ac:dyDescent="0.3">
      <c r="A76" s="5"/>
      <c r="B76" s="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</row>
    <row r="77" spans="1:17" s="15" customFormat="1" ht="15" thickBot="1" x14ac:dyDescent="0.35">
      <c r="A77" s="6"/>
      <c r="B77" s="17" t="s">
        <v>294</v>
      </c>
      <c r="C77" s="17"/>
      <c r="D77" s="7">
        <f t="shared" ref="D77:O77" si="6">IFERROR(SUM(D73:D76), 0)</f>
        <v>-36311.096345682912</v>
      </c>
      <c r="E77" s="7">
        <f t="shared" si="6"/>
        <v>55521.110250986123</v>
      </c>
      <c r="F77" s="7">
        <f t="shared" si="6"/>
        <v>4383.1548347700555</v>
      </c>
      <c r="G77" s="7">
        <f t="shared" si="6"/>
        <v>-43392.674239357293</v>
      </c>
      <c r="H77" s="7">
        <f t="shared" si="6"/>
        <v>-16023.107746311758</v>
      </c>
      <c r="I77" s="7">
        <f t="shared" si="6"/>
        <v>-3060.8064441963065</v>
      </c>
      <c r="J77" s="7">
        <f t="shared" si="6"/>
        <v>57097.33965641469</v>
      </c>
      <c r="K77" s="7">
        <f t="shared" si="6"/>
        <v>3966.4287910557782</v>
      </c>
      <c r="L77" s="7">
        <f t="shared" si="6"/>
        <v>17062.761170200582</v>
      </c>
      <c r="M77" s="7">
        <f t="shared" si="6"/>
        <v>7739.4625262068639</v>
      </c>
      <c r="N77" s="7">
        <f t="shared" si="6"/>
        <v>9802.6035859808726</v>
      </c>
      <c r="O77" s="7">
        <f t="shared" si="6"/>
        <v>-15096.199188172466</v>
      </c>
      <c r="Q77" s="7">
        <f>IFERROR(SUM(Q73:Q76), 0)</f>
        <v>41706.339450620908</v>
      </c>
    </row>
    <row r="78" spans="1:17" ht="15" thickTop="1" x14ac:dyDescent="0.3">
      <c r="A78" s="5"/>
      <c r="C78" s="5"/>
      <c r="D78" s="4">
        <f t="shared" ref="D78:O78" si="7">IFERROR(D77/D10, 0)</f>
        <v>-14.342008194044915</v>
      </c>
      <c r="E78" s="4">
        <f t="shared" si="7"/>
        <v>1.2420830033777657</v>
      </c>
      <c r="F78" s="4">
        <f t="shared" si="7"/>
        <v>0.15710232382688372</v>
      </c>
      <c r="G78" s="4">
        <f t="shared" si="7"/>
        <v>-1.8990229426414571</v>
      </c>
      <c r="H78" s="4">
        <f t="shared" si="7"/>
        <v>-1.0506955899220825</v>
      </c>
      <c r="I78" s="4">
        <f t="shared" si="7"/>
        <v>-0.17263431721355366</v>
      </c>
      <c r="J78" s="4">
        <f t="shared" si="7"/>
        <v>0.64154314220690667</v>
      </c>
      <c r="K78" s="4">
        <f t="shared" si="7"/>
        <v>8.5116497662141161E-2</v>
      </c>
      <c r="L78" s="4">
        <f t="shared" si="7"/>
        <v>0.36615367318026998</v>
      </c>
      <c r="M78" s="4">
        <f t="shared" si="7"/>
        <v>0.1934865631551716</v>
      </c>
      <c r="N78" s="4">
        <f t="shared" si="7"/>
        <v>0.20856603374427388</v>
      </c>
      <c r="O78" s="4">
        <f t="shared" si="7"/>
        <v>-2.6957498550307974</v>
      </c>
      <c r="P78" s="18"/>
      <c r="Q78" s="4">
        <f>IFERROR(Q77/Q10, 0)</f>
        <v>0.10278527808832894</v>
      </c>
    </row>
    <row r="79" spans="1:17" x14ac:dyDescent="0.3">
      <c r="A79" s="5"/>
      <c r="B79" s="30">
        <v>44462.678423958336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1"/>
    </row>
    <row r="80" spans="1:17" x14ac:dyDescent="0.3">
      <c r="A80" s="5"/>
      <c r="B80" s="31" t="s">
        <v>54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 s="11"/>
    </row>
    <row r="81" spans="1:17" x14ac:dyDescent="0.3">
      <c r="A81" s="5"/>
      <c r="B81" s="2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1"/>
    </row>
    <row r="82" spans="1:17" x14ac:dyDescent="0.3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C000"/>
    <outlinePr summaryBelow="0" summaryRight="0"/>
    <pageSetUpPr fitToPage="1"/>
  </sheetPr>
  <dimension ref="A2:R8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220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95306.299999999988</v>
      </c>
      <c r="E10" s="3">
        <f>SUM(OSRRefE11x_0)</f>
        <v>376137</v>
      </c>
      <c r="F10" s="3">
        <f>SUM(OSRRefE11x_1)</f>
        <v>240245</v>
      </c>
      <c r="G10" s="3">
        <f>SUM(OSRRefE11x_2)</f>
        <v>109670</v>
      </c>
      <c r="H10" s="3">
        <f>SUM(OSRRefE11x_3)</f>
        <v>120360</v>
      </c>
      <c r="I10" s="3">
        <f>SUM(OSRRefE11x_4)</f>
        <v>63373</v>
      </c>
      <c r="J10" s="3">
        <f>SUM(OSRRefE11x_5)</f>
        <v>182857</v>
      </c>
      <c r="K10" s="3">
        <f>SUM(OSRRefE11x_6)</f>
        <v>106698</v>
      </c>
      <c r="L10" s="3">
        <f>SUM(OSRRefE11x_7)</f>
        <v>108570</v>
      </c>
      <c r="M10" s="3">
        <f>SUM(OSRRefE11x_8)</f>
        <v>206230</v>
      </c>
      <c r="N10" s="3">
        <f>SUM(OSRRefE11x_9)</f>
        <v>387930</v>
      </c>
      <c r="O10" s="3">
        <f>SUM(OSRRefE11x_10)</f>
        <v>106336</v>
      </c>
      <c r="P10" s="24"/>
      <c r="Q10" s="3">
        <f>SUM(OSRRefG11x)</f>
        <v>2103712.3000000003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--81956.26</f>
        <v>81956.259999999995</v>
      </c>
      <c r="E11" s="2">
        <v>356294</v>
      </c>
      <c r="F11" s="2">
        <v>226713</v>
      </c>
      <c r="G11" s="2">
        <v>99228</v>
      </c>
      <c r="H11" s="2">
        <v>114547</v>
      </c>
      <c r="I11" s="2">
        <v>56442</v>
      </c>
      <c r="J11" s="2">
        <v>166280</v>
      </c>
      <c r="K11" s="2">
        <v>94619</v>
      </c>
      <c r="L11" s="2">
        <v>94696</v>
      </c>
      <c r="M11" s="2">
        <v>188537</v>
      </c>
      <c r="N11" s="2">
        <v>371978</v>
      </c>
      <c r="O11" s="2">
        <v>103131</v>
      </c>
      <c r="Q11" s="2">
        <f>SUM(OSRRefD11_0x)+IFERROR(SUM(OSRRefE11_0x),0)</f>
        <v>1954421.26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--40967.98</f>
        <v>40967.980000000003</v>
      </c>
      <c r="E12" s="2">
        <v>19843</v>
      </c>
      <c r="F12" s="2">
        <v>13532</v>
      </c>
      <c r="G12" s="2">
        <v>10442</v>
      </c>
      <c r="H12" s="2">
        <v>5813</v>
      </c>
      <c r="I12" s="2">
        <v>6931</v>
      </c>
      <c r="J12" s="2">
        <v>16577</v>
      </c>
      <c r="K12" s="2">
        <v>12079</v>
      </c>
      <c r="L12" s="2">
        <v>13874</v>
      </c>
      <c r="M12" s="2">
        <v>17693</v>
      </c>
      <c r="N12" s="2">
        <v>15952</v>
      </c>
      <c r="O12" s="2">
        <v>3205</v>
      </c>
      <c r="Q12" s="2">
        <f>SUM(OSRRefD11_1x)+IFERROR(SUM(OSRRefE11_1x),0)</f>
        <v>176908.98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-27218.94</f>
        <v>-27218.94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-27218.94</v>
      </c>
    </row>
    <row r="14" spans="1:18" s="9" customFormat="1" hidden="1" outlineLevel="1" x14ac:dyDescent="0.3">
      <c r="A14" s="22"/>
      <c r="B14" s="10" t="str">
        <f>CONCATENATE("          ","4300", " - ","NON-TAX RETURNS")</f>
        <v xml:space="preserve">          4300 - NON-TAX RETURNS</v>
      </c>
      <c r="C14" s="23"/>
      <c r="D14" s="2">
        <f>-399</f>
        <v>-399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-399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82371.47</v>
      </c>
      <c r="E16" s="3">
        <f>SUM(OSRRefE14x_0)</f>
        <v>336642</v>
      </c>
      <c r="F16" s="3">
        <f>SUM(OSRRefE14x_1)</f>
        <v>215019</v>
      </c>
      <c r="G16" s="3">
        <f>SUM(OSRRefE14x_2)</f>
        <v>98154</v>
      </c>
      <c r="H16" s="3">
        <f>SUM(OSRRefE14x_3)</f>
        <v>107722</v>
      </c>
      <c r="I16" s="3">
        <f>SUM(OSRRefE14x_4)</f>
        <v>56719</v>
      </c>
      <c r="J16" s="3">
        <f>SUM(OSRRefE14x_5)</f>
        <v>163656</v>
      </c>
      <c r="K16" s="3">
        <f>SUM(OSRRefE14x_6)</f>
        <v>95495</v>
      </c>
      <c r="L16" s="3">
        <f>SUM(OSRRefE14x_7)</f>
        <v>97170</v>
      </c>
      <c r="M16" s="3">
        <f>SUM(OSRRefE14x_8)</f>
        <v>184575</v>
      </c>
      <c r="N16" s="3">
        <f>SUM(OSRRefE14x_9)</f>
        <v>347197</v>
      </c>
      <c r="O16" s="3">
        <f>SUM(OSRRefE14x_10)</f>
        <v>95171</v>
      </c>
      <c r="Q16" s="3">
        <f>SUM(OSRRefG14x)</f>
        <v>1879891.4700000002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>
        <v>97362.54</v>
      </c>
      <c r="E17" s="2">
        <v>336642</v>
      </c>
      <c r="F17" s="2">
        <v>215019</v>
      </c>
      <c r="G17" s="2">
        <v>98154</v>
      </c>
      <c r="H17" s="2">
        <v>107722</v>
      </c>
      <c r="I17" s="2">
        <v>56719</v>
      </c>
      <c r="J17" s="2">
        <v>163656</v>
      </c>
      <c r="K17" s="2">
        <v>95495</v>
      </c>
      <c r="L17" s="2">
        <v>97170</v>
      </c>
      <c r="M17" s="2">
        <v>184575</v>
      </c>
      <c r="N17" s="2">
        <v>347197</v>
      </c>
      <c r="O17" s="2">
        <v>95171</v>
      </c>
      <c r="Q17" s="2">
        <f>SUM(OSRRefD14_0x)+IFERROR(SUM(OSRRefE14_0x),0)</f>
        <v>1894882.54</v>
      </c>
    </row>
    <row r="18" spans="1:17" s="9" customFormat="1" hidden="1" outlineLevel="1" x14ac:dyDescent="0.3">
      <c r="A18" s="22"/>
      <c r="B18" s="10" t="str">
        <f>CONCATENATE("          ","5081", " - ","PURCHASES @ COST-ELECTRONICS")</f>
        <v xml:space="preserve">          5081 - PURCHASES @ COST-ELECTRONICS</v>
      </c>
      <c r="C18" s="23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0</v>
      </c>
    </row>
    <row r="19" spans="1:17" s="9" customFormat="1" hidden="1" outlineLevel="1" x14ac:dyDescent="0.3">
      <c r="A19" s="22"/>
      <c r="B19" s="10" t="str">
        <f>CONCATENATE("          ","5082", " - ","PURCHASES @ COST-COMPUTER HARD")</f>
        <v xml:space="preserve">          5082 - PURCHASES @ COST-COMPUTER HARD</v>
      </c>
      <c r="C19" s="23"/>
      <c r="D19" s="2">
        <v>-10902.62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-10902.62</v>
      </c>
    </row>
    <row r="20" spans="1:17" s="9" customFormat="1" hidden="1" outlineLevel="1" x14ac:dyDescent="0.3">
      <c r="A20" s="22"/>
      <c r="B20" s="10" t="str">
        <f>CONCATENATE("          ","5083", " - ","PURCHASES @ COST-COMPUTER EQUI")</f>
        <v xml:space="preserve">          5083 - PURCHASES @ COST-COMPUTER EQUI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SUM(OSRRefD14_3x)+IFERROR(SUM(OSRRefE14_3x),0)</f>
        <v>0</v>
      </c>
    </row>
    <row r="21" spans="1:17" s="9" customFormat="1" hidden="1" outlineLevel="1" x14ac:dyDescent="0.3">
      <c r="A21" s="22"/>
      <c r="B21" s="10" t="str">
        <f>CONCATENATE("          ","5085", " - ","PURCHASES @ COST-SOFTWARE")</f>
        <v xml:space="preserve">          5085 - PURCHASES @ COST-SOFTWARE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SUM(OSRRefD14_4x)+IFERROR(SUM(OSRRefE14_4x),0)</f>
        <v>0</v>
      </c>
    </row>
    <row r="22" spans="1:17" s="9" customFormat="1" hidden="1" outlineLevel="1" x14ac:dyDescent="0.3">
      <c r="A22" s="22"/>
      <c r="B22" s="10" t="str">
        <f>CONCATENATE("          ","5086", " - ","PURCHASES @ COST-COMPUTER SUPP")</f>
        <v xml:space="preserve">          5086 - PURCHASES @ COST-COMPUTER SUPP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SUM(OSRRefD14_5x)+IFERROR(SUM(OSRRefE14_5x),0)</f>
        <v>0</v>
      </c>
    </row>
    <row r="23" spans="1:17" s="9" customFormat="1" hidden="1" outlineLevel="1" x14ac:dyDescent="0.3">
      <c r="A23" s="22"/>
      <c r="B23" s="10" t="str">
        <f>CONCATENATE("          ","5200", " - ","PURCHASES OFFSET")</f>
        <v xml:space="preserve">          5200 - PURCHASES OFFSET</v>
      </c>
      <c r="C23" s="23"/>
      <c r="D23" s="2">
        <v>-97382.65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SUM(OSRRefD14_6x)+IFERROR(SUM(OSRRefE14_6x),0)</f>
        <v>-97382.65</v>
      </c>
    </row>
    <row r="24" spans="1:17" s="9" customFormat="1" hidden="1" outlineLevel="1" x14ac:dyDescent="0.3">
      <c r="A24" s="22"/>
      <c r="B24" s="10" t="str">
        <f>CONCATENATE("          ","5300", " - ","COG$ OFFSET")</f>
        <v xml:space="preserve">          5300 - COG$ OFFSET</v>
      </c>
      <c r="C24" s="23"/>
      <c r="D24" s="2">
        <v>93274.09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SUM(OSRRefD14_7x)+IFERROR(SUM(OSRRefE14_7x),0)</f>
        <v>93274.09</v>
      </c>
    </row>
    <row r="25" spans="1:17" s="9" customFormat="1" hidden="1" outlineLevel="1" x14ac:dyDescent="0.3">
      <c r="A25" s="22"/>
      <c r="B25" s="10" t="str">
        <f>CONCATENATE("          ","5500", " - ","FREIGHT-IN")</f>
        <v xml:space="preserve">          5500 - FREIGHT-IN</v>
      </c>
      <c r="C25" s="23"/>
      <c r="D25" s="2">
        <v>20.11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SUM(OSRRefD14_8x)+IFERROR(SUM(OSRRefE14_8x),0)</f>
        <v>20.11</v>
      </c>
    </row>
    <row r="26" spans="1:17" s="9" customFormat="1" hidden="1" outlineLevel="1" x14ac:dyDescent="0.3">
      <c r="A26" s="22"/>
      <c r="B26" s="10" t="str">
        <f>CONCATENATE("          ","5583", " - ","FREIGHT-IN-COMPUTER EQUIPMENT")</f>
        <v xml:space="preserve">          5583 - FREIGHT-IN-COMPUTER EQUIPMENT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SUM(OSRRefD14_9x)+IFERROR(SUM(OSRRefE14_9x),0)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6"/>
      <c r="B28" s="17" t="s">
        <v>105</v>
      </c>
      <c r="C28" s="17"/>
      <c r="D28" s="8">
        <f t="shared" ref="D28:O28" si="0">IFERROR(+D10-D16, 0)</f>
        <v>12934.829999999987</v>
      </c>
      <c r="E28" s="8">
        <f t="shared" si="0"/>
        <v>39495</v>
      </c>
      <c r="F28" s="8">
        <f t="shared" si="0"/>
        <v>25226</v>
      </c>
      <c r="G28" s="8">
        <f t="shared" si="0"/>
        <v>11516</v>
      </c>
      <c r="H28" s="8">
        <f t="shared" si="0"/>
        <v>12638</v>
      </c>
      <c r="I28" s="8">
        <f t="shared" si="0"/>
        <v>6654</v>
      </c>
      <c r="J28" s="8">
        <f t="shared" si="0"/>
        <v>19201</v>
      </c>
      <c r="K28" s="8">
        <f t="shared" si="0"/>
        <v>11203</v>
      </c>
      <c r="L28" s="8">
        <f t="shared" si="0"/>
        <v>11400</v>
      </c>
      <c r="M28" s="8">
        <f t="shared" si="0"/>
        <v>21655</v>
      </c>
      <c r="N28" s="8">
        <f t="shared" si="0"/>
        <v>40733</v>
      </c>
      <c r="O28" s="8">
        <f t="shared" si="0"/>
        <v>11165</v>
      </c>
      <c r="Q28" s="8">
        <f>IFERROR(+Q10-Q16, 0)</f>
        <v>223820.83000000007</v>
      </c>
    </row>
    <row r="29" spans="1:17" s="6" customFormat="1" x14ac:dyDescent="0.3">
      <c r="B29" s="16"/>
      <c r="C29" s="16"/>
      <c r="D29" s="4">
        <f t="shared" ref="D29:O29" si="1">IFERROR(D28/D10, 0)</f>
        <v>0.13571852018177172</v>
      </c>
      <c r="E29" s="4">
        <f t="shared" si="1"/>
        <v>0.10500163504255099</v>
      </c>
      <c r="F29" s="4">
        <f t="shared" si="1"/>
        <v>0.10500114466482133</v>
      </c>
      <c r="G29" s="4">
        <f t="shared" si="1"/>
        <v>0.10500592687152366</v>
      </c>
      <c r="H29" s="4">
        <f t="shared" si="1"/>
        <v>0.1050016616816218</v>
      </c>
      <c r="I29" s="4">
        <f t="shared" si="1"/>
        <v>0.10499739636753823</v>
      </c>
      <c r="J29" s="4">
        <f t="shared" si="1"/>
        <v>0.10500555078558656</v>
      </c>
      <c r="K29" s="4">
        <f t="shared" si="1"/>
        <v>0.10499728204839828</v>
      </c>
      <c r="L29" s="4">
        <f t="shared" si="1"/>
        <v>0.10500138159712628</v>
      </c>
      <c r="M29" s="4">
        <f t="shared" si="1"/>
        <v>0.10500412161179266</v>
      </c>
      <c r="N29" s="4">
        <f t="shared" si="1"/>
        <v>0.10500090222462816</v>
      </c>
      <c r="O29" s="4">
        <f t="shared" si="1"/>
        <v>0.10499736683719531</v>
      </c>
      <c r="P29" s="18"/>
      <c r="Q29" s="4">
        <f>IFERROR(Q28/Q10, 0)</f>
        <v>0.10639326965003724</v>
      </c>
    </row>
    <row r="30" spans="1:17" x14ac:dyDescent="0.3">
      <c r="A30" s="5"/>
      <c r="B30" s="6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</row>
    <row r="31" spans="1:17" s="15" customFormat="1" x14ac:dyDescent="0.3">
      <c r="A31" s="6"/>
      <c r="B31" s="16" t="s">
        <v>255</v>
      </c>
      <c r="C31" s="6"/>
      <c r="D31" s="13">
        <f>SUM(OSRRefD20x_0)</f>
        <v>16884.670000000002</v>
      </c>
      <c r="E31" s="13">
        <f>SUM(OSRRefE20x_0)</f>
        <v>17498.206984870001</v>
      </c>
      <c r="F31" s="13">
        <f>SUM(OSRRefE20x_1)</f>
        <v>15628.74798487</v>
      </c>
      <c r="G31" s="13">
        <f>SUM(OSRRefE20x_2)</f>
        <v>17042.1444810875</v>
      </c>
      <c r="H31" s="13">
        <f>SUM(OSRRefE20x_3)</f>
        <v>13594.64258487</v>
      </c>
      <c r="I31" s="13">
        <f>SUM(OSRRefE20x_4)</f>
        <v>13451.32058487</v>
      </c>
      <c r="J31" s="13">
        <f>SUM(OSRRefE20x_5)</f>
        <v>19194.0356750875</v>
      </c>
      <c r="K31" s="13">
        <f>SUM(OSRRefE20x_6)</f>
        <v>14386.013488870001</v>
      </c>
      <c r="L31" s="13">
        <f>SUM(OSRRefE20x_7)</f>
        <v>14136.013488870001</v>
      </c>
      <c r="M31" s="13">
        <f>SUM(OSRRefE20x_8)</f>
        <v>17682.834579087499</v>
      </c>
      <c r="N31" s="13">
        <f>SUM(OSRRefE20x_9)</f>
        <v>15550.733476869998</v>
      </c>
      <c r="O31" s="13">
        <f>SUM(OSRRefE20x_10)</f>
        <v>13656.93609967</v>
      </c>
      <c r="Q31" s="13">
        <f>SUM(OSRRefG20x)</f>
        <v>188706.2994290225</v>
      </c>
    </row>
    <row r="32" spans="1:17" s="34" customFormat="1" collapsed="1" x14ac:dyDescent="0.3">
      <c r="A32" s="35"/>
      <c r="B32" s="14" t="str">
        <f>CONCATENATE("     ","*Benefits                                         ")</f>
        <v xml:space="preserve">     *Benefits                                         </v>
      </c>
      <c r="C32" s="14"/>
      <c r="D32" s="1">
        <f>SUM(OSRRefD21_0x_0)</f>
        <v>2159.6000000000004</v>
      </c>
      <c r="E32" s="1">
        <f>SUM(OSRRefE21_0x_0)</f>
        <v>3080.6564348700003</v>
      </c>
      <c r="F32" s="1">
        <f>SUM(OSRRefE21_0x_1)</f>
        <v>2603.1974348700001</v>
      </c>
      <c r="G32" s="1">
        <f>SUM(OSRRefE21_0x_2)</f>
        <v>3035.2062935875001</v>
      </c>
      <c r="H32" s="1">
        <f>SUM(OSRRefE21_0x_3)</f>
        <v>2541.0920348700001</v>
      </c>
      <c r="I32" s="1">
        <f>SUM(OSRRefE21_0x_4)</f>
        <v>2547.77003487</v>
      </c>
      <c r="J32" s="1">
        <f>SUM(OSRRefE21_0x_5)</f>
        <v>3115.8774875875001</v>
      </c>
      <c r="K32" s="1">
        <f>SUM(OSRRefE21_0x_6)</f>
        <v>2578.94293887</v>
      </c>
      <c r="L32" s="1">
        <f>SUM(OSRRefE21_0x_7)</f>
        <v>2578.94293887</v>
      </c>
      <c r="M32" s="1">
        <f>SUM(OSRRefE21_0x_8)</f>
        <v>3041.1563915874999</v>
      </c>
      <c r="N32" s="1">
        <f>SUM(OSRRefE21_0x_9)</f>
        <v>2563.2229268699998</v>
      </c>
      <c r="O32" s="1">
        <f>SUM(OSRRefE21_0x_10)</f>
        <v>2818.6255496700001</v>
      </c>
      <c r="Q32" s="2">
        <f>SUM(OSRRefD20_0x)+IFERROR(SUM(OSRRefE20_0x),0)</f>
        <v>32664.2904665225</v>
      </c>
    </row>
    <row r="33" spans="1:17" s="34" customFormat="1" hidden="1" outlineLevel="1" x14ac:dyDescent="0.3">
      <c r="A33" s="35"/>
      <c r="B33" s="10" t="str">
        <f>CONCATENATE("          ","6111", " - ","F.I.C.A.")</f>
        <v xml:space="preserve">          6111 - F.I.C.A.</v>
      </c>
      <c r="C33" s="14"/>
      <c r="D33" s="2">
        <v>653.55999999999995</v>
      </c>
      <c r="E33" s="2">
        <v>902.77611956999999</v>
      </c>
      <c r="F33" s="2">
        <v>457.37151956999998</v>
      </c>
      <c r="G33" s="2">
        <v>571.71439946249996</v>
      </c>
      <c r="H33" s="2">
        <v>457.37151956999998</v>
      </c>
      <c r="I33" s="2">
        <v>457.37151956999998</v>
      </c>
      <c r="J33" s="2">
        <v>571.71439946249996</v>
      </c>
      <c r="K33" s="2">
        <v>457.37151956999998</v>
      </c>
      <c r="L33" s="2">
        <v>457.37151956999998</v>
      </c>
      <c r="M33" s="2">
        <v>571.71439946249996</v>
      </c>
      <c r="N33" s="2">
        <v>457.37151956999998</v>
      </c>
      <c r="O33" s="2">
        <v>741.35598236999999</v>
      </c>
      <c r="P33" s="9"/>
      <c r="Q33" s="2">
        <f>SUM(OSRRefD21_0_0x)+IFERROR(SUM(OSRRefE21_0_0x),0)</f>
        <v>6757.0644177475006</v>
      </c>
    </row>
    <row r="34" spans="1:17" s="34" customFormat="1" hidden="1" outlineLevel="1" x14ac:dyDescent="0.3">
      <c r="A34" s="35"/>
      <c r="B34" s="10" t="str">
        <f>CONCATENATE("          ","6112", " - ","COMPENSATION INSURANCE")</f>
        <v xml:space="preserve">          6112 - COMPENSATION INSURANCE</v>
      </c>
      <c r="C34" s="14"/>
      <c r="D34" s="2">
        <v>177.36</v>
      </c>
      <c r="E34" s="2">
        <v>184.02335640000001</v>
      </c>
      <c r="F34" s="2">
        <v>173.5401564</v>
      </c>
      <c r="G34" s="2">
        <v>201.0911955</v>
      </c>
      <c r="H34" s="2">
        <v>153.22895639999999</v>
      </c>
      <c r="I34" s="2">
        <v>155.41295640000001</v>
      </c>
      <c r="J34" s="2">
        <v>227.47422750000001</v>
      </c>
      <c r="K34" s="2">
        <v>165.6078684</v>
      </c>
      <c r="L34" s="2">
        <v>165.6078684</v>
      </c>
      <c r="M34" s="2">
        <v>203.03713949999999</v>
      </c>
      <c r="N34" s="2">
        <v>160.46673240000001</v>
      </c>
      <c r="O34" s="2">
        <v>151.11921240000001</v>
      </c>
      <c r="P34" s="9"/>
      <c r="Q34" s="2">
        <f>SUM(OSRRefD21_0_1x)+IFERROR(SUM(OSRRefE21_0_1x),0)</f>
        <v>2117.9696696999999</v>
      </c>
    </row>
    <row r="35" spans="1:17" s="34" customFormat="1" hidden="1" outlineLevel="1" x14ac:dyDescent="0.3">
      <c r="A35" s="35"/>
      <c r="B35" s="10" t="str">
        <f>CONCATENATE("          ","6113", " - ","GROUP INSURANCE")</f>
        <v xml:space="preserve">          6113 - GROUP INSURANCE</v>
      </c>
      <c r="C35" s="14"/>
      <c r="D35" s="2">
        <v>828.27</v>
      </c>
      <c r="E35" s="2">
        <v>943.5</v>
      </c>
      <c r="F35" s="2">
        <v>943.5</v>
      </c>
      <c r="G35" s="2">
        <v>1096.5</v>
      </c>
      <c r="H35" s="2">
        <v>943.5</v>
      </c>
      <c r="I35" s="2">
        <v>943.5</v>
      </c>
      <c r="J35" s="2">
        <v>1096.5</v>
      </c>
      <c r="K35" s="2">
        <v>943.5</v>
      </c>
      <c r="L35" s="2">
        <v>943.5</v>
      </c>
      <c r="M35" s="2">
        <v>1096.5</v>
      </c>
      <c r="N35" s="2">
        <v>943.5</v>
      </c>
      <c r="O35" s="2">
        <v>943.5</v>
      </c>
      <c r="P35" s="9"/>
      <c r="Q35" s="2">
        <f>SUM(OSRRefD21_0_2x)+IFERROR(SUM(OSRRefE21_0_2x),0)</f>
        <v>11665.77</v>
      </c>
    </row>
    <row r="36" spans="1:17" s="34" customFormat="1" hidden="1" outlineLevel="1" x14ac:dyDescent="0.3">
      <c r="A36" s="35"/>
      <c r="B36" s="10" t="str">
        <f>CONCATENATE("          ","6114", " - ","STATE UNEMPLOYMENT INSURANCE")</f>
        <v xml:space="preserve">          6114 - STATE UNEMPLOYMENT INSURANCE</v>
      </c>
      <c r="C36" s="14"/>
      <c r="D36" s="2">
        <v>31.16</v>
      </c>
      <c r="E36" s="2">
        <v>24.772374899999999</v>
      </c>
      <c r="F36" s="2">
        <v>23.361174900000002</v>
      </c>
      <c r="G36" s="2">
        <v>27.069968625000001</v>
      </c>
      <c r="H36" s="2">
        <v>20.6269749</v>
      </c>
      <c r="I36" s="2">
        <v>20.920974900000001</v>
      </c>
      <c r="J36" s="2">
        <v>30.621530624999998</v>
      </c>
      <c r="K36" s="2">
        <v>22.293366899999999</v>
      </c>
      <c r="L36" s="2">
        <v>22.293366899999999</v>
      </c>
      <c r="M36" s="2">
        <v>27.331922625000001</v>
      </c>
      <c r="N36" s="2">
        <v>21.601290899999999</v>
      </c>
      <c r="O36" s="2">
        <v>20.342970900000001</v>
      </c>
      <c r="P36" s="9"/>
      <c r="Q36" s="2">
        <f>SUM(OSRRefD21_0_3x)+IFERROR(SUM(OSRRefE21_0_3x),0)</f>
        <v>292.395917075</v>
      </c>
    </row>
    <row r="37" spans="1:17" s="34" customFormat="1" hidden="1" outlineLevel="1" x14ac:dyDescent="0.3">
      <c r="A37" s="35"/>
      <c r="B37" s="10" t="str">
        <f>CONCATENATE("          ","6115", " - ","P.E.R.S.")</f>
        <v xml:space="preserve">          6115 - P.E.R.S.</v>
      </c>
      <c r="C37" s="14"/>
      <c r="D37" s="2">
        <v>133.9</v>
      </c>
      <c r="E37" s="2">
        <v>202.166134</v>
      </c>
      <c r="F37" s="2">
        <v>202.166134</v>
      </c>
      <c r="G37" s="2">
        <v>252.70766750000001</v>
      </c>
      <c r="H37" s="2">
        <v>202.166134</v>
      </c>
      <c r="I37" s="2">
        <v>202.166134</v>
      </c>
      <c r="J37" s="2">
        <v>252.70766750000001</v>
      </c>
      <c r="K37" s="2">
        <v>202.166134</v>
      </c>
      <c r="L37" s="2">
        <v>202.166134</v>
      </c>
      <c r="M37" s="2">
        <v>252.70766750000001</v>
      </c>
      <c r="N37" s="2">
        <v>202.166134</v>
      </c>
      <c r="O37" s="2">
        <v>202.166134</v>
      </c>
      <c r="P37" s="9"/>
      <c r="Q37" s="2">
        <f>SUM(OSRRefD21_0_4x)+IFERROR(SUM(OSRRefE21_0_4x),0)</f>
        <v>2509.3520745000005</v>
      </c>
    </row>
    <row r="38" spans="1:17" s="34" customFormat="1" hidden="1" outlineLevel="1" x14ac:dyDescent="0.3">
      <c r="A38" s="35"/>
      <c r="B38" s="10" t="str">
        <f>CONCATENATE("          ","6116", " - ","EDUCATIONAL BENEFITS")</f>
        <v xml:space="preserve">          6116 - EDUCATIONAL BENEFITS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SUM(OSRRefD21_0_5x)+IFERROR(SUM(OSRRefE21_0_5x),0)</f>
        <v>0</v>
      </c>
    </row>
    <row r="39" spans="1:17" s="34" customFormat="1" hidden="1" outlineLevel="1" x14ac:dyDescent="0.3">
      <c r="A39" s="35"/>
      <c r="B39" s="10" t="str">
        <f>CONCATENATE("          ","6117", " - ","RETIREMENT STAFF HOURLY")</f>
        <v xml:space="preserve">          6117 - RETIREMENT STAFF HOURLY</v>
      </c>
      <c r="C39" s="14"/>
      <c r="D39" s="2">
        <v>162.69999999999999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2">
        <f>SUM(OSRRefD21_0_6x)+IFERROR(SUM(OSRRefE21_0_6x),0)</f>
        <v>162.69999999999999</v>
      </c>
    </row>
    <row r="40" spans="1:17" s="34" customFormat="1" hidden="1" outlineLevel="1" x14ac:dyDescent="0.3">
      <c r="A40" s="35"/>
      <c r="B40" s="10" t="str">
        <f>CONCATENATE("          ","6118", " - ","VACATION")</f>
        <v xml:space="preserve">          6118 - VACATION</v>
      </c>
      <c r="C40" s="14"/>
      <c r="D40" s="2">
        <v>67.760000000000005</v>
      </c>
      <c r="E40" s="2">
        <v>179.29106999999999</v>
      </c>
      <c r="F40" s="2">
        <v>179.29106999999999</v>
      </c>
      <c r="G40" s="2">
        <v>224.11383749999999</v>
      </c>
      <c r="H40" s="2">
        <v>179.29106999999999</v>
      </c>
      <c r="I40" s="2">
        <v>179.29106999999999</v>
      </c>
      <c r="J40" s="2">
        <v>224.11383749999999</v>
      </c>
      <c r="K40" s="2">
        <v>179.29106999999999</v>
      </c>
      <c r="L40" s="2">
        <v>179.29106999999999</v>
      </c>
      <c r="M40" s="2">
        <v>224.11383749999999</v>
      </c>
      <c r="N40" s="2">
        <v>179.29106999999999</v>
      </c>
      <c r="O40" s="2">
        <v>179.29106999999999</v>
      </c>
      <c r="P40" s="9"/>
      <c r="Q40" s="2">
        <f>SUM(OSRRefD21_0_7x)+IFERROR(SUM(OSRRefE21_0_7x),0)</f>
        <v>2174.4300725000003</v>
      </c>
    </row>
    <row r="41" spans="1:17" s="34" customFormat="1" hidden="1" outlineLevel="1" x14ac:dyDescent="0.3">
      <c r="A41" s="35"/>
      <c r="B41" s="10" t="str">
        <f>CONCATENATE("          ","6119", " - ","SICK LEAVE")</f>
        <v xml:space="preserve">          6119 - SICK LEAVE</v>
      </c>
      <c r="C41" s="14"/>
      <c r="D41" s="2">
        <v>81.180000000000007</v>
      </c>
      <c r="E41" s="2">
        <v>294.12738000000002</v>
      </c>
      <c r="F41" s="2">
        <v>273.96737999999999</v>
      </c>
      <c r="G41" s="2">
        <v>312.00922500000001</v>
      </c>
      <c r="H41" s="2">
        <v>234.90737999999999</v>
      </c>
      <c r="I41" s="2">
        <v>239.10738000000001</v>
      </c>
      <c r="J41" s="2">
        <v>362.74582500000002</v>
      </c>
      <c r="K41" s="2">
        <v>258.71298000000002</v>
      </c>
      <c r="L41" s="2">
        <v>258.71298000000002</v>
      </c>
      <c r="M41" s="2">
        <v>315.75142499999998</v>
      </c>
      <c r="N41" s="2">
        <v>248.82617999999999</v>
      </c>
      <c r="O41" s="2">
        <v>230.85017999999999</v>
      </c>
      <c r="P41" s="9"/>
      <c r="Q41" s="2">
        <f>SUM(OSRRefD21_0_8x)+IFERROR(SUM(OSRRefE21_0_8x),0)</f>
        <v>3110.8983149999995</v>
      </c>
    </row>
    <row r="42" spans="1:17" s="34" customFormat="1" hidden="1" outlineLevel="1" x14ac:dyDescent="0.3">
      <c r="A42" s="35"/>
      <c r="B42" s="10" t="str">
        <f>CONCATENATE("          ","6156", " - ","EMPLOYEE MEALS")</f>
        <v xml:space="preserve">          6156 - EMPLOYEE MEALS</v>
      </c>
      <c r="C42" s="14"/>
      <c r="D42" s="2">
        <v>23.71</v>
      </c>
      <c r="E42" s="2">
        <v>350</v>
      </c>
      <c r="F42" s="2">
        <v>350</v>
      </c>
      <c r="G42" s="2">
        <v>350</v>
      </c>
      <c r="H42" s="2">
        <v>350</v>
      </c>
      <c r="I42" s="2">
        <v>350</v>
      </c>
      <c r="J42" s="2">
        <v>350</v>
      </c>
      <c r="K42" s="2">
        <v>350</v>
      </c>
      <c r="L42" s="2">
        <v>350</v>
      </c>
      <c r="M42" s="2">
        <v>350</v>
      </c>
      <c r="N42" s="2">
        <v>350</v>
      </c>
      <c r="O42" s="2">
        <v>350</v>
      </c>
      <c r="P42" s="9"/>
      <c r="Q42" s="2">
        <f>SUM(OSRRefD21_0_9x)+IFERROR(SUM(OSRRefE21_0_9x),0)</f>
        <v>3873.71</v>
      </c>
    </row>
    <row r="43" spans="1:17" s="34" customFormat="1" collapsed="1" x14ac:dyDescent="0.3">
      <c r="A43" s="35"/>
      <c r="B43" s="14" t="str">
        <f>CONCATENATE("     ","*Payroll                                          ")</f>
        <v xml:space="preserve">     *Payroll                                          </v>
      </c>
      <c r="C43" s="14"/>
      <c r="D43" s="1">
        <f>SUM(OSRRefD21_1x_0)</f>
        <v>10510.92</v>
      </c>
      <c r="E43" s="1">
        <f>SUM(OSRRefE21_1x_0)</f>
        <v>11497.55055</v>
      </c>
      <c r="F43" s="1">
        <f>SUM(OSRRefE21_1x_1)</f>
        <v>10825.55055</v>
      </c>
      <c r="G43" s="1">
        <f>SUM(OSRRefE21_1x_2)</f>
        <v>12516.9381875</v>
      </c>
      <c r="H43" s="1">
        <f>SUM(OSRRefE21_1x_3)</f>
        <v>9523.5505499999999</v>
      </c>
      <c r="I43" s="1">
        <f>SUM(OSRRefE21_1x_4)</f>
        <v>9663.5505499999999</v>
      </c>
      <c r="J43" s="1">
        <f>SUM(OSRRefE21_1x_5)</f>
        <v>14208.158187500001</v>
      </c>
      <c r="K43" s="1">
        <f>SUM(OSRRefE21_1x_6)</f>
        <v>10317.07055</v>
      </c>
      <c r="L43" s="1">
        <f>SUM(OSRRefE21_1x_7)</f>
        <v>10317.07055</v>
      </c>
      <c r="M43" s="1">
        <f>SUM(OSRRefE21_1x_8)</f>
        <v>12641.6781875</v>
      </c>
      <c r="N43" s="1">
        <f>SUM(OSRRefE21_1x_9)</f>
        <v>9987.5105499999991</v>
      </c>
      <c r="O43" s="1">
        <f>SUM(OSRRefE21_1x_10)</f>
        <v>9388.3105500000001</v>
      </c>
      <c r="Q43" s="2">
        <f>SUM(OSRRefD20_1x)+IFERROR(SUM(OSRRefE20_1x),0)</f>
        <v>131397.8589625</v>
      </c>
    </row>
    <row r="44" spans="1:17" s="34" customFormat="1" hidden="1" outlineLevel="1" x14ac:dyDescent="0.3">
      <c r="A44" s="35"/>
      <c r="B44" s="10" t="str">
        <f>CONCATENATE("          ","6001", " - ","ADMINISTRATIVE SALARIES")</f>
        <v xml:space="preserve">          6001 - ADMINISTRATIVE SALARIES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SUM(OSRRefD21_1_0x)+IFERROR(SUM(OSRRefE21_1_0x),0)</f>
        <v>0</v>
      </c>
    </row>
    <row r="45" spans="1:17" s="34" customFormat="1" hidden="1" outlineLevel="1" x14ac:dyDescent="0.3">
      <c r="A45" s="35"/>
      <c r="B45" s="10" t="str">
        <f>CONCATENATE("          ","6002", " - ","STAFF SALARIES")</f>
        <v xml:space="preserve">          6002 - STAFF SALARIES</v>
      </c>
      <c r="C45" s="14"/>
      <c r="D45" s="2">
        <v>5113.92</v>
      </c>
      <c r="E45" s="2">
        <v>2233.2305500000002</v>
      </c>
      <c r="F45" s="2">
        <v>2233.2305500000002</v>
      </c>
      <c r="G45" s="2">
        <v>2791.5381874999998</v>
      </c>
      <c r="H45" s="2">
        <v>2233.2305500000002</v>
      </c>
      <c r="I45" s="2">
        <v>2233.2305500000002</v>
      </c>
      <c r="J45" s="2">
        <v>2791.5381874999998</v>
      </c>
      <c r="K45" s="2">
        <v>2233.2305500000002</v>
      </c>
      <c r="L45" s="2">
        <v>2233.2305500000002</v>
      </c>
      <c r="M45" s="2">
        <v>2791.5381874999998</v>
      </c>
      <c r="N45" s="2">
        <v>2233.2305500000002</v>
      </c>
      <c r="O45" s="2">
        <v>2233.2305500000002</v>
      </c>
      <c r="P45" s="9"/>
      <c r="Q45" s="2">
        <f>SUM(OSRRefD21_1_1x)+IFERROR(SUM(OSRRefE21_1_1x),0)</f>
        <v>31354.378962499999</v>
      </c>
    </row>
    <row r="46" spans="1:17" s="34" customFormat="1" hidden="1" outlineLevel="1" x14ac:dyDescent="0.3">
      <c r="A46" s="35"/>
      <c r="B46" s="10" t="str">
        <f>CONCATENATE("          ","6003", " - ","STAFF HOURLY-9 MONTH")</f>
        <v xml:space="preserve">          6003 - STAFF HOURLY-9 MONTH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9"/>
      <c r="Q46" s="2">
        <f>SUM(OSRRefD21_1_2x)+IFERROR(SUM(OSRRefE21_1_2x),0)</f>
        <v>0</v>
      </c>
    </row>
    <row r="47" spans="1:17" s="34" customFormat="1" hidden="1" outlineLevel="1" x14ac:dyDescent="0.3">
      <c r="A47" s="35"/>
      <c r="B47" s="10" t="str">
        <f>CONCATENATE("          ","6004", " - ","STAFF HOURLY")</f>
        <v xml:space="preserve">          6004 - STAFF HOURLY</v>
      </c>
      <c r="C47" s="14"/>
      <c r="D47" s="2">
        <v>610.5</v>
      </c>
      <c r="E47" s="2">
        <v>3444.32</v>
      </c>
      <c r="F47" s="2">
        <v>3444.32</v>
      </c>
      <c r="G47" s="2">
        <v>4305.3999999999996</v>
      </c>
      <c r="H47" s="2">
        <v>3444.32</v>
      </c>
      <c r="I47" s="2">
        <v>3444.32</v>
      </c>
      <c r="J47" s="2">
        <v>4305.3999999999996</v>
      </c>
      <c r="K47" s="2">
        <v>3444.32</v>
      </c>
      <c r="L47" s="2">
        <v>3444.32</v>
      </c>
      <c r="M47" s="2">
        <v>4305.3999999999996</v>
      </c>
      <c r="N47" s="2">
        <v>3444.32</v>
      </c>
      <c r="O47" s="2">
        <v>3444.32</v>
      </c>
      <c r="P47" s="9"/>
      <c r="Q47" s="2">
        <f>SUM(OSRRefD21_1_3x)+IFERROR(SUM(OSRRefE21_1_3x),0)</f>
        <v>41081.26</v>
      </c>
    </row>
    <row r="48" spans="1:17" s="34" customFormat="1" hidden="1" outlineLevel="1" x14ac:dyDescent="0.3">
      <c r="A48" s="35"/>
      <c r="B48" s="10" t="str">
        <f>CONCATENATE("          ","6005", " - ","TEMPORARY WAGES-HOURLY")</f>
        <v xml:space="preserve">          6005 - TEMPORARY WAGES-HOURLY</v>
      </c>
      <c r="C48" s="14"/>
      <c r="D48" s="2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9"/>
      <c r="Q48" s="2">
        <f>SUM(OSRRefD21_1_4x)+IFERROR(SUM(OSRRefE21_1_4x),0)</f>
        <v>0</v>
      </c>
    </row>
    <row r="49" spans="1:17" s="34" customFormat="1" hidden="1" outlineLevel="1" x14ac:dyDescent="0.3">
      <c r="A49" s="35"/>
      <c r="B49" s="10" t="str">
        <f>CONCATENATE("          ","6006", " - ","TEMPORARY PART TIME")</f>
        <v xml:space="preserve">          6006 - TEMPORARY PART TIME</v>
      </c>
      <c r="C49" s="14"/>
      <c r="D49" s="2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9"/>
      <c r="Q49" s="2">
        <f>SUM(OSRRefD21_1_5x)+IFERROR(SUM(OSRRefE21_1_5x),0)</f>
        <v>0</v>
      </c>
    </row>
    <row r="50" spans="1:17" s="34" customFormat="1" hidden="1" outlineLevel="1" x14ac:dyDescent="0.3">
      <c r="A50" s="35"/>
      <c r="B50" s="10" t="str">
        <f>CONCATENATE("          ","6007", " - ","STUDENT HOURLY")</f>
        <v xml:space="preserve">          6007 - STUDENT HOURLY</v>
      </c>
      <c r="C50" s="14"/>
      <c r="D50" s="2">
        <v>4786.5</v>
      </c>
      <c r="E50" s="2">
        <v>5820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3710.76</v>
      </c>
      <c r="P50" s="9"/>
      <c r="Q50" s="2">
        <f>SUM(OSRRefD21_1_6x)+IFERROR(SUM(OSRRefE21_1_6x),0)</f>
        <v>14317.26</v>
      </c>
    </row>
    <row r="51" spans="1:17" s="34" customFormat="1" hidden="1" outlineLevel="1" x14ac:dyDescent="0.3">
      <c r="A51" s="35"/>
      <c r="B51" s="10" t="str">
        <f>CONCATENATE("          ","6008", " - ","STUDENT HOURLY-FICA EXEMPT")</f>
        <v xml:space="preserve">          6008 - STUDENT HOURLY-FICA EXEMPT</v>
      </c>
      <c r="C51" s="14"/>
      <c r="D51" s="2"/>
      <c r="E51" s="2">
        <v>0</v>
      </c>
      <c r="F51" s="2">
        <v>5148</v>
      </c>
      <c r="G51" s="2">
        <v>5420</v>
      </c>
      <c r="H51" s="2">
        <v>3846</v>
      </c>
      <c r="I51" s="2">
        <v>3986</v>
      </c>
      <c r="J51" s="2">
        <v>7111.22</v>
      </c>
      <c r="K51" s="2">
        <v>4639.5200000000004</v>
      </c>
      <c r="L51" s="2">
        <v>4639.5200000000004</v>
      </c>
      <c r="M51" s="2">
        <v>5544.74</v>
      </c>
      <c r="N51" s="2">
        <v>4309.96</v>
      </c>
      <c r="O51" s="2">
        <v>0</v>
      </c>
      <c r="P51" s="9"/>
      <c r="Q51" s="2">
        <f>SUM(OSRRefD21_1_7x)+IFERROR(SUM(OSRRefE21_1_7x),0)</f>
        <v>44644.959999999999</v>
      </c>
    </row>
    <row r="52" spans="1:17" s="34" customFormat="1" hidden="1" outlineLevel="1" x14ac:dyDescent="0.3">
      <c r="A52" s="35"/>
      <c r="B52" s="10" t="str">
        <f>CONCATENATE("          ","6009", " - ","TEMPORARY-SEASONAL")</f>
        <v xml:space="preserve">          6009 - TEMPORARY-SEASONAL</v>
      </c>
      <c r="C52" s="14"/>
      <c r="D52" s="2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9"/>
      <c r="Q52" s="2">
        <f>SUM(OSRRefD21_1_8x)+IFERROR(SUM(OSRRefE21_1_8x),0)</f>
        <v>0</v>
      </c>
    </row>
    <row r="53" spans="1:17" s="34" customFormat="1" hidden="1" outlineLevel="1" x14ac:dyDescent="0.3">
      <c r="A53" s="35"/>
      <c r="B53" s="10" t="str">
        <f>CONCATENATE("          ","6010", " - ","GRATUITY")</f>
        <v xml:space="preserve">          6010 - GRATUITY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SUM(OSRRefD21_1_9x)+IFERROR(SUM(OSRRefE21_1_9x),0)</f>
        <v>0</v>
      </c>
    </row>
    <row r="54" spans="1:17" s="34" customFormat="1" collapsed="1" x14ac:dyDescent="0.3">
      <c r="A54" s="35"/>
      <c r="B54" s="14" t="str">
        <f>CONCATENATE("     ","Advertising/Promo                                 ")</f>
        <v xml:space="preserve">     Advertising/Promo                                 </v>
      </c>
      <c r="C54" s="14"/>
      <c r="D54" s="1">
        <f>SUM(OSRRefD21_2x_0)</f>
        <v>45.42</v>
      </c>
      <c r="E54" s="1">
        <f>SUM(OSRRefE21_2x_0)</f>
        <v>200</v>
      </c>
      <c r="F54" s="1">
        <f>SUM(OSRRefE21_2x_1)</f>
        <v>200</v>
      </c>
      <c r="G54" s="1">
        <f>SUM(OSRRefE21_2x_2)</f>
        <v>200</v>
      </c>
      <c r="H54" s="1">
        <f>SUM(OSRRefE21_2x_3)</f>
        <v>200</v>
      </c>
      <c r="I54" s="1">
        <f>SUM(OSRRefE21_2x_4)</f>
        <v>200</v>
      </c>
      <c r="J54" s="1">
        <f>SUM(OSRRefE21_2x_5)</f>
        <v>200</v>
      </c>
      <c r="K54" s="1">
        <f>SUM(OSRRefE21_2x_6)</f>
        <v>200</v>
      </c>
      <c r="L54" s="1">
        <f>SUM(OSRRefE21_2x_7)</f>
        <v>200</v>
      </c>
      <c r="M54" s="1">
        <f>SUM(OSRRefE21_2x_8)</f>
        <v>200</v>
      </c>
      <c r="N54" s="1">
        <f>SUM(OSRRefE21_2x_9)</f>
        <v>200</v>
      </c>
      <c r="O54" s="1">
        <f>SUM(OSRRefE21_2x_10)</f>
        <v>200</v>
      </c>
      <c r="Q54" s="2">
        <f>SUM(OSRRefD20_2x)+IFERROR(SUM(OSRRefE20_2x),0)</f>
        <v>2245.42</v>
      </c>
    </row>
    <row r="55" spans="1:17" s="34" customFormat="1" hidden="1" outlineLevel="1" x14ac:dyDescent="0.3">
      <c r="A55" s="35"/>
      <c r="B55" s="10" t="str">
        <f>CONCATENATE("          ","6362", " - ","ADVERTISING EXPENSE")</f>
        <v xml:space="preserve">          6362 - ADVERTISING EXPENSE</v>
      </c>
      <c r="C55" s="14"/>
      <c r="D55" s="2">
        <v>45.42</v>
      </c>
      <c r="E55" s="2">
        <v>200</v>
      </c>
      <c r="F55" s="2">
        <v>200</v>
      </c>
      <c r="G55" s="2">
        <v>200</v>
      </c>
      <c r="H55" s="2">
        <v>200</v>
      </c>
      <c r="I55" s="2">
        <v>200</v>
      </c>
      <c r="J55" s="2">
        <v>200</v>
      </c>
      <c r="K55" s="2">
        <v>200</v>
      </c>
      <c r="L55" s="2">
        <v>200</v>
      </c>
      <c r="M55" s="2">
        <v>200</v>
      </c>
      <c r="N55" s="2">
        <v>200</v>
      </c>
      <c r="O55" s="2">
        <v>200</v>
      </c>
      <c r="P55" s="9"/>
      <c r="Q55" s="2">
        <f>SUM(OSRRefD21_2_0x)+IFERROR(SUM(OSRRefE21_2_0x),0)</f>
        <v>2245.42</v>
      </c>
    </row>
    <row r="56" spans="1:17" s="34" customFormat="1" collapsed="1" x14ac:dyDescent="0.3">
      <c r="A56" s="35"/>
      <c r="B56" s="14" t="str">
        <f>CONCATENATE("     ","Depreciation                                      ")</f>
        <v xml:space="preserve">     Depreciation                                      </v>
      </c>
      <c r="C56" s="14"/>
      <c r="D56" s="1">
        <f>SUM(OSRRefD21_3x_0)</f>
        <v>280.44</v>
      </c>
      <c r="E56" s="1">
        <f>SUM(OSRRefE21_3x_0)</f>
        <v>0</v>
      </c>
      <c r="F56" s="1">
        <f>SUM(OSRRefE21_3x_1)</f>
        <v>0</v>
      </c>
      <c r="G56" s="1">
        <f>SUM(OSRRefE21_3x_2)</f>
        <v>0</v>
      </c>
      <c r="H56" s="1">
        <f>SUM(OSRRefE21_3x_3)</f>
        <v>0</v>
      </c>
      <c r="I56" s="1">
        <f>SUM(OSRRefE21_3x_4)</f>
        <v>0</v>
      </c>
      <c r="J56" s="1">
        <f>SUM(OSRRefE21_3x_5)</f>
        <v>0</v>
      </c>
      <c r="K56" s="1">
        <f>SUM(OSRRefE21_3x_6)</f>
        <v>0</v>
      </c>
      <c r="L56" s="1">
        <f>SUM(OSRRefE21_3x_7)</f>
        <v>0</v>
      </c>
      <c r="M56" s="1">
        <f>SUM(OSRRefE21_3x_8)</f>
        <v>0</v>
      </c>
      <c r="N56" s="1">
        <f>SUM(OSRRefE21_3x_9)</f>
        <v>0</v>
      </c>
      <c r="O56" s="1">
        <f>SUM(OSRRefE21_3x_10)</f>
        <v>0</v>
      </c>
      <c r="Q56" s="2">
        <f>SUM(OSRRefD20_3x)+IFERROR(SUM(OSRRefE20_3x),0)</f>
        <v>280.44</v>
      </c>
    </row>
    <row r="57" spans="1:17" s="34" customFormat="1" hidden="1" outlineLevel="1" x14ac:dyDescent="0.3">
      <c r="A57" s="35"/>
      <c r="B57" s="10" t="str">
        <f>CONCATENATE("          ","6322", " - ","EQUIPMENT DEPRECIATION EXPENSE")</f>
        <v xml:space="preserve">          6322 - EQUIPMENT DEPRECIATION EXPENSE</v>
      </c>
      <c r="C57" s="14"/>
      <c r="D57" s="2">
        <v>280.44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2">
        <f>SUM(OSRRefD21_3_0x)+IFERROR(SUM(OSRRefE21_3_0x),0)</f>
        <v>280.44</v>
      </c>
    </row>
    <row r="58" spans="1:17" s="34" customFormat="1" collapsed="1" x14ac:dyDescent="0.3">
      <c r="A58" s="35"/>
      <c r="B58" s="14" t="str">
        <f>CONCATENATE("     ","Employees' Appreciation                           ")</f>
        <v xml:space="preserve">     Employees' Appreciation                           </v>
      </c>
      <c r="C58" s="14"/>
      <c r="D58" s="1">
        <f>SUM(OSRRefD21_4x_0)</f>
        <v>0</v>
      </c>
      <c r="E58" s="1">
        <f>SUM(OSRRefE21_4x_0)</f>
        <v>20</v>
      </c>
      <c r="F58" s="1">
        <f>SUM(OSRRefE21_4x_1)</f>
        <v>20</v>
      </c>
      <c r="G58" s="1">
        <f>SUM(OSRRefE21_4x_2)</f>
        <v>20</v>
      </c>
      <c r="H58" s="1">
        <f>SUM(OSRRefE21_4x_3)</f>
        <v>20</v>
      </c>
      <c r="I58" s="1">
        <f>SUM(OSRRefE21_4x_4)</f>
        <v>20</v>
      </c>
      <c r="J58" s="1">
        <f>SUM(OSRRefE21_4x_5)</f>
        <v>20</v>
      </c>
      <c r="K58" s="1">
        <f>SUM(OSRRefE21_4x_6)</f>
        <v>20</v>
      </c>
      <c r="L58" s="1">
        <f>SUM(OSRRefE21_4x_7)</f>
        <v>20</v>
      </c>
      <c r="M58" s="1">
        <f>SUM(OSRRefE21_4x_8)</f>
        <v>20</v>
      </c>
      <c r="N58" s="1">
        <f>SUM(OSRRefE21_4x_9)</f>
        <v>20</v>
      </c>
      <c r="O58" s="1">
        <f>SUM(OSRRefE21_4x_10)</f>
        <v>20</v>
      </c>
      <c r="Q58" s="2">
        <f>SUM(OSRRefD20_4x)+IFERROR(SUM(OSRRefE20_4x),0)</f>
        <v>220</v>
      </c>
    </row>
    <row r="59" spans="1:17" s="34" customFormat="1" hidden="1" outlineLevel="1" x14ac:dyDescent="0.3">
      <c r="A59" s="35"/>
      <c r="B59" s="10" t="str">
        <f>CONCATENATE("          ","6277", " - ","EMPLOYEE APPRECIATION")</f>
        <v xml:space="preserve">          6277 - EMPLOYEE APPRECIATION</v>
      </c>
      <c r="C59" s="14"/>
      <c r="D59" s="2"/>
      <c r="E59" s="2">
        <v>20</v>
      </c>
      <c r="F59" s="2">
        <v>20</v>
      </c>
      <c r="G59" s="2">
        <v>20</v>
      </c>
      <c r="H59" s="2">
        <v>20</v>
      </c>
      <c r="I59" s="2">
        <v>20</v>
      </c>
      <c r="J59" s="2">
        <v>20</v>
      </c>
      <c r="K59" s="2">
        <v>20</v>
      </c>
      <c r="L59" s="2">
        <v>20</v>
      </c>
      <c r="M59" s="2">
        <v>20</v>
      </c>
      <c r="N59" s="2">
        <v>20</v>
      </c>
      <c r="O59" s="2">
        <v>20</v>
      </c>
      <c r="P59" s="9"/>
      <c r="Q59" s="2">
        <f>SUM(OSRRefD21_4_0x)+IFERROR(SUM(OSRRefE21_4_0x),0)</f>
        <v>220</v>
      </c>
    </row>
    <row r="60" spans="1:17" s="34" customFormat="1" collapsed="1" x14ac:dyDescent="0.3">
      <c r="A60" s="35"/>
      <c r="B60" s="14" t="str">
        <f>CONCATENATE("     ","Freight out/Postage                               ")</f>
        <v xml:space="preserve">     Freight out/Postage                               </v>
      </c>
      <c r="C60" s="14"/>
      <c r="D60" s="1">
        <f>SUM(OSRRefD21_5x_0)</f>
        <v>93.19</v>
      </c>
      <c r="E60" s="1">
        <f>SUM(OSRRefE21_5x_0)</f>
        <v>15</v>
      </c>
      <c r="F60" s="1">
        <f>SUM(OSRRefE21_5x_1)</f>
        <v>15</v>
      </c>
      <c r="G60" s="1">
        <f>SUM(OSRRefE21_5x_2)</f>
        <v>15</v>
      </c>
      <c r="H60" s="1">
        <f>SUM(OSRRefE21_5x_3)</f>
        <v>15</v>
      </c>
      <c r="I60" s="1">
        <f>SUM(OSRRefE21_5x_4)</f>
        <v>15</v>
      </c>
      <c r="J60" s="1">
        <f>SUM(OSRRefE21_5x_5)</f>
        <v>15</v>
      </c>
      <c r="K60" s="1">
        <f>SUM(OSRRefE21_5x_6)</f>
        <v>15</v>
      </c>
      <c r="L60" s="1">
        <f>SUM(OSRRefE21_5x_7)</f>
        <v>15</v>
      </c>
      <c r="M60" s="1">
        <f>SUM(OSRRefE21_5x_8)</f>
        <v>15</v>
      </c>
      <c r="N60" s="1">
        <f>SUM(OSRRefE21_5x_9)</f>
        <v>15</v>
      </c>
      <c r="O60" s="1">
        <f>SUM(OSRRefE21_5x_10)</f>
        <v>15</v>
      </c>
      <c r="Q60" s="2">
        <f>SUM(OSRRefD20_5x)+IFERROR(SUM(OSRRefE20_5x),0)</f>
        <v>258.19</v>
      </c>
    </row>
    <row r="61" spans="1:17" s="34" customFormat="1" hidden="1" outlineLevel="1" x14ac:dyDescent="0.3">
      <c r="A61" s="35"/>
      <c r="B61" s="10" t="str">
        <f>CONCATENATE("          ","6305", " - ","FREIGHT OUT")</f>
        <v xml:space="preserve">          6305 - FREIGHT OUT</v>
      </c>
      <c r="C61" s="14"/>
      <c r="D61" s="2">
        <v>93.19</v>
      </c>
      <c r="E61" s="2">
        <v>15</v>
      </c>
      <c r="F61" s="2">
        <v>15</v>
      </c>
      <c r="G61" s="2">
        <v>15</v>
      </c>
      <c r="H61" s="2">
        <v>15</v>
      </c>
      <c r="I61" s="2">
        <v>15</v>
      </c>
      <c r="J61" s="2">
        <v>15</v>
      </c>
      <c r="K61" s="2">
        <v>15</v>
      </c>
      <c r="L61" s="2">
        <v>15</v>
      </c>
      <c r="M61" s="2">
        <v>15</v>
      </c>
      <c r="N61" s="2">
        <v>15</v>
      </c>
      <c r="O61" s="2">
        <v>15</v>
      </c>
      <c r="P61" s="9"/>
      <c r="Q61" s="2">
        <f>SUM(OSRRefD21_5_0x)+IFERROR(SUM(OSRRefE21_5_0x),0)</f>
        <v>258.19</v>
      </c>
    </row>
    <row r="62" spans="1:17" s="34" customFormat="1" collapsed="1" x14ac:dyDescent="0.3">
      <c r="A62" s="35"/>
      <c r="B62" s="14" t="str">
        <f>CONCATENATE("     ","General                                           ")</f>
        <v xml:space="preserve">     General                                           </v>
      </c>
      <c r="C62" s="14"/>
      <c r="D62" s="1">
        <f>SUM(OSRRefD21_6x_0)</f>
        <v>0</v>
      </c>
      <c r="E62" s="1">
        <f>SUM(OSRRefE21_6x_0)</f>
        <v>30</v>
      </c>
      <c r="F62" s="1">
        <f>SUM(OSRRefE21_6x_1)</f>
        <v>30</v>
      </c>
      <c r="G62" s="1">
        <f>SUM(OSRRefE21_6x_2)</f>
        <v>30</v>
      </c>
      <c r="H62" s="1">
        <f>SUM(OSRRefE21_6x_3)</f>
        <v>30</v>
      </c>
      <c r="I62" s="1">
        <f>SUM(OSRRefE21_6x_4)</f>
        <v>30</v>
      </c>
      <c r="J62" s="1">
        <f>SUM(OSRRefE21_6x_5)</f>
        <v>30</v>
      </c>
      <c r="K62" s="1">
        <f>SUM(OSRRefE21_6x_6)</f>
        <v>30</v>
      </c>
      <c r="L62" s="1">
        <f>SUM(OSRRefE21_6x_7)</f>
        <v>30</v>
      </c>
      <c r="M62" s="1">
        <f>SUM(OSRRefE21_6x_8)</f>
        <v>30</v>
      </c>
      <c r="N62" s="1">
        <f>SUM(OSRRefE21_6x_9)</f>
        <v>30</v>
      </c>
      <c r="O62" s="1">
        <f>SUM(OSRRefE21_6x_10)</f>
        <v>30</v>
      </c>
      <c r="Q62" s="2">
        <f>SUM(OSRRefD20_6x)+IFERROR(SUM(OSRRefE20_6x),0)</f>
        <v>330</v>
      </c>
    </row>
    <row r="63" spans="1:17" s="34" customFormat="1" hidden="1" outlineLevel="1" x14ac:dyDescent="0.3">
      <c r="A63" s="35"/>
      <c r="B63" s="10" t="str">
        <f>CONCATENATE("          ","6279", " - ","GENERAL EXPENSE")</f>
        <v xml:space="preserve">          6279 - GENERAL EXPENSE</v>
      </c>
      <c r="C63" s="14"/>
      <c r="D63" s="2"/>
      <c r="E63" s="2">
        <v>30</v>
      </c>
      <c r="F63" s="2">
        <v>30</v>
      </c>
      <c r="G63" s="2">
        <v>30</v>
      </c>
      <c r="H63" s="2">
        <v>30</v>
      </c>
      <c r="I63" s="2">
        <v>30</v>
      </c>
      <c r="J63" s="2">
        <v>30</v>
      </c>
      <c r="K63" s="2">
        <v>30</v>
      </c>
      <c r="L63" s="2">
        <v>30</v>
      </c>
      <c r="M63" s="2">
        <v>30</v>
      </c>
      <c r="N63" s="2">
        <v>30</v>
      </c>
      <c r="O63" s="2">
        <v>30</v>
      </c>
      <c r="P63" s="9"/>
      <c r="Q63" s="2">
        <f>SUM(OSRRefD21_6_0x)+IFERROR(SUM(OSRRefE21_6_0x),0)</f>
        <v>330</v>
      </c>
    </row>
    <row r="64" spans="1:17" s="34" customFormat="1" collapsed="1" x14ac:dyDescent="0.3">
      <c r="A64" s="35"/>
      <c r="B64" s="14" t="str">
        <f>CONCATENATE("     ","Inventory Adjustment                              ")</f>
        <v xml:space="preserve">     Inventory Adjustment                              </v>
      </c>
      <c r="C64" s="14"/>
      <c r="D64" s="1">
        <f>SUM(OSRRefD21_7x_0)</f>
        <v>1470</v>
      </c>
      <c r="E64" s="1">
        <f>SUM(OSRRefE21_7x_0)</f>
        <v>2020</v>
      </c>
      <c r="F64" s="1">
        <f>SUM(OSRRefE21_7x_1)</f>
        <v>1300</v>
      </c>
      <c r="G64" s="1">
        <f>SUM(OSRRefE21_7x_2)</f>
        <v>590</v>
      </c>
      <c r="H64" s="1">
        <f>SUM(OSRRefE21_7x_3)</f>
        <v>630</v>
      </c>
      <c r="I64" s="1">
        <f>SUM(OSRRefE21_7x_4)</f>
        <v>340</v>
      </c>
      <c r="J64" s="1">
        <f>SUM(OSRRefE21_7x_5)</f>
        <v>970</v>
      </c>
      <c r="K64" s="1">
        <f>SUM(OSRRefE21_7x_6)</f>
        <v>590</v>
      </c>
      <c r="L64" s="1">
        <f>SUM(OSRRefE21_7x_7)</f>
        <v>340</v>
      </c>
      <c r="M64" s="1">
        <f>SUM(OSRRefE21_7x_8)</f>
        <v>1100</v>
      </c>
      <c r="N64" s="1">
        <f>SUM(OSRRefE21_7x_9)</f>
        <v>2100</v>
      </c>
      <c r="O64" s="1">
        <f>SUM(OSRRefE21_7x_10)</f>
        <v>550</v>
      </c>
      <c r="Q64" s="2">
        <f>SUM(OSRRefD20_7x)+IFERROR(SUM(OSRRefE20_7x),0)</f>
        <v>12000</v>
      </c>
    </row>
    <row r="65" spans="1:17" s="34" customFormat="1" hidden="1" outlineLevel="1" x14ac:dyDescent="0.3">
      <c r="A65" s="35"/>
      <c r="B65" s="10" t="str">
        <f>CONCATENATE("          ","6408", " - ","INVENTORY ADJUSTMENT")</f>
        <v xml:space="preserve">          6408 - INVENTORY ADJUSTMENT</v>
      </c>
      <c r="C65" s="14"/>
      <c r="D65" s="2">
        <v>1470</v>
      </c>
      <c r="E65" s="2">
        <v>2020</v>
      </c>
      <c r="F65" s="2">
        <v>1300</v>
      </c>
      <c r="G65" s="2">
        <v>590</v>
      </c>
      <c r="H65" s="2">
        <v>630</v>
      </c>
      <c r="I65" s="2">
        <v>340</v>
      </c>
      <c r="J65" s="2">
        <v>970</v>
      </c>
      <c r="K65" s="2">
        <v>590</v>
      </c>
      <c r="L65" s="2">
        <v>340</v>
      </c>
      <c r="M65" s="2">
        <v>1100</v>
      </c>
      <c r="N65" s="2">
        <v>2100</v>
      </c>
      <c r="O65" s="2">
        <v>550</v>
      </c>
      <c r="P65" s="9"/>
      <c r="Q65" s="2">
        <f>SUM(OSRRefD21_7_0x)+IFERROR(SUM(OSRRefE21_7_0x),0)</f>
        <v>12000</v>
      </c>
    </row>
    <row r="66" spans="1:17" s="34" customFormat="1" collapsed="1" x14ac:dyDescent="0.3">
      <c r="A66" s="35"/>
      <c r="B66" s="14" t="str">
        <f>CONCATENATE("     ","Supplies                                          ")</f>
        <v xml:space="preserve">     Supplies                                          </v>
      </c>
      <c r="C66" s="14"/>
      <c r="D66" s="1">
        <f>SUM(OSRRefD21_8x_0)</f>
        <v>2041.8</v>
      </c>
      <c r="E66" s="1">
        <f>SUM(OSRRefE21_8x_0)</f>
        <v>310</v>
      </c>
      <c r="F66" s="1">
        <f>SUM(OSRRefE21_8x_1)</f>
        <v>310</v>
      </c>
      <c r="G66" s="1">
        <f>SUM(OSRRefE21_8x_2)</f>
        <v>310</v>
      </c>
      <c r="H66" s="1">
        <f>SUM(OSRRefE21_8x_3)</f>
        <v>310</v>
      </c>
      <c r="I66" s="1">
        <f>SUM(OSRRefE21_8x_4)</f>
        <v>310</v>
      </c>
      <c r="J66" s="1">
        <f>SUM(OSRRefE21_8x_5)</f>
        <v>310</v>
      </c>
      <c r="K66" s="1">
        <f>SUM(OSRRefE21_8x_6)</f>
        <v>310</v>
      </c>
      <c r="L66" s="1">
        <f>SUM(OSRRefE21_8x_7)</f>
        <v>310</v>
      </c>
      <c r="M66" s="1">
        <f>SUM(OSRRefE21_8x_8)</f>
        <v>310</v>
      </c>
      <c r="N66" s="1">
        <f>SUM(OSRRefE21_8x_9)</f>
        <v>310</v>
      </c>
      <c r="O66" s="1">
        <f>SUM(OSRRefE21_8x_10)</f>
        <v>310</v>
      </c>
      <c r="Q66" s="2">
        <f>SUM(OSRRefD20_8x)+IFERROR(SUM(OSRRefE20_8x),0)</f>
        <v>5451.8</v>
      </c>
    </row>
    <row r="67" spans="1:17" s="34" customFormat="1" hidden="1" outlineLevel="1" x14ac:dyDescent="0.3">
      <c r="A67" s="35"/>
      <c r="B67" s="10" t="str">
        <f>CONCATENATE("          ","6241", " - ","OFFICE EXPENSE")</f>
        <v xml:space="preserve">          6241 - OFFICE EXPENSE</v>
      </c>
      <c r="C67" s="14"/>
      <c r="D67" s="2">
        <v>8.8000000000000007</v>
      </c>
      <c r="E67" s="2">
        <v>110</v>
      </c>
      <c r="F67" s="2">
        <v>110</v>
      </c>
      <c r="G67" s="2">
        <v>110</v>
      </c>
      <c r="H67" s="2">
        <v>110</v>
      </c>
      <c r="I67" s="2">
        <v>110</v>
      </c>
      <c r="J67" s="2">
        <v>110</v>
      </c>
      <c r="K67" s="2">
        <v>110</v>
      </c>
      <c r="L67" s="2">
        <v>110</v>
      </c>
      <c r="M67" s="2">
        <v>110</v>
      </c>
      <c r="N67" s="2">
        <v>110</v>
      </c>
      <c r="O67" s="2">
        <v>110</v>
      </c>
      <c r="P67" s="9"/>
      <c r="Q67" s="2">
        <f>SUM(OSRRefD21_8_0x)+IFERROR(SUM(OSRRefE21_8_0x),0)</f>
        <v>1218.8</v>
      </c>
    </row>
    <row r="68" spans="1:17" s="34" customFormat="1" hidden="1" outlineLevel="1" x14ac:dyDescent="0.3">
      <c r="A68" s="35"/>
      <c r="B68" s="10" t="str">
        <f>CONCATENATE("          ","6247", " - ","STORE SUPPLIES")</f>
        <v xml:space="preserve">          6247 - STORE SUPPLIES</v>
      </c>
      <c r="C68" s="14"/>
      <c r="D68" s="2">
        <v>2033</v>
      </c>
      <c r="E68" s="2">
        <v>200</v>
      </c>
      <c r="F68" s="2">
        <v>200</v>
      </c>
      <c r="G68" s="2">
        <v>200</v>
      </c>
      <c r="H68" s="2">
        <v>200</v>
      </c>
      <c r="I68" s="2">
        <v>200</v>
      </c>
      <c r="J68" s="2">
        <v>200</v>
      </c>
      <c r="K68" s="2">
        <v>200</v>
      </c>
      <c r="L68" s="2">
        <v>200</v>
      </c>
      <c r="M68" s="2">
        <v>200</v>
      </c>
      <c r="N68" s="2">
        <v>200</v>
      </c>
      <c r="O68" s="2">
        <v>200</v>
      </c>
      <c r="P68" s="9"/>
      <c r="Q68" s="2">
        <f>SUM(OSRRefD21_8_1x)+IFERROR(SUM(OSRRefE21_8_1x),0)</f>
        <v>4233</v>
      </c>
    </row>
    <row r="69" spans="1:17" s="34" customFormat="1" collapsed="1" x14ac:dyDescent="0.3">
      <c r="A69" s="35"/>
      <c r="B69" s="14" t="str">
        <f>CONCATENATE("     ","Telephone/Data Lines                              ")</f>
        <v xml:space="preserve">     Telephone/Data Lines                              </v>
      </c>
      <c r="C69" s="14"/>
      <c r="D69" s="1">
        <f>SUM(OSRRefD21_9x_0)</f>
        <v>283.3</v>
      </c>
      <c r="E69" s="1">
        <f>SUM(OSRRefE21_9x_0)</f>
        <v>325</v>
      </c>
      <c r="F69" s="1">
        <f>SUM(OSRRefE21_9x_1)</f>
        <v>325</v>
      </c>
      <c r="G69" s="1">
        <f>SUM(OSRRefE21_9x_2)</f>
        <v>325</v>
      </c>
      <c r="H69" s="1">
        <f>SUM(OSRRefE21_9x_3)</f>
        <v>325</v>
      </c>
      <c r="I69" s="1">
        <f>SUM(OSRRefE21_9x_4)</f>
        <v>325</v>
      </c>
      <c r="J69" s="1">
        <f>SUM(OSRRefE21_9x_5)</f>
        <v>325</v>
      </c>
      <c r="K69" s="1">
        <f>SUM(OSRRefE21_9x_6)</f>
        <v>325</v>
      </c>
      <c r="L69" s="1">
        <f>SUM(OSRRefE21_9x_7)</f>
        <v>325</v>
      </c>
      <c r="M69" s="1">
        <f>SUM(OSRRefE21_9x_8)</f>
        <v>325</v>
      </c>
      <c r="N69" s="1">
        <f>SUM(OSRRefE21_9x_9)</f>
        <v>325</v>
      </c>
      <c r="O69" s="1">
        <f>SUM(OSRRefE21_9x_10)</f>
        <v>325</v>
      </c>
      <c r="Q69" s="2">
        <f>SUM(OSRRefD20_9x)+IFERROR(SUM(OSRRefE20_9x),0)</f>
        <v>3858.3</v>
      </c>
    </row>
    <row r="70" spans="1:17" s="34" customFormat="1" hidden="1" outlineLevel="1" x14ac:dyDescent="0.3">
      <c r="A70" s="35"/>
      <c r="B70" s="10" t="str">
        <f>CONCATENATE("          ","6309", " - ","TELEPHONE")</f>
        <v xml:space="preserve">          6309 - TELEPHONE</v>
      </c>
      <c r="C70" s="14"/>
      <c r="D70" s="2">
        <v>283.3</v>
      </c>
      <c r="E70" s="2">
        <v>325</v>
      </c>
      <c r="F70" s="2">
        <v>325</v>
      </c>
      <c r="G70" s="2">
        <v>325</v>
      </c>
      <c r="H70" s="2">
        <v>325</v>
      </c>
      <c r="I70" s="2">
        <v>325</v>
      </c>
      <c r="J70" s="2">
        <v>325</v>
      </c>
      <c r="K70" s="2">
        <v>325</v>
      </c>
      <c r="L70" s="2">
        <v>325</v>
      </c>
      <c r="M70" s="2">
        <v>325</v>
      </c>
      <c r="N70" s="2">
        <v>325</v>
      </c>
      <c r="O70" s="2">
        <v>325</v>
      </c>
      <c r="P70" s="9"/>
      <c r="Q70" s="2">
        <f>SUM(OSRRefD21_9_0x)+IFERROR(SUM(OSRRefE21_9_0x),0)</f>
        <v>3858.3</v>
      </c>
    </row>
    <row r="71" spans="1:17" s="28" customFormat="1" x14ac:dyDescent="0.3">
      <c r="A71" s="21"/>
      <c r="B71" s="21"/>
      <c r="C71" s="2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</row>
    <row r="72" spans="1:17" s="9" customFormat="1" x14ac:dyDescent="0.3">
      <c r="A72" s="22"/>
      <c r="B72" s="16" t="s">
        <v>293</v>
      </c>
      <c r="C72" s="23"/>
      <c r="D72" s="3">
        <f>--193.38</f>
        <v>193.38</v>
      </c>
      <c r="E72" s="3">
        <v>3589</v>
      </c>
      <c r="F72" s="3">
        <v>2293</v>
      </c>
      <c r="G72" s="3">
        <v>1047</v>
      </c>
      <c r="H72" s="3">
        <v>1149</v>
      </c>
      <c r="I72" s="3">
        <v>605</v>
      </c>
      <c r="J72" s="3">
        <v>1540</v>
      </c>
      <c r="K72" s="3">
        <v>898</v>
      </c>
      <c r="L72" s="3">
        <v>818</v>
      </c>
      <c r="M72" s="3">
        <v>2157</v>
      </c>
      <c r="N72" s="3">
        <v>829</v>
      </c>
      <c r="O72" s="3">
        <v>2424</v>
      </c>
      <c r="Q72" s="2">
        <f>SUM(OSRRefD23_0x)+IFERROR(SUM(OSRRefE23_0x),0)</f>
        <v>17542.38</v>
      </c>
    </row>
    <row r="73" spans="1:17" x14ac:dyDescent="0.3">
      <c r="A73" s="5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</row>
    <row r="74" spans="1:17" s="15" customFormat="1" x14ac:dyDescent="0.3">
      <c r="A74" s="6"/>
      <c r="B74" s="17" t="s">
        <v>276</v>
      </c>
      <c r="C74" s="17"/>
      <c r="D74" s="8">
        <f t="shared" ref="D74:O74" si="2">IFERROR(+D28-D31+D72, 0)</f>
        <v>-3756.4600000000146</v>
      </c>
      <c r="E74" s="8">
        <f t="shared" si="2"/>
        <v>25585.793015129999</v>
      </c>
      <c r="F74" s="8">
        <f t="shared" si="2"/>
        <v>11890.25201513</v>
      </c>
      <c r="G74" s="8">
        <f t="shared" si="2"/>
        <v>-4479.1444810875</v>
      </c>
      <c r="H74" s="8">
        <f t="shared" si="2"/>
        <v>192.35741512999994</v>
      </c>
      <c r="I74" s="8">
        <f t="shared" si="2"/>
        <v>-6192.3205848699999</v>
      </c>
      <c r="J74" s="8">
        <f t="shared" si="2"/>
        <v>1546.9643249125002</v>
      </c>
      <c r="K74" s="8">
        <f t="shared" si="2"/>
        <v>-2285.0134888700013</v>
      </c>
      <c r="L74" s="8">
        <f t="shared" si="2"/>
        <v>-1918.0134888700013</v>
      </c>
      <c r="M74" s="8">
        <f t="shared" si="2"/>
        <v>6129.1654209125008</v>
      </c>
      <c r="N74" s="8">
        <f t="shared" si="2"/>
        <v>26011.266523130002</v>
      </c>
      <c r="O74" s="8">
        <f t="shared" si="2"/>
        <v>-67.936099669999749</v>
      </c>
      <c r="Q74" s="8">
        <f>IFERROR(+Q28-Q31+Q72, 0)</f>
        <v>52656.910570977576</v>
      </c>
    </row>
    <row r="75" spans="1:17" s="6" customFormat="1" x14ac:dyDescent="0.3">
      <c r="B75" s="16"/>
      <c r="C75" s="16"/>
      <c r="D75" s="4">
        <f t="shared" ref="D75:O75" si="3">IFERROR(D74/D10, 0)</f>
        <v>-3.9414603231895634E-2</v>
      </c>
      <c r="E75" s="4">
        <f t="shared" si="3"/>
        <v>6.8022537041370568E-2</v>
      </c>
      <c r="F75" s="4">
        <f t="shared" si="3"/>
        <v>4.9492193448895917E-2</v>
      </c>
      <c r="G75" s="4">
        <f t="shared" si="3"/>
        <v>-4.0842021346653601E-2</v>
      </c>
      <c r="H75" s="4">
        <f t="shared" si="3"/>
        <v>1.5981839076935854E-3</v>
      </c>
      <c r="I75" s="4">
        <f t="shared" si="3"/>
        <v>-9.7712284172597155E-2</v>
      </c>
      <c r="J75" s="4">
        <f t="shared" si="3"/>
        <v>8.4599677612150481E-3</v>
      </c>
      <c r="K75" s="4">
        <f t="shared" si="3"/>
        <v>-2.1415710593169518E-2</v>
      </c>
      <c r="L75" s="4">
        <f t="shared" si="3"/>
        <v>-1.7666146162567939E-2</v>
      </c>
      <c r="M75" s="4">
        <f t="shared" si="3"/>
        <v>2.972004762116327E-2</v>
      </c>
      <c r="N75" s="4">
        <f t="shared" si="3"/>
        <v>6.7051443619029205E-2</v>
      </c>
      <c r="O75" s="4">
        <f t="shared" si="3"/>
        <v>-6.388814669538044E-4</v>
      </c>
      <c r="P75" s="18"/>
      <c r="Q75" s="4">
        <f>IFERROR(Q74/Q10, 0)</f>
        <v>2.5030471405703893E-2</v>
      </c>
    </row>
    <row r="76" spans="1:17" x14ac:dyDescent="0.3">
      <c r="A76" s="5"/>
      <c r="B76" s="6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</row>
    <row r="77" spans="1:17" s="15" customFormat="1" x14ac:dyDescent="0.3">
      <c r="A77" s="25"/>
      <c r="B77" s="6" t="s">
        <v>125</v>
      </c>
      <c r="C77" s="6"/>
      <c r="D77" s="3">
        <v>44031.12</v>
      </c>
      <c r="E77" s="3">
        <v>-27356</v>
      </c>
      <c r="F77" s="3">
        <v>23858</v>
      </c>
      <c r="G77" s="3">
        <v>18339</v>
      </c>
      <c r="H77" s="3">
        <v>25107</v>
      </c>
      <c r="I77" s="3">
        <v>13217</v>
      </c>
      <c r="J77" s="3">
        <v>17954</v>
      </c>
      <c r="K77" s="3">
        <v>8866</v>
      </c>
      <c r="L77" s="3">
        <v>12533</v>
      </c>
      <c r="M77" s="3">
        <v>27324</v>
      </c>
      <c r="N77" s="3">
        <v>49787</v>
      </c>
      <c r="O77" s="3">
        <v>-10979</v>
      </c>
      <c r="Q77" s="2">
        <f>SUM(OSRRefD28_0x)+IFERROR(SUM(OSRRefE28_0x),0)</f>
        <v>202681.12</v>
      </c>
    </row>
    <row r="78" spans="1:17" x14ac:dyDescent="0.3">
      <c r="A78" s="5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</row>
    <row r="79" spans="1:17" s="15" customFormat="1" ht="15" thickBot="1" x14ac:dyDescent="0.35">
      <c r="A79" s="6"/>
      <c r="B79" s="17" t="s">
        <v>124</v>
      </c>
      <c r="C79" s="17"/>
      <c r="D79" s="7">
        <f t="shared" ref="D79:O79" si="4">IFERROR(+D74-D77, 0)</f>
        <v>-47787.580000000016</v>
      </c>
      <c r="E79" s="7">
        <f t="shared" si="4"/>
        <v>52941.793015129995</v>
      </c>
      <c r="F79" s="7">
        <f t="shared" si="4"/>
        <v>-11967.74798487</v>
      </c>
      <c r="G79" s="7">
        <f t="shared" si="4"/>
        <v>-22818.1444810875</v>
      </c>
      <c r="H79" s="7">
        <f t="shared" si="4"/>
        <v>-24914.642584870002</v>
      </c>
      <c r="I79" s="7">
        <f t="shared" si="4"/>
        <v>-19409.320584870002</v>
      </c>
      <c r="J79" s="7">
        <f t="shared" si="4"/>
        <v>-16407.0356750875</v>
      </c>
      <c r="K79" s="7">
        <f t="shared" si="4"/>
        <v>-11151.013488870001</v>
      </c>
      <c r="L79" s="7">
        <f t="shared" si="4"/>
        <v>-14451.013488870001</v>
      </c>
      <c r="M79" s="7">
        <f t="shared" si="4"/>
        <v>-21194.834579087499</v>
      </c>
      <c r="N79" s="7">
        <f t="shared" si="4"/>
        <v>-23775.733476869998</v>
      </c>
      <c r="O79" s="7">
        <f t="shared" si="4"/>
        <v>10911.06390033</v>
      </c>
      <c r="Q79" s="7">
        <f>IFERROR(+Q74-Q77, 0)</f>
        <v>-150024.20942902242</v>
      </c>
    </row>
    <row r="80" spans="1:17" ht="15" thickTop="1" x14ac:dyDescent="0.3">
      <c r="A80" s="5"/>
      <c r="B80" s="5"/>
      <c r="C80" s="5"/>
      <c r="D80" s="4">
        <f t="shared" ref="D80:O80" si="5">IFERROR(D79/D10, 0)</f>
        <v>-0.50141050486693972</v>
      </c>
      <c r="E80" s="4">
        <f t="shared" si="5"/>
        <v>0.14075135659382085</v>
      </c>
      <c r="F80" s="4">
        <f t="shared" si="5"/>
        <v>-4.981476403200899E-2</v>
      </c>
      <c r="G80" s="4">
        <f t="shared" si="5"/>
        <v>-0.20806186268886204</v>
      </c>
      <c r="H80" s="4">
        <f t="shared" si="5"/>
        <v>-0.20700101848512797</v>
      </c>
      <c r="I80" s="4">
        <f t="shared" si="5"/>
        <v>-0.30627113415602863</v>
      </c>
      <c r="J80" s="4">
        <f t="shared" si="5"/>
        <v>-8.9726046446608546E-2</v>
      </c>
      <c r="K80" s="4">
        <f t="shared" si="5"/>
        <v>-0.10451005163048981</v>
      </c>
      <c r="L80" s="4">
        <f t="shared" si="5"/>
        <v>-0.1331031913868472</v>
      </c>
      <c r="M80" s="4">
        <f t="shared" si="5"/>
        <v>-0.10277280017013771</v>
      </c>
      <c r="N80" s="4">
        <f t="shared" si="5"/>
        <v>-6.1288720843631579E-2</v>
      </c>
      <c r="O80" s="4">
        <f t="shared" si="5"/>
        <v>0.10260931293569441</v>
      </c>
      <c r="P80" s="18"/>
      <c r="Q80" s="4">
        <f>IFERROR(Q79/Q10, 0)</f>
        <v>-7.1314033496416032E-2</v>
      </c>
    </row>
    <row r="81" spans="1:17" x14ac:dyDescent="0.3">
      <c r="A81" s="5"/>
      <c r="B81" s="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</row>
    <row r="82" spans="1:17" x14ac:dyDescent="0.3">
      <c r="A82" s="5"/>
      <c r="B82" s="5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</row>
    <row r="83" spans="1:17" s="15" customFormat="1" ht="15" thickBot="1" x14ac:dyDescent="0.35">
      <c r="A83" s="6"/>
      <c r="B83" s="17" t="s">
        <v>294</v>
      </c>
      <c r="C83" s="17"/>
      <c r="D83" s="7">
        <f t="shared" ref="D83:O83" si="6">IFERROR(SUM(D79:D82), 0)</f>
        <v>-47788.081410504885</v>
      </c>
      <c r="E83" s="7">
        <f t="shared" si="6"/>
        <v>52941.933766486589</v>
      </c>
      <c r="F83" s="7">
        <f t="shared" si="6"/>
        <v>-11967.797799634032</v>
      </c>
      <c r="G83" s="7">
        <f t="shared" si="6"/>
        <v>-22818.35254295019</v>
      </c>
      <c r="H83" s="7">
        <f t="shared" si="6"/>
        <v>-24914.849585888485</v>
      </c>
      <c r="I83" s="7">
        <f t="shared" si="6"/>
        <v>-19409.626856004157</v>
      </c>
      <c r="J83" s="7">
        <f t="shared" si="6"/>
        <v>-16407.125401133948</v>
      </c>
      <c r="K83" s="7">
        <f t="shared" si="6"/>
        <v>-11151.117998921633</v>
      </c>
      <c r="L83" s="7">
        <f t="shared" si="6"/>
        <v>-14451.146592061388</v>
      </c>
      <c r="M83" s="7">
        <f t="shared" si="6"/>
        <v>-21194.937351887671</v>
      </c>
      <c r="N83" s="7">
        <f t="shared" si="6"/>
        <v>-23775.794765590843</v>
      </c>
      <c r="O83" s="7">
        <f t="shared" si="6"/>
        <v>10911.166509642935</v>
      </c>
      <c r="Q83" s="7">
        <f>IFERROR(SUM(Q79:Q82), 0)</f>
        <v>-150024.28074305592</v>
      </c>
    </row>
    <row r="84" spans="1:17" ht="15" thickTop="1" x14ac:dyDescent="0.3">
      <c r="A84" s="5"/>
      <c r="C84" s="5"/>
      <c r="D84" s="4">
        <f t="shared" ref="D84:O84" si="7">IFERROR(D83/D10, 0)</f>
        <v>-0.50141576590954529</v>
      </c>
      <c r="E84" s="4">
        <f t="shared" si="7"/>
        <v>0.14075173079619019</v>
      </c>
      <c r="F84" s="4">
        <f t="shared" si="7"/>
        <v>-4.9814971381856157E-2</v>
      </c>
      <c r="G84" s="4">
        <f t="shared" si="7"/>
        <v>-0.20806375985182995</v>
      </c>
      <c r="H84" s="4">
        <f t="shared" si="7"/>
        <v>-0.20700273833406851</v>
      </c>
      <c r="I84" s="4">
        <f t="shared" si="7"/>
        <v>-0.30627596698916187</v>
      </c>
      <c r="J84" s="4">
        <f t="shared" si="7"/>
        <v>-8.9726537136308418E-2</v>
      </c>
      <c r="K84" s="4">
        <f t="shared" si="7"/>
        <v>-0.10451103112449749</v>
      </c>
      <c r="L84" s="4">
        <f t="shared" si="7"/>
        <v>-0.13310441735342532</v>
      </c>
      <c r="M84" s="4">
        <f t="shared" si="7"/>
        <v>-0.10277329851082612</v>
      </c>
      <c r="N84" s="4">
        <f t="shared" si="7"/>
        <v>-6.1288878832755501E-2</v>
      </c>
      <c r="O84" s="4">
        <f t="shared" si="7"/>
        <v>0.10261027788935953</v>
      </c>
      <c r="P84" s="18"/>
      <c r="Q84" s="4">
        <f>IFERROR(Q83/Q10, 0)</f>
        <v>-7.1314067395553987E-2</v>
      </c>
    </row>
    <row r="85" spans="1:17" x14ac:dyDescent="0.3">
      <c r="A85" s="5"/>
      <c r="B85" s="30">
        <v>44462.678408252315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1:17" x14ac:dyDescent="0.3">
      <c r="A86" s="5"/>
      <c r="B86" s="31" t="s">
        <v>54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 s="11"/>
    </row>
    <row r="87" spans="1:17" x14ac:dyDescent="0.3">
      <c r="A87" s="5"/>
      <c r="B87" s="2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8" spans="1:17" x14ac:dyDescent="0.3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Q8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92D050"/>
    <outlinePr summaryBelow="0" summaryRight="0"/>
    <pageSetUpPr fitToPage="1"/>
  </sheetPr>
  <dimension ref="A2:R8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","317", " - ", "Computer Store")</f>
        <v>Department 317 - Computer Store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95306.299999999988</v>
      </c>
      <c r="E10" s="3">
        <f>SUM(OSRRefE11x_0)</f>
        <v>376137</v>
      </c>
      <c r="F10" s="3">
        <f>SUM(OSRRefE11x_1)</f>
        <v>240245</v>
      </c>
      <c r="G10" s="3">
        <f>SUM(OSRRefE11x_2)</f>
        <v>109670</v>
      </c>
      <c r="H10" s="3">
        <f>SUM(OSRRefE11x_3)</f>
        <v>120360</v>
      </c>
      <c r="I10" s="3">
        <f>SUM(OSRRefE11x_4)</f>
        <v>63373</v>
      </c>
      <c r="J10" s="3">
        <f>SUM(OSRRefE11x_5)</f>
        <v>182857</v>
      </c>
      <c r="K10" s="3">
        <f>SUM(OSRRefE11x_6)</f>
        <v>106698</v>
      </c>
      <c r="L10" s="3">
        <f>SUM(OSRRefE11x_7)</f>
        <v>108570</v>
      </c>
      <c r="M10" s="3">
        <f>SUM(OSRRefE11x_8)</f>
        <v>206230</v>
      </c>
      <c r="N10" s="3">
        <f>SUM(OSRRefE11x_9)</f>
        <v>387930</v>
      </c>
      <c r="O10" s="3">
        <f>SUM(OSRRefE11x_10)</f>
        <v>106336</v>
      </c>
      <c r="P10" s="24"/>
      <c r="Q10" s="3">
        <f>SUM(OSRRefG11x)</f>
        <v>2103712.3000000003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--81956.26</f>
        <v>81956.259999999995</v>
      </c>
      <c r="E11" s="2">
        <v>356294</v>
      </c>
      <c r="F11" s="2">
        <v>226713</v>
      </c>
      <c r="G11" s="2">
        <v>99228</v>
      </c>
      <c r="H11" s="2">
        <v>114547</v>
      </c>
      <c r="I11" s="2">
        <v>56442</v>
      </c>
      <c r="J11" s="2">
        <v>166280</v>
      </c>
      <c r="K11" s="2">
        <v>94619</v>
      </c>
      <c r="L11" s="2">
        <v>94696</v>
      </c>
      <c r="M11" s="2">
        <v>188537</v>
      </c>
      <c r="N11" s="2">
        <v>371978</v>
      </c>
      <c r="O11" s="2">
        <v>103131</v>
      </c>
      <c r="Q11" s="2">
        <f>SUM(OSRRefD11_0x)+IFERROR(SUM(OSRRefE11_0x),0)</f>
        <v>1954421.26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--40967.98</f>
        <v>40967.980000000003</v>
      </c>
      <c r="E12" s="2">
        <v>19843</v>
      </c>
      <c r="F12" s="2">
        <v>13532</v>
      </c>
      <c r="G12" s="2">
        <v>10442</v>
      </c>
      <c r="H12" s="2">
        <v>5813</v>
      </c>
      <c r="I12" s="2">
        <v>6931</v>
      </c>
      <c r="J12" s="2">
        <v>16577</v>
      </c>
      <c r="K12" s="2">
        <v>12079</v>
      </c>
      <c r="L12" s="2">
        <v>13874</v>
      </c>
      <c r="M12" s="2">
        <v>17693</v>
      </c>
      <c r="N12" s="2">
        <v>15952</v>
      </c>
      <c r="O12" s="2">
        <v>3205</v>
      </c>
      <c r="Q12" s="2">
        <f>SUM(OSRRefD11_1x)+IFERROR(SUM(OSRRefE11_1x),0)</f>
        <v>176908.98</v>
      </c>
    </row>
    <row r="13" spans="1:18" s="9" customFormat="1" hidden="1" outlineLevel="1" x14ac:dyDescent="0.3">
      <c r="A13" s="22"/>
      <c r="B13" s="10" t="str">
        <f>CONCATENATE("          ","4200", " - ","TAXABLE RETURNS")</f>
        <v xml:space="preserve">          4200 - TAXABLE RETURNS</v>
      </c>
      <c r="C13" s="23"/>
      <c r="D13" s="2">
        <f>-27218.94</f>
        <v>-27218.94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-27218.94</v>
      </c>
    </row>
    <row r="14" spans="1:18" s="9" customFormat="1" hidden="1" outlineLevel="1" x14ac:dyDescent="0.3">
      <c r="A14" s="22"/>
      <c r="B14" s="10" t="str">
        <f>CONCATENATE("          ","4300", " - ","NON-TAX RETURNS")</f>
        <v xml:space="preserve">          4300 - NON-TAX RETURNS</v>
      </c>
      <c r="C14" s="23"/>
      <c r="D14" s="2">
        <f>-399</f>
        <v>-399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-399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82371.47</v>
      </c>
      <c r="E16" s="3">
        <f>SUM(OSRRefE14x_0)</f>
        <v>336642</v>
      </c>
      <c r="F16" s="3">
        <f>SUM(OSRRefE14x_1)</f>
        <v>215019</v>
      </c>
      <c r="G16" s="3">
        <f>SUM(OSRRefE14x_2)</f>
        <v>98154</v>
      </c>
      <c r="H16" s="3">
        <f>SUM(OSRRefE14x_3)</f>
        <v>107722</v>
      </c>
      <c r="I16" s="3">
        <f>SUM(OSRRefE14x_4)</f>
        <v>56719</v>
      </c>
      <c r="J16" s="3">
        <f>SUM(OSRRefE14x_5)</f>
        <v>163656</v>
      </c>
      <c r="K16" s="3">
        <f>SUM(OSRRefE14x_6)</f>
        <v>95495</v>
      </c>
      <c r="L16" s="3">
        <f>SUM(OSRRefE14x_7)</f>
        <v>97170</v>
      </c>
      <c r="M16" s="3">
        <f>SUM(OSRRefE14x_8)</f>
        <v>184575</v>
      </c>
      <c r="N16" s="3">
        <f>SUM(OSRRefE14x_9)</f>
        <v>347197</v>
      </c>
      <c r="O16" s="3">
        <f>SUM(OSRRefE14x_10)</f>
        <v>95171</v>
      </c>
      <c r="Q16" s="3">
        <f>SUM(OSRRefG14x)</f>
        <v>1879891.4700000002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>
        <v>97362.54</v>
      </c>
      <c r="E17" s="2">
        <v>336642</v>
      </c>
      <c r="F17" s="2">
        <v>215019</v>
      </c>
      <c r="G17" s="2">
        <v>98154</v>
      </c>
      <c r="H17" s="2">
        <v>107722</v>
      </c>
      <c r="I17" s="2">
        <v>56719</v>
      </c>
      <c r="J17" s="2">
        <v>163656</v>
      </c>
      <c r="K17" s="2">
        <v>95495</v>
      </c>
      <c r="L17" s="2">
        <v>97170</v>
      </c>
      <c r="M17" s="2">
        <v>184575</v>
      </c>
      <c r="N17" s="2">
        <v>347197</v>
      </c>
      <c r="O17" s="2">
        <v>95171</v>
      </c>
      <c r="Q17" s="2">
        <f>SUM(OSRRefD14_0x)+IFERROR(SUM(OSRRefE14_0x),0)</f>
        <v>1894882.54</v>
      </c>
    </row>
    <row r="18" spans="1:17" s="9" customFormat="1" hidden="1" outlineLevel="1" x14ac:dyDescent="0.3">
      <c r="A18" s="22"/>
      <c r="B18" s="10" t="str">
        <f>CONCATENATE("          ","5081", " - ","PURCHASES @ COST-ELECTRONICS")</f>
        <v xml:space="preserve">          5081 - PURCHASES @ COST-ELECTRONICS</v>
      </c>
      <c r="C18" s="23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0</v>
      </c>
    </row>
    <row r="19" spans="1:17" s="9" customFormat="1" hidden="1" outlineLevel="1" x14ac:dyDescent="0.3">
      <c r="A19" s="22"/>
      <c r="B19" s="10" t="str">
        <f>CONCATENATE("          ","5082", " - ","PURCHASES @ COST-COMPUTER HARD")</f>
        <v xml:space="preserve">          5082 - PURCHASES @ COST-COMPUTER HARD</v>
      </c>
      <c r="C19" s="23"/>
      <c r="D19" s="2">
        <v>-10902.62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-10902.62</v>
      </c>
    </row>
    <row r="20" spans="1:17" s="9" customFormat="1" hidden="1" outlineLevel="1" x14ac:dyDescent="0.3">
      <c r="A20" s="22"/>
      <c r="B20" s="10" t="str">
        <f>CONCATENATE("          ","5083", " - ","PURCHASES @ COST-COMPUTER EQUI")</f>
        <v xml:space="preserve">          5083 - PURCHASES @ COST-COMPUTER EQUI</v>
      </c>
      <c r="C20" s="23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SUM(OSRRefD14_3x)+IFERROR(SUM(OSRRefE14_3x),0)</f>
        <v>0</v>
      </c>
    </row>
    <row r="21" spans="1:17" s="9" customFormat="1" hidden="1" outlineLevel="1" x14ac:dyDescent="0.3">
      <c r="A21" s="22"/>
      <c r="B21" s="10" t="str">
        <f>CONCATENATE("          ","5085", " - ","PURCHASES @ COST-SOFTWARE")</f>
        <v xml:space="preserve">          5085 - PURCHASES @ COST-SOFTWARE</v>
      </c>
      <c r="C21" s="23"/>
      <c r="D21" s="2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SUM(OSRRefD14_4x)+IFERROR(SUM(OSRRefE14_4x),0)</f>
        <v>0</v>
      </c>
    </row>
    <row r="22" spans="1:17" s="9" customFormat="1" hidden="1" outlineLevel="1" x14ac:dyDescent="0.3">
      <c r="A22" s="22"/>
      <c r="B22" s="10" t="str">
        <f>CONCATENATE("          ","5086", " - ","PURCHASES @ COST-COMPUTER SUPP")</f>
        <v xml:space="preserve">          5086 - PURCHASES @ COST-COMPUTER SUPP</v>
      </c>
      <c r="C22" s="23"/>
      <c r="D22" s="2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2">
        <f>SUM(OSRRefD14_5x)+IFERROR(SUM(OSRRefE14_5x),0)</f>
        <v>0</v>
      </c>
    </row>
    <row r="23" spans="1:17" s="9" customFormat="1" hidden="1" outlineLevel="1" x14ac:dyDescent="0.3">
      <c r="A23" s="22"/>
      <c r="B23" s="10" t="str">
        <f>CONCATENATE("          ","5200", " - ","PURCHASES OFFSET")</f>
        <v xml:space="preserve">          5200 - PURCHASES OFFSET</v>
      </c>
      <c r="C23" s="23"/>
      <c r="D23" s="2">
        <v>-97382.65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2">
        <f>SUM(OSRRefD14_6x)+IFERROR(SUM(OSRRefE14_6x),0)</f>
        <v>-97382.65</v>
      </c>
    </row>
    <row r="24" spans="1:17" s="9" customFormat="1" hidden="1" outlineLevel="1" x14ac:dyDescent="0.3">
      <c r="A24" s="22"/>
      <c r="B24" s="10" t="str">
        <f>CONCATENATE("          ","5300", " - ","COG$ OFFSET")</f>
        <v xml:space="preserve">          5300 - COG$ OFFSET</v>
      </c>
      <c r="C24" s="23"/>
      <c r="D24" s="2">
        <v>93274.09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2">
        <f>SUM(OSRRefD14_7x)+IFERROR(SUM(OSRRefE14_7x),0)</f>
        <v>93274.09</v>
      </c>
    </row>
    <row r="25" spans="1:17" s="9" customFormat="1" hidden="1" outlineLevel="1" x14ac:dyDescent="0.3">
      <c r="A25" s="22"/>
      <c r="B25" s="10" t="str">
        <f>CONCATENATE("          ","5500", " - ","FREIGHT-IN")</f>
        <v xml:space="preserve">          5500 - FREIGHT-IN</v>
      </c>
      <c r="C25" s="23"/>
      <c r="D25" s="2">
        <v>20.11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>
        <f>SUM(OSRRefD14_8x)+IFERROR(SUM(OSRRefE14_8x),0)</f>
        <v>20.11</v>
      </c>
    </row>
    <row r="26" spans="1:17" s="9" customFormat="1" hidden="1" outlineLevel="1" x14ac:dyDescent="0.3">
      <c r="A26" s="22"/>
      <c r="B26" s="10" t="str">
        <f>CONCATENATE("          ","5583", " - ","FREIGHT-IN-COMPUTER EQUIPMENT")</f>
        <v xml:space="preserve">          5583 - FREIGHT-IN-COMPUTER EQUIPMENT</v>
      </c>
      <c r="C26" s="23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>
        <f>SUM(OSRRefD14_9x)+IFERROR(SUM(OSRRefE14_9x),0)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6"/>
      <c r="B28" s="17" t="s">
        <v>105</v>
      </c>
      <c r="C28" s="17"/>
      <c r="D28" s="8">
        <f t="shared" ref="D28:O28" si="0">IFERROR(+D10-D16, 0)</f>
        <v>12934.829999999987</v>
      </c>
      <c r="E28" s="8">
        <f t="shared" si="0"/>
        <v>39495</v>
      </c>
      <c r="F28" s="8">
        <f t="shared" si="0"/>
        <v>25226</v>
      </c>
      <c r="G28" s="8">
        <f t="shared" si="0"/>
        <v>11516</v>
      </c>
      <c r="H28" s="8">
        <f t="shared" si="0"/>
        <v>12638</v>
      </c>
      <c r="I28" s="8">
        <f t="shared" si="0"/>
        <v>6654</v>
      </c>
      <c r="J28" s="8">
        <f t="shared" si="0"/>
        <v>19201</v>
      </c>
      <c r="K28" s="8">
        <f t="shared" si="0"/>
        <v>11203</v>
      </c>
      <c r="L28" s="8">
        <f t="shared" si="0"/>
        <v>11400</v>
      </c>
      <c r="M28" s="8">
        <f t="shared" si="0"/>
        <v>21655</v>
      </c>
      <c r="N28" s="8">
        <f t="shared" si="0"/>
        <v>40733</v>
      </c>
      <c r="O28" s="8">
        <f t="shared" si="0"/>
        <v>11165</v>
      </c>
      <c r="Q28" s="8">
        <f>IFERROR(+Q10-Q16, 0)</f>
        <v>223820.83000000007</v>
      </c>
    </row>
    <row r="29" spans="1:17" s="6" customFormat="1" x14ac:dyDescent="0.3">
      <c r="B29" s="16"/>
      <c r="C29" s="16"/>
      <c r="D29" s="4">
        <f t="shared" ref="D29:O29" si="1">IFERROR(D28/D10, 0)</f>
        <v>0.13571852018177172</v>
      </c>
      <c r="E29" s="4">
        <f t="shared" si="1"/>
        <v>0.10500163504255099</v>
      </c>
      <c r="F29" s="4">
        <f t="shared" si="1"/>
        <v>0.10500114466482133</v>
      </c>
      <c r="G29" s="4">
        <f t="shared" si="1"/>
        <v>0.10500592687152366</v>
      </c>
      <c r="H29" s="4">
        <f t="shared" si="1"/>
        <v>0.1050016616816218</v>
      </c>
      <c r="I29" s="4">
        <f t="shared" si="1"/>
        <v>0.10499739636753823</v>
      </c>
      <c r="J29" s="4">
        <f t="shared" si="1"/>
        <v>0.10500555078558656</v>
      </c>
      <c r="K29" s="4">
        <f t="shared" si="1"/>
        <v>0.10499728204839828</v>
      </c>
      <c r="L29" s="4">
        <f t="shared" si="1"/>
        <v>0.10500138159712628</v>
      </c>
      <c r="M29" s="4">
        <f t="shared" si="1"/>
        <v>0.10500412161179266</v>
      </c>
      <c r="N29" s="4">
        <f t="shared" si="1"/>
        <v>0.10500090222462816</v>
      </c>
      <c r="O29" s="4">
        <f t="shared" si="1"/>
        <v>0.10499736683719531</v>
      </c>
      <c r="P29" s="18"/>
      <c r="Q29" s="4">
        <f>IFERROR(Q28/Q10, 0)</f>
        <v>0.10639326965003724</v>
      </c>
    </row>
    <row r="30" spans="1:17" x14ac:dyDescent="0.3">
      <c r="A30" s="5"/>
      <c r="B30" s="6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Q30" s="1"/>
    </row>
    <row r="31" spans="1:17" s="15" customFormat="1" x14ac:dyDescent="0.3">
      <c r="A31" s="6"/>
      <c r="B31" s="16" t="s">
        <v>255</v>
      </c>
      <c r="C31" s="6"/>
      <c r="D31" s="13">
        <f>SUM(OSRRefD20x_0)</f>
        <v>16884.670000000002</v>
      </c>
      <c r="E31" s="13">
        <f>SUM(OSRRefE20x_0)</f>
        <v>17498.206984870001</v>
      </c>
      <c r="F31" s="13">
        <f>SUM(OSRRefE20x_1)</f>
        <v>15628.74798487</v>
      </c>
      <c r="G31" s="13">
        <f>SUM(OSRRefE20x_2)</f>
        <v>17042.1444810875</v>
      </c>
      <c r="H31" s="13">
        <f>SUM(OSRRefE20x_3)</f>
        <v>13594.64258487</v>
      </c>
      <c r="I31" s="13">
        <f>SUM(OSRRefE20x_4)</f>
        <v>13451.32058487</v>
      </c>
      <c r="J31" s="13">
        <f>SUM(OSRRefE20x_5)</f>
        <v>19194.0356750875</v>
      </c>
      <c r="K31" s="13">
        <f>SUM(OSRRefE20x_6)</f>
        <v>14386.013488870001</v>
      </c>
      <c r="L31" s="13">
        <f>SUM(OSRRefE20x_7)</f>
        <v>14136.013488870001</v>
      </c>
      <c r="M31" s="13">
        <f>SUM(OSRRefE20x_8)</f>
        <v>17682.834579087499</v>
      </c>
      <c r="N31" s="13">
        <f>SUM(OSRRefE20x_9)</f>
        <v>15550.733476869998</v>
      </c>
      <c r="O31" s="13">
        <f>SUM(OSRRefE20x_10)</f>
        <v>13656.93609967</v>
      </c>
      <c r="Q31" s="13">
        <f>SUM(OSRRefG20x)</f>
        <v>188706.2994290225</v>
      </c>
    </row>
    <row r="32" spans="1:17" s="34" customFormat="1" collapsed="1" x14ac:dyDescent="0.3">
      <c r="A32" s="35"/>
      <c r="B32" s="14" t="str">
        <f>CONCATENATE("     ","*Benefits                                         ")</f>
        <v xml:space="preserve">     *Benefits                                         </v>
      </c>
      <c r="C32" s="14"/>
      <c r="D32" s="1">
        <f>SUM(OSRRefD21_0x_0)</f>
        <v>2159.6000000000004</v>
      </c>
      <c r="E32" s="1">
        <f>SUM(OSRRefE21_0x_0)</f>
        <v>3080.6564348700003</v>
      </c>
      <c r="F32" s="1">
        <f>SUM(OSRRefE21_0x_1)</f>
        <v>2603.1974348700001</v>
      </c>
      <c r="G32" s="1">
        <f>SUM(OSRRefE21_0x_2)</f>
        <v>3035.2062935875001</v>
      </c>
      <c r="H32" s="1">
        <f>SUM(OSRRefE21_0x_3)</f>
        <v>2541.0920348700001</v>
      </c>
      <c r="I32" s="1">
        <f>SUM(OSRRefE21_0x_4)</f>
        <v>2547.77003487</v>
      </c>
      <c r="J32" s="1">
        <f>SUM(OSRRefE21_0x_5)</f>
        <v>3115.8774875875001</v>
      </c>
      <c r="K32" s="1">
        <f>SUM(OSRRefE21_0x_6)</f>
        <v>2578.94293887</v>
      </c>
      <c r="L32" s="1">
        <f>SUM(OSRRefE21_0x_7)</f>
        <v>2578.94293887</v>
      </c>
      <c r="M32" s="1">
        <f>SUM(OSRRefE21_0x_8)</f>
        <v>3041.1563915874999</v>
      </c>
      <c r="N32" s="1">
        <f>SUM(OSRRefE21_0x_9)</f>
        <v>2563.2229268699998</v>
      </c>
      <c r="O32" s="1">
        <f>SUM(OSRRefE21_0x_10)</f>
        <v>2818.6255496700001</v>
      </c>
      <c r="Q32" s="2">
        <f>SUM(OSRRefD20_0x)+IFERROR(SUM(OSRRefE20_0x),0)</f>
        <v>32664.2904665225</v>
      </c>
    </row>
    <row r="33" spans="1:17" s="34" customFormat="1" hidden="1" outlineLevel="1" x14ac:dyDescent="0.3">
      <c r="A33" s="35"/>
      <c r="B33" s="10" t="str">
        <f>CONCATENATE("          ","6111", " - ","F.I.C.A.")</f>
        <v xml:space="preserve">          6111 - F.I.C.A.</v>
      </c>
      <c r="C33" s="14"/>
      <c r="D33" s="2">
        <v>653.55999999999995</v>
      </c>
      <c r="E33" s="2">
        <v>902.77611956999999</v>
      </c>
      <c r="F33" s="2">
        <v>457.37151956999998</v>
      </c>
      <c r="G33" s="2">
        <v>571.71439946249996</v>
      </c>
      <c r="H33" s="2">
        <v>457.37151956999998</v>
      </c>
      <c r="I33" s="2">
        <v>457.37151956999998</v>
      </c>
      <c r="J33" s="2">
        <v>571.71439946249996</v>
      </c>
      <c r="K33" s="2">
        <v>457.37151956999998</v>
      </c>
      <c r="L33" s="2">
        <v>457.37151956999998</v>
      </c>
      <c r="M33" s="2">
        <v>571.71439946249996</v>
      </c>
      <c r="N33" s="2">
        <v>457.37151956999998</v>
      </c>
      <c r="O33" s="2">
        <v>741.35598236999999</v>
      </c>
      <c r="P33" s="9"/>
      <c r="Q33" s="2">
        <f>SUM(OSRRefD21_0_0x)+IFERROR(SUM(OSRRefE21_0_0x),0)</f>
        <v>6757.0644177475006</v>
      </c>
    </row>
    <row r="34" spans="1:17" s="34" customFormat="1" hidden="1" outlineLevel="1" x14ac:dyDescent="0.3">
      <c r="A34" s="35"/>
      <c r="B34" s="10" t="str">
        <f>CONCATENATE("          ","6112", " - ","COMPENSATION INSURANCE")</f>
        <v xml:space="preserve">          6112 - COMPENSATION INSURANCE</v>
      </c>
      <c r="C34" s="14"/>
      <c r="D34" s="2">
        <v>177.36</v>
      </c>
      <c r="E34" s="2">
        <v>184.02335640000001</v>
      </c>
      <c r="F34" s="2">
        <v>173.5401564</v>
      </c>
      <c r="G34" s="2">
        <v>201.0911955</v>
      </c>
      <c r="H34" s="2">
        <v>153.22895639999999</v>
      </c>
      <c r="I34" s="2">
        <v>155.41295640000001</v>
      </c>
      <c r="J34" s="2">
        <v>227.47422750000001</v>
      </c>
      <c r="K34" s="2">
        <v>165.6078684</v>
      </c>
      <c r="L34" s="2">
        <v>165.6078684</v>
      </c>
      <c r="M34" s="2">
        <v>203.03713949999999</v>
      </c>
      <c r="N34" s="2">
        <v>160.46673240000001</v>
      </c>
      <c r="O34" s="2">
        <v>151.11921240000001</v>
      </c>
      <c r="P34" s="9"/>
      <c r="Q34" s="2">
        <f>SUM(OSRRefD21_0_1x)+IFERROR(SUM(OSRRefE21_0_1x),0)</f>
        <v>2117.9696696999999</v>
      </c>
    </row>
    <row r="35" spans="1:17" s="34" customFormat="1" hidden="1" outlineLevel="1" x14ac:dyDescent="0.3">
      <c r="A35" s="35"/>
      <c r="B35" s="10" t="str">
        <f>CONCATENATE("          ","6113", " - ","GROUP INSURANCE")</f>
        <v xml:space="preserve">          6113 - GROUP INSURANCE</v>
      </c>
      <c r="C35" s="14"/>
      <c r="D35" s="2">
        <v>828.27</v>
      </c>
      <c r="E35" s="2">
        <v>943.5</v>
      </c>
      <c r="F35" s="2">
        <v>943.5</v>
      </c>
      <c r="G35" s="2">
        <v>1096.5</v>
      </c>
      <c r="H35" s="2">
        <v>943.5</v>
      </c>
      <c r="I35" s="2">
        <v>943.5</v>
      </c>
      <c r="J35" s="2">
        <v>1096.5</v>
      </c>
      <c r="K35" s="2">
        <v>943.5</v>
      </c>
      <c r="L35" s="2">
        <v>943.5</v>
      </c>
      <c r="M35" s="2">
        <v>1096.5</v>
      </c>
      <c r="N35" s="2">
        <v>943.5</v>
      </c>
      <c r="O35" s="2">
        <v>943.5</v>
      </c>
      <c r="P35" s="9"/>
      <c r="Q35" s="2">
        <f>SUM(OSRRefD21_0_2x)+IFERROR(SUM(OSRRefE21_0_2x),0)</f>
        <v>11665.77</v>
      </c>
    </row>
    <row r="36" spans="1:17" s="34" customFormat="1" hidden="1" outlineLevel="1" x14ac:dyDescent="0.3">
      <c r="A36" s="35"/>
      <c r="B36" s="10" t="str">
        <f>CONCATENATE("          ","6114", " - ","STATE UNEMPLOYMENT INSURANCE")</f>
        <v xml:space="preserve">          6114 - STATE UNEMPLOYMENT INSURANCE</v>
      </c>
      <c r="C36" s="14"/>
      <c r="D36" s="2">
        <v>31.16</v>
      </c>
      <c r="E36" s="2">
        <v>24.772374899999999</v>
      </c>
      <c r="F36" s="2">
        <v>23.361174900000002</v>
      </c>
      <c r="G36" s="2">
        <v>27.069968625000001</v>
      </c>
      <c r="H36" s="2">
        <v>20.6269749</v>
      </c>
      <c r="I36" s="2">
        <v>20.920974900000001</v>
      </c>
      <c r="J36" s="2">
        <v>30.621530624999998</v>
      </c>
      <c r="K36" s="2">
        <v>22.293366899999999</v>
      </c>
      <c r="L36" s="2">
        <v>22.293366899999999</v>
      </c>
      <c r="M36" s="2">
        <v>27.331922625000001</v>
      </c>
      <c r="N36" s="2">
        <v>21.601290899999999</v>
      </c>
      <c r="O36" s="2">
        <v>20.342970900000001</v>
      </c>
      <c r="P36" s="9"/>
      <c r="Q36" s="2">
        <f>SUM(OSRRefD21_0_3x)+IFERROR(SUM(OSRRefE21_0_3x),0)</f>
        <v>292.395917075</v>
      </c>
    </row>
    <row r="37" spans="1:17" s="34" customFormat="1" hidden="1" outlineLevel="1" x14ac:dyDescent="0.3">
      <c r="A37" s="35"/>
      <c r="B37" s="10" t="str">
        <f>CONCATENATE("          ","6115", " - ","P.E.R.S.")</f>
        <v xml:space="preserve">          6115 - P.E.R.S.</v>
      </c>
      <c r="C37" s="14"/>
      <c r="D37" s="2">
        <v>133.9</v>
      </c>
      <c r="E37" s="2">
        <v>202.166134</v>
      </c>
      <c r="F37" s="2">
        <v>202.166134</v>
      </c>
      <c r="G37" s="2">
        <v>252.70766750000001</v>
      </c>
      <c r="H37" s="2">
        <v>202.166134</v>
      </c>
      <c r="I37" s="2">
        <v>202.166134</v>
      </c>
      <c r="J37" s="2">
        <v>252.70766750000001</v>
      </c>
      <c r="K37" s="2">
        <v>202.166134</v>
      </c>
      <c r="L37" s="2">
        <v>202.166134</v>
      </c>
      <c r="M37" s="2">
        <v>252.70766750000001</v>
      </c>
      <c r="N37" s="2">
        <v>202.166134</v>
      </c>
      <c r="O37" s="2">
        <v>202.166134</v>
      </c>
      <c r="P37" s="9"/>
      <c r="Q37" s="2">
        <f>SUM(OSRRefD21_0_4x)+IFERROR(SUM(OSRRefE21_0_4x),0)</f>
        <v>2509.3520745000005</v>
      </c>
    </row>
    <row r="38" spans="1:17" s="34" customFormat="1" hidden="1" outlineLevel="1" x14ac:dyDescent="0.3">
      <c r="A38" s="35"/>
      <c r="B38" s="10" t="str">
        <f>CONCATENATE("          ","6116", " - ","EDUCATIONAL BENEFITS")</f>
        <v xml:space="preserve">          6116 - EDUCATIONAL BENEFITS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SUM(OSRRefD21_0_5x)+IFERROR(SUM(OSRRefE21_0_5x),0)</f>
        <v>0</v>
      </c>
    </row>
    <row r="39" spans="1:17" s="34" customFormat="1" hidden="1" outlineLevel="1" x14ac:dyDescent="0.3">
      <c r="A39" s="35"/>
      <c r="B39" s="10" t="str">
        <f>CONCATENATE("          ","6117", " - ","RETIREMENT STAFF HOURLY")</f>
        <v xml:space="preserve">          6117 - RETIREMENT STAFF HOURLY</v>
      </c>
      <c r="C39" s="14"/>
      <c r="D39" s="2">
        <v>162.69999999999999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2">
        <f>SUM(OSRRefD21_0_6x)+IFERROR(SUM(OSRRefE21_0_6x),0)</f>
        <v>162.69999999999999</v>
      </c>
    </row>
    <row r="40" spans="1:17" s="34" customFormat="1" hidden="1" outlineLevel="1" x14ac:dyDescent="0.3">
      <c r="A40" s="35"/>
      <c r="B40" s="10" t="str">
        <f>CONCATENATE("          ","6118", " - ","VACATION")</f>
        <v xml:space="preserve">          6118 - VACATION</v>
      </c>
      <c r="C40" s="14"/>
      <c r="D40" s="2">
        <v>67.760000000000005</v>
      </c>
      <c r="E40" s="2">
        <v>179.29106999999999</v>
      </c>
      <c r="F40" s="2">
        <v>179.29106999999999</v>
      </c>
      <c r="G40" s="2">
        <v>224.11383749999999</v>
      </c>
      <c r="H40" s="2">
        <v>179.29106999999999</v>
      </c>
      <c r="I40" s="2">
        <v>179.29106999999999</v>
      </c>
      <c r="J40" s="2">
        <v>224.11383749999999</v>
      </c>
      <c r="K40" s="2">
        <v>179.29106999999999</v>
      </c>
      <c r="L40" s="2">
        <v>179.29106999999999</v>
      </c>
      <c r="M40" s="2">
        <v>224.11383749999999</v>
      </c>
      <c r="N40" s="2">
        <v>179.29106999999999</v>
      </c>
      <c r="O40" s="2">
        <v>179.29106999999999</v>
      </c>
      <c r="P40" s="9"/>
      <c r="Q40" s="2">
        <f>SUM(OSRRefD21_0_7x)+IFERROR(SUM(OSRRefE21_0_7x),0)</f>
        <v>2174.4300725000003</v>
      </c>
    </row>
    <row r="41" spans="1:17" s="34" customFormat="1" hidden="1" outlineLevel="1" x14ac:dyDescent="0.3">
      <c r="A41" s="35"/>
      <c r="B41" s="10" t="str">
        <f>CONCATENATE("          ","6119", " - ","SICK LEAVE")</f>
        <v xml:space="preserve">          6119 - SICK LEAVE</v>
      </c>
      <c r="C41" s="14"/>
      <c r="D41" s="2">
        <v>81.180000000000007</v>
      </c>
      <c r="E41" s="2">
        <v>294.12738000000002</v>
      </c>
      <c r="F41" s="2">
        <v>273.96737999999999</v>
      </c>
      <c r="G41" s="2">
        <v>312.00922500000001</v>
      </c>
      <c r="H41" s="2">
        <v>234.90737999999999</v>
      </c>
      <c r="I41" s="2">
        <v>239.10738000000001</v>
      </c>
      <c r="J41" s="2">
        <v>362.74582500000002</v>
      </c>
      <c r="K41" s="2">
        <v>258.71298000000002</v>
      </c>
      <c r="L41" s="2">
        <v>258.71298000000002</v>
      </c>
      <c r="M41" s="2">
        <v>315.75142499999998</v>
      </c>
      <c r="N41" s="2">
        <v>248.82617999999999</v>
      </c>
      <c r="O41" s="2">
        <v>230.85017999999999</v>
      </c>
      <c r="P41" s="9"/>
      <c r="Q41" s="2">
        <f>SUM(OSRRefD21_0_8x)+IFERROR(SUM(OSRRefE21_0_8x),0)</f>
        <v>3110.8983149999995</v>
      </c>
    </row>
    <row r="42" spans="1:17" s="34" customFormat="1" hidden="1" outlineLevel="1" x14ac:dyDescent="0.3">
      <c r="A42" s="35"/>
      <c r="B42" s="10" t="str">
        <f>CONCATENATE("          ","6156", " - ","EMPLOYEE MEALS")</f>
        <v xml:space="preserve">          6156 - EMPLOYEE MEALS</v>
      </c>
      <c r="C42" s="14"/>
      <c r="D42" s="2">
        <v>23.71</v>
      </c>
      <c r="E42" s="2">
        <v>350</v>
      </c>
      <c r="F42" s="2">
        <v>350</v>
      </c>
      <c r="G42" s="2">
        <v>350</v>
      </c>
      <c r="H42" s="2">
        <v>350</v>
      </c>
      <c r="I42" s="2">
        <v>350</v>
      </c>
      <c r="J42" s="2">
        <v>350</v>
      </c>
      <c r="K42" s="2">
        <v>350</v>
      </c>
      <c r="L42" s="2">
        <v>350</v>
      </c>
      <c r="M42" s="2">
        <v>350</v>
      </c>
      <c r="N42" s="2">
        <v>350</v>
      </c>
      <c r="O42" s="2">
        <v>350</v>
      </c>
      <c r="P42" s="9"/>
      <c r="Q42" s="2">
        <f>SUM(OSRRefD21_0_9x)+IFERROR(SUM(OSRRefE21_0_9x),0)</f>
        <v>3873.71</v>
      </c>
    </row>
    <row r="43" spans="1:17" s="34" customFormat="1" collapsed="1" x14ac:dyDescent="0.3">
      <c r="A43" s="35"/>
      <c r="B43" s="14" t="str">
        <f>CONCATENATE("     ","*Payroll                                          ")</f>
        <v xml:space="preserve">     *Payroll                                          </v>
      </c>
      <c r="C43" s="14"/>
      <c r="D43" s="1">
        <f>SUM(OSRRefD21_1x_0)</f>
        <v>10510.92</v>
      </c>
      <c r="E43" s="1">
        <f>SUM(OSRRefE21_1x_0)</f>
        <v>11497.55055</v>
      </c>
      <c r="F43" s="1">
        <f>SUM(OSRRefE21_1x_1)</f>
        <v>10825.55055</v>
      </c>
      <c r="G43" s="1">
        <f>SUM(OSRRefE21_1x_2)</f>
        <v>12516.9381875</v>
      </c>
      <c r="H43" s="1">
        <f>SUM(OSRRefE21_1x_3)</f>
        <v>9523.5505499999999</v>
      </c>
      <c r="I43" s="1">
        <f>SUM(OSRRefE21_1x_4)</f>
        <v>9663.5505499999999</v>
      </c>
      <c r="J43" s="1">
        <f>SUM(OSRRefE21_1x_5)</f>
        <v>14208.158187500001</v>
      </c>
      <c r="K43" s="1">
        <f>SUM(OSRRefE21_1x_6)</f>
        <v>10317.07055</v>
      </c>
      <c r="L43" s="1">
        <f>SUM(OSRRefE21_1x_7)</f>
        <v>10317.07055</v>
      </c>
      <c r="M43" s="1">
        <f>SUM(OSRRefE21_1x_8)</f>
        <v>12641.6781875</v>
      </c>
      <c r="N43" s="1">
        <f>SUM(OSRRefE21_1x_9)</f>
        <v>9987.5105499999991</v>
      </c>
      <c r="O43" s="1">
        <f>SUM(OSRRefE21_1x_10)</f>
        <v>9388.3105500000001</v>
      </c>
      <c r="Q43" s="2">
        <f>SUM(OSRRefD20_1x)+IFERROR(SUM(OSRRefE20_1x),0)</f>
        <v>131397.8589625</v>
      </c>
    </row>
    <row r="44" spans="1:17" s="34" customFormat="1" hidden="1" outlineLevel="1" x14ac:dyDescent="0.3">
      <c r="A44" s="35"/>
      <c r="B44" s="10" t="str">
        <f>CONCATENATE("          ","6001", " - ","ADMINISTRATIVE SALARIES")</f>
        <v xml:space="preserve">          6001 - ADMINISTRATIVE SALARIES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SUM(OSRRefD21_1_0x)+IFERROR(SUM(OSRRefE21_1_0x),0)</f>
        <v>0</v>
      </c>
    </row>
    <row r="45" spans="1:17" s="34" customFormat="1" hidden="1" outlineLevel="1" x14ac:dyDescent="0.3">
      <c r="A45" s="35"/>
      <c r="B45" s="10" t="str">
        <f>CONCATENATE("          ","6002", " - ","STAFF SALARIES")</f>
        <v xml:space="preserve">          6002 - STAFF SALARIES</v>
      </c>
      <c r="C45" s="14"/>
      <c r="D45" s="2">
        <v>5113.92</v>
      </c>
      <c r="E45" s="2">
        <v>2233.2305500000002</v>
      </c>
      <c r="F45" s="2">
        <v>2233.2305500000002</v>
      </c>
      <c r="G45" s="2">
        <v>2791.5381874999998</v>
      </c>
      <c r="H45" s="2">
        <v>2233.2305500000002</v>
      </c>
      <c r="I45" s="2">
        <v>2233.2305500000002</v>
      </c>
      <c r="J45" s="2">
        <v>2791.5381874999998</v>
      </c>
      <c r="K45" s="2">
        <v>2233.2305500000002</v>
      </c>
      <c r="L45" s="2">
        <v>2233.2305500000002</v>
      </c>
      <c r="M45" s="2">
        <v>2791.5381874999998</v>
      </c>
      <c r="N45" s="2">
        <v>2233.2305500000002</v>
      </c>
      <c r="O45" s="2">
        <v>2233.2305500000002</v>
      </c>
      <c r="P45" s="9"/>
      <c r="Q45" s="2">
        <f>SUM(OSRRefD21_1_1x)+IFERROR(SUM(OSRRefE21_1_1x),0)</f>
        <v>31354.378962499999</v>
      </c>
    </row>
    <row r="46" spans="1:17" s="34" customFormat="1" hidden="1" outlineLevel="1" x14ac:dyDescent="0.3">
      <c r="A46" s="35"/>
      <c r="B46" s="10" t="str">
        <f>CONCATENATE("          ","6003", " - ","STAFF HOURLY-9 MONTH")</f>
        <v xml:space="preserve">          6003 - STAFF HOURLY-9 MONTH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9"/>
      <c r="Q46" s="2">
        <f>SUM(OSRRefD21_1_2x)+IFERROR(SUM(OSRRefE21_1_2x),0)</f>
        <v>0</v>
      </c>
    </row>
    <row r="47" spans="1:17" s="34" customFormat="1" hidden="1" outlineLevel="1" x14ac:dyDescent="0.3">
      <c r="A47" s="35"/>
      <c r="B47" s="10" t="str">
        <f>CONCATENATE("          ","6004", " - ","STAFF HOURLY")</f>
        <v xml:space="preserve">          6004 - STAFF HOURLY</v>
      </c>
      <c r="C47" s="14"/>
      <c r="D47" s="2">
        <v>610.5</v>
      </c>
      <c r="E47" s="2">
        <v>3444.32</v>
      </c>
      <c r="F47" s="2">
        <v>3444.32</v>
      </c>
      <c r="G47" s="2">
        <v>4305.3999999999996</v>
      </c>
      <c r="H47" s="2">
        <v>3444.32</v>
      </c>
      <c r="I47" s="2">
        <v>3444.32</v>
      </c>
      <c r="J47" s="2">
        <v>4305.3999999999996</v>
      </c>
      <c r="K47" s="2">
        <v>3444.32</v>
      </c>
      <c r="L47" s="2">
        <v>3444.32</v>
      </c>
      <c r="M47" s="2">
        <v>4305.3999999999996</v>
      </c>
      <c r="N47" s="2">
        <v>3444.32</v>
      </c>
      <c r="O47" s="2">
        <v>3444.32</v>
      </c>
      <c r="P47" s="9"/>
      <c r="Q47" s="2">
        <f>SUM(OSRRefD21_1_3x)+IFERROR(SUM(OSRRefE21_1_3x),0)</f>
        <v>41081.26</v>
      </c>
    </row>
    <row r="48" spans="1:17" s="34" customFormat="1" hidden="1" outlineLevel="1" x14ac:dyDescent="0.3">
      <c r="A48" s="35"/>
      <c r="B48" s="10" t="str">
        <f>CONCATENATE("          ","6005", " - ","TEMPORARY WAGES-HOURLY")</f>
        <v xml:space="preserve">          6005 - TEMPORARY WAGES-HOURLY</v>
      </c>
      <c r="C48" s="14"/>
      <c r="D48" s="2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9"/>
      <c r="Q48" s="2">
        <f>SUM(OSRRefD21_1_4x)+IFERROR(SUM(OSRRefE21_1_4x),0)</f>
        <v>0</v>
      </c>
    </row>
    <row r="49" spans="1:17" s="34" customFormat="1" hidden="1" outlineLevel="1" x14ac:dyDescent="0.3">
      <c r="A49" s="35"/>
      <c r="B49" s="10" t="str">
        <f>CONCATENATE("          ","6006", " - ","TEMPORARY PART TIME")</f>
        <v xml:space="preserve">          6006 - TEMPORARY PART TIME</v>
      </c>
      <c r="C49" s="14"/>
      <c r="D49" s="2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9"/>
      <c r="Q49" s="2">
        <f>SUM(OSRRefD21_1_5x)+IFERROR(SUM(OSRRefE21_1_5x),0)</f>
        <v>0</v>
      </c>
    </row>
    <row r="50" spans="1:17" s="34" customFormat="1" hidden="1" outlineLevel="1" x14ac:dyDescent="0.3">
      <c r="A50" s="35"/>
      <c r="B50" s="10" t="str">
        <f>CONCATENATE("          ","6007", " - ","STUDENT HOURLY")</f>
        <v xml:space="preserve">          6007 - STUDENT HOURLY</v>
      </c>
      <c r="C50" s="14"/>
      <c r="D50" s="2">
        <v>4786.5</v>
      </c>
      <c r="E50" s="2">
        <v>5820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3710.76</v>
      </c>
      <c r="P50" s="9"/>
      <c r="Q50" s="2">
        <f>SUM(OSRRefD21_1_6x)+IFERROR(SUM(OSRRefE21_1_6x),0)</f>
        <v>14317.26</v>
      </c>
    </row>
    <row r="51" spans="1:17" s="34" customFormat="1" hidden="1" outlineLevel="1" x14ac:dyDescent="0.3">
      <c r="A51" s="35"/>
      <c r="B51" s="10" t="str">
        <f>CONCATENATE("          ","6008", " - ","STUDENT HOURLY-FICA EXEMPT")</f>
        <v xml:space="preserve">          6008 - STUDENT HOURLY-FICA EXEMPT</v>
      </c>
      <c r="C51" s="14"/>
      <c r="D51" s="2"/>
      <c r="E51" s="2">
        <v>0</v>
      </c>
      <c r="F51" s="2">
        <v>5148</v>
      </c>
      <c r="G51" s="2">
        <v>5420</v>
      </c>
      <c r="H51" s="2">
        <v>3846</v>
      </c>
      <c r="I51" s="2">
        <v>3986</v>
      </c>
      <c r="J51" s="2">
        <v>7111.22</v>
      </c>
      <c r="K51" s="2">
        <v>4639.5200000000004</v>
      </c>
      <c r="L51" s="2">
        <v>4639.5200000000004</v>
      </c>
      <c r="M51" s="2">
        <v>5544.74</v>
      </c>
      <c r="N51" s="2">
        <v>4309.96</v>
      </c>
      <c r="O51" s="2">
        <v>0</v>
      </c>
      <c r="P51" s="9"/>
      <c r="Q51" s="2">
        <f>SUM(OSRRefD21_1_7x)+IFERROR(SUM(OSRRefE21_1_7x),0)</f>
        <v>44644.959999999999</v>
      </c>
    </row>
    <row r="52" spans="1:17" s="34" customFormat="1" hidden="1" outlineLevel="1" x14ac:dyDescent="0.3">
      <c r="A52" s="35"/>
      <c r="B52" s="10" t="str">
        <f>CONCATENATE("          ","6009", " - ","TEMPORARY-SEASONAL")</f>
        <v xml:space="preserve">          6009 - TEMPORARY-SEASONAL</v>
      </c>
      <c r="C52" s="14"/>
      <c r="D52" s="2"/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9"/>
      <c r="Q52" s="2">
        <f>SUM(OSRRefD21_1_8x)+IFERROR(SUM(OSRRefE21_1_8x),0)</f>
        <v>0</v>
      </c>
    </row>
    <row r="53" spans="1:17" s="34" customFormat="1" hidden="1" outlineLevel="1" x14ac:dyDescent="0.3">
      <c r="A53" s="35"/>
      <c r="B53" s="10" t="str">
        <f>CONCATENATE("          ","6010", " - ","GRATUITY")</f>
        <v xml:space="preserve">          6010 - GRATUITY</v>
      </c>
      <c r="C53" s="14"/>
      <c r="D53" s="2"/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9"/>
      <c r="Q53" s="2">
        <f>SUM(OSRRefD21_1_9x)+IFERROR(SUM(OSRRefE21_1_9x),0)</f>
        <v>0</v>
      </c>
    </row>
    <row r="54" spans="1:17" s="34" customFormat="1" collapsed="1" x14ac:dyDescent="0.3">
      <c r="A54" s="35"/>
      <c r="B54" s="14" t="str">
        <f>CONCATENATE("     ","Advertising/Promo                                 ")</f>
        <v xml:space="preserve">     Advertising/Promo                                 </v>
      </c>
      <c r="C54" s="14"/>
      <c r="D54" s="1">
        <f>SUM(OSRRefD21_2x_0)</f>
        <v>45.42</v>
      </c>
      <c r="E54" s="1">
        <f>SUM(OSRRefE21_2x_0)</f>
        <v>200</v>
      </c>
      <c r="F54" s="1">
        <f>SUM(OSRRefE21_2x_1)</f>
        <v>200</v>
      </c>
      <c r="G54" s="1">
        <f>SUM(OSRRefE21_2x_2)</f>
        <v>200</v>
      </c>
      <c r="H54" s="1">
        <f>SUM(OSRRefE21_2x_3)</f>
        <v>200</v>
      </c>
      <c r="I54" s="1">
        <f>SUM(OSRRefE21_2x_4)</f>
        <v>200</v>
      </c>
      <c r="J54" s="1">
        <f>SUM(OSRRefE21_2x_5)</f>
        <v>200</v>
      </c>
      <c r="K54" s="1">
        <f>SUM(OSRRefE21_2x_6)</f>
        <v>200</v>
      </c>
      <c r="L54" s="1">
        <f>SUM(OSRRefE21_2x_7)</f>
        <v>200</v>
      </c>
      <c r="M54" s="1">
        <f>SUM(OSRRefE21_2x_8)</f>
        <v>200</v>
      </c>
      <c r="N54" s="1">
        <f>SUM(OSRRefE21_2x_9)</f>
        <v>200</v>
      </c>
      <c r="O54" s="1">
        <f>SUM(OSRRefE21_2x_10)</f>
        <v>200</v>
      </c>
      <c r="Q54" s="2">
        <f>SUM(OSRRefD20_2x)+IFERROR(SUM(OSRRefE20_2x),0)</f>
        <v>2245.42</v>
      </c>
    </row>
    <row r="55" spans="1:17" s="34" customFormat="1" hidden="1" outlineLevel="1" x14ac:dyDescent="0.3">
      <c r="A55" s="35"/>
      <c r="B55" s="10" t="str">
        <f>CONCATENATE("          ","6362", " - ","ADVERTISING EXPENSE")</f>
        <v xml:space="preserve">          6362 - ADVERTISING EXPENSE</v>
      </c>
      <c r="C55" s="14"/>
      <c r="D55" s="2">
        <v>45.42</v>
      </c>
      <c r="E55" s="2">
        <v>200</v>
      </c>
      <c r="F55" s="2">
        <v>200</v>
      </c>
      <c r="G55" s="2">
        <v>200</v>
      </c>
      <c r="H55" s="2">
        <v>200</v>
      </c>
      <c r="I55" s="2">
        <v>200</v>
      </c>
      <c r="J55" s="2">
        <v>200</v>
      </c>
      <c r="K55" s="2">
        <v>200</v>
      </c>
      <c r="L55" s="2">
        <v>200</v>
      </c>
      <c r="M55" s="2">
        <v>200</v>
      </c>
      <c r="N55" s="2">
        <v>200</v>
      </c>
      <c r="O55" s="2">
        <v>200</v>
      </c>
      <c r="P55" s="9"/>
      <c r="Q55" s="2">
        <f>SUM(OSRRefD21_2_0x)+IFERROR(SUM(OSRRefE21_2_0x),0)</f>
        <v>2245.42</v>
      </c>
    </row>
    <row r="56" spans="1:17" s="34" customFormat="1" collapsed="1" x14ac:dyDescent="0.3">
      <c r="A56" s="35"/>
      <c r="B56" s="14" t="str">
        <f>CONCATENATE("     ","Depreciation                                      ")</f>
        <v xml:space="preserve">     Depreciation                                      </v>
      </c>
      <c r="C56" s="14"/>
      <c r="D56" s="1">
        <f>SUM(OSRRefD21_3x_0)</f>
        <v>280.44</v>
      </c>
      <c r="E56" s="1">
        <f>SUM(OSRRefE21_3x_0)</f>
        <v>0</v>
      </c>
      <c r="F56" s="1">
        <f>SUM(OSRRefE21_3x_1)</f>
        <v>0</v>
      </c>
      <c r="G56" s="1">
        <f>SUM(OSRRefE21_3x_2)</f>
        <v>0</v>
      </c>
      <c r="H56" s="1">
        <f>SUM(OSRRefE21_3x_3)</f>
        <v>0</v>
      </c>
      <c r="I56" s="1">
        <f>SUM(OSRRefE21_3x_4)</f>
        <v>0</v>
      </c>
      <c r="J56" s="1">
        <f>SUM(OSRRefE21_3x_5)</f>
        <v>0</v>
      </c>
      <c r="K56" s="1">
        <f>SUM(OSRRefE21_3x_6)</f>
        <v>0</v>
      </c>
      <c r="L56" s="1">
        <f>SUM(OSRRefE21_3x_7)</f>
        <v>0</v>
      </c>
      <c r="M56" s="1">
        <f>SUM(OSRRefE21_3x_8)</f>
        <v>0</v>
      </c>
      <c r="N56" s="1">
        <f>SUM(OSRRefE21_3x_9)</f>
        <v>0</v>
      </c>
      <c r="O56" s="1">
        <f>SUM(OSRRefE21_3x_10)</f>
        <v>0</v>
      </c>
      <c r="Q56" s="2">
        <f>SUM(OSRRefD20_3x)+IFERROR(SUM(OSRRefE20_3x),0)</f>
        <v>280.44</v>
      </c>
    </row>
    <row r="57" spans="1:17" s="34" customFormat="1" hidden="1" outlineLevel="1" x14ac:dyDescent="0.3">
      <c r="A57" s="35"/>
      <c r="B57" s="10" t="str">
        <f>CONCATENATE("          ","6322", " - ","EQUIPMENT DEPRECIATION EXPENSE")</f>
        <v xml:space="preserve">          6322 - EQUIPMENT DEPRECIATION EXPENSE</v>
      </c>
      <c r="C57" s="14"/>
      <c r="D57" s="2">
        <v>280.44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2">
        <f>SUM(OSRRefD21_3_0x)+IFERROR(SUM(OSRRefE21_3_0x),0)</f>
        <v>280.44</v>
      </c>
    </row>
    <row r="58" spans="1:17" s="34" customFormat="1" collapsed="1" x14ac:dyDescent="0.3">
      <c r="A58" s="35"/>
      <c r="B58" s="14" t="str">
        <f>CONCATENATE("     ","Employees' Appreciation                           ")</f>
        <v xml:space="preserve">     Employees' Appreciation                           </v>
      </c>
      <c r="C58" s="14"/>
      <c r="D58" s="1">
        <f>SUM(OSRRefD21_4x_0)</f>
        <v>0</v>
      </c>
      <c r="E58" s="1">
        <f>SUM(OSRRefE21_4x_0)</f>
        <v>20</v>
      </c>
      <c r="F58" s="1">
        <f>SUM(OSRRefE21_4x_1)</f>
        <v>20</v>
      </c>
      <c r="G58" s="1">
        <f>SUM(OSRRefE21_4x_2)</f>
        <v>20</v>
      </c>
      <c r="H58" s="1">
        <f>SUM(OSRRefE21_4x_3)</f>
        <v>20</v>
      </c>
      <c r="I58" s="1">
        <f>SUM(OSRRefE21_4x_4)</f>
        <v>20</v>
      </c>
      <c r="J58" s="1">
        <f>SUM(OSRRefE21_4x_5)</f>
        <v>20</v>
      </c>
      <c r="K58" s="1">
        <f>SUM(OSRRefE21_4x_6)</f>
        <v>20</v>
      </c>
      <c r="L58" s="1">
        <f>SUM(OSRRefE21_4x_7)</f>
        <v>20</v>
      </c>
      <c r="M58" s="1">
        <f>SUM(OSRRefE21_4x_8)</f>
        <v>20</v>
      </c>
      <c r="N58" s="1">
        <f>SUM(OSRRefE21_4x_9)</f>
        <v>20</v>
      </c>
      <c r="O58" s="1">
        <f>SUM(OSRRefE21_4x_10)</f>
        <v>20</v>
      </c>
      <c r="Q58" s="2">
        <f>SUM(OSRRefD20_4x)+IFERROR(SUM(OSRRefE20_4x),0)</f>
        <v>220</v>
      </c>
    </row>
    <row r="59" spans="1:17" s="34" customFormat="1" hidden="1" outlineLevel="1" x14ac:dyDescent="0.3">
      <c r="A59" s="35"/>
      <c r="B59" s="10" t="str">
        <f>CONCATENATE("          ","6277", " - ","EMPLOYEE APPRECIATION")</f>
        <v xml:space="preserve">          6277 - EMPLOYEE APPRECIATION</v>
      </c>
      <c r="C59" s="14"/>
      <c r="D59" s="2"/>
      <c r="E59" s="2">
        <v>20</v>
      </c>
      <c r="F59" s="2">
        <v>20</v>
      </c>
      <c r="G59" s="2">
        <v>20</v>
      </c>
      <c r="H59" s="2">
        <v>20</v>
      </c>
      <c r="I59" s="2">
        <v>20</v>
      </c>
      <c r="J59" s="2">
        <v>20</v>
      </c>
      <c r="K59" s="2">
        <v>20</v>
      </c>
      <c r="L59" s="2">
        <v>20</v>
      </c>
      <c r="M59" s="2">
        <v>20</v>
      </c>
      <c r="N59" s="2">
        <v>20</v>
      </c>
      <c r="O59" s="2">
        <v>20</v>
      </c>
      <c r="P59" s="9"/>
      <c r="Q59" s="2">
        <f>SUM(OSRRefD21_4_0x)+IFERROR(SUM(OSRRefE21_4_0x),0)</f>
        <v>220</v>
      </c>
    </row>
    <row r="60" spans="1:17" s="34" customFormat="1" collapsed="1" x14ac:dyDescent="0.3">
      <c r="A60" s="35"/>
      <c r="B60" s="14" t="str">
        <f>CONCATENATE("     ","Freight out/Postage                               ")</f>
        <v xml:space="preserve">     Freight out/Postage                               </v>
      </c>
      <c r="C60" s="14"/>
      <c r="D60" s="1">
        <f>SUM(OSRRefD21_5x_0)</f>
        <v>93.19</v>
      </c>
      <c r="E60" s="1">
        <f>SUM(OSRRefE21_5x_0)</f>
        <v>15</v>
      </c>
      <c r="F60" s="1">
        <f>SUM(OSRRefE21_5x_1)</f>
        <v>15</v>
      </c>
      <c r="G60" s="1">
        <f>SUM(OSRRefE21_5x_2)</f>
        <v>15</v>
      </c>
      <c r="H60" s="1">
        <f>SUM(OSRRefE21_5x_3)</f>
        <v>15</v>
      </c>
      <c r="I60" s="1">
        <f>SUM(OSRRefE21_5x_4)</f>
        <v>15</v>
      </c>
      <c r="J60" s="1">
        <f>SUM(OSRRefE21_5x_5)</f>
        <v>15</v>
      </c>
      <c r="K60" s="1">
        <f>SUM(OSRRefE21_5x_6)</f>
        <v>15</v>
      </c>
      <c r="L60" s="1">
        <f>SUM(OSRRefE21_5x_7)</f>
        <v>15</v>
      </c>
      <c r="M60" s="1">
        <f>SUM(OSRRefE21_5x_8)</f>
        <v>15</v>
      </c>
      <c r="N60" s="1">
        <f>SUM(OSRRefE21_5x_9)</f>
        <v>15</v>
      </c>
      <c r="O60" s="1">
        <f>SUM(OSRRefE21_5x_10)</f>
        <v>15</v>
      </c>
      <c r="Q60" s="2">
        <f>SUM(OSRRefD20_5x)+IFERROR(SUM(OSRRefE20_5x),0)</f>
        <v>258.19</v>
      </c>
    </row>
    <row r="61" spans="1:17" s="34" customFormat="1" hidden="1" outlineLevel="1" x14ac:dyDescent="0.3">
      <c r="A61" s="35"/>
      <c r="B61" s="10" t="str">
        <f>CONCATENATE("          ","6305", " - ","FREIGHT OUT")</f>
        <v xml:space="preserve">          6305 - FREIGHT OUT</v>
      </c>
      <c r="C61" s="14"/>
      <c r="D61" s="2">
        <v>93.19</v>
      </c>
      <c r="E61" s="2">
        <v>15</v>
      </c>
      <c r="F61" s="2">
        <v>15</v>
      </c>
      <c r="G61" s="2">
        <v>15</v>
      </c>
      <c r="H61" s="2">
        <v>15</v>
      </c>
      <c r="I61" s="2">
        <v>15</v>
      </c>
      <c r="J61" s="2">
        <v>15</v>
      </c>
      <c r="K61" s="2">
        <v>15</v>
      </c>
      <c r="L61" s="2">
        <v>15</v>
      </c>
      <c r="M61" s="2">
        <v>15</v>
      </c>
      <c r="N61" s="2">
        <v>15</v>
      </c>
      <c r="O61" s="2">
        <v>15</v>
      </c>
      <c r="P61" s="9"/>
      <c r="Q61" s="2">
        <f>SUM(OSRRefD21_5_0x)+IFERROR(SUM(OSRRefE21_5_0x),0)</f>
        <v>258.19</v>
      </c>
    </row>
    <row r="62" spans="1:17" s="34" customFormat="1" collapsed="1" x14ac:dyDescent="0.3">
      <c r="A62" s="35"/>
      <c r="B62" s="14" t="str">
        <f>CONCATENATE("     ","General                                           ")</f>
        <v xml:space="preserve">     General                                           </v>
      </c>
      <c r="C62" s="14"/>
      <c r="D62" s="1">
        <f>SUM(OSRRefD21_6x_0)</f>
        <v>0</v>
      </c>
      <c r="E62" s="1">
        <f>SUM(OSRRefE21_6x_0)</f>
        <v>30</v>
      </c>
      <c r="F62" s="1">
        <f>SUM(OSRRefE21_6x_1)</f>
        <v>30</v>
      </c>
      <c r="G62" s="1">
        <f>SUM(OSRRefE21_6x_2)</f>
        <v>30</v>
      </c>
      <c r="H62" s="1">
        <f>SUM(OSRRefE21_6x_3)</f>
        <v>30</v>
      </c>
      <c r="I62" s="1">
        <f>SUM(OSRRefE21_6x_4)</f>
        <v>30</v>
      </c>
      <c r="J62" s="1">
        <f>SUM(OSRRefE21_6x_5)</f>
        <v>30</v>
      </c>
      <c r="K62" s="1">
        <f>SUM(OSRRefE21_6x_6)</f>
        <v>30</v>
      </c>
      <c r="L62" s="1">
        <f>SUM(OSRRefE21_6x_7)</f>
        <v>30</v>
      </c>
      <c r="M62" s="1">
        <f>SUM(OSRRefE21_6x_8)</f>
        <v>30</v>
      </c>
      <c r="N62" s="1">
        <f>SUM(OSRRefE21_6x_9)</f>
        <v>30</v>
      </c>
      <c r="O62" s="1">
        <f>SUM(OSRRefE21_6x_10)</f>
        <v>30</v>
      </c>
      <c r="Q62" s="2">
        <f>SUM(OSRRefD20_6x)+IFERROR(SUM(OSRRefE20_6x),0)</f>
        <v>330</v>
      </c>
    </row>
    <row r="63" spans="1:17" s="34" customFormat="1" hidden="1" outlineLevel="1" x14ac:dyDescent="0.3">
      <c r="A63" s="35"/>
      <c r="B63" s="10" t="str">
        <f>CONCATENATE("          ","6279", " - ","GENERAL EXPENSE")</f>
        <v xml:space="preserve">          6279 - GENERAL EXPENSE</v>
      </c>
      <c r="C63" s="14"/>
      <c r="D63" s="2"/>
      <c r="E63" s="2">
        <v>30</v>
      </c>
      <c r="F63" s="2">
        <v>30</v>
      </c>
      <c r="G63" s="2">
        <v>30</v>
      </c>
      <c r="H63" s="2">
        <v>30</v>
      </c>
      <c r="I63" s="2">
        <v>30</v>
      </c>
      <c r="J63" s="2">
        <v>30</v>
      </c>
      <c r="K63" s="2">
        <v>30</v>
      </c>
      <c r="L63" s="2">
        <v>30</v>
      </c>
      <c r="M63" s="2">
        <v>30</v>
      </c>
      <c r="N63" s="2">
        <v>30</v>
      </c>
      <c r="O63" s="2">
        <v>30</v>
      </c>
      <c r="P63" s="9"/>
      <c r="Q63" s="2">
        <f>SUM(OSRRefD21_6_0x)+IFERROR(SUM(OSRRefE21_6_0x),0)</f>
        <v>330</v>
      </c>
    </row>
    <row r="64" spans="1:17" s="34" customFormat="1" collapsed="1" x14ac:dyDescent="0.3">
      <c r="A64" s="35"/>
      <c r="B64" s="14" t="str">
        <f>CONCATENATE("     ","Inventory Adjustment                              ")</f>
        <v xml:space="preserve">     Inventory Adjustment                              </v>
      </c>
      <c r="C64" s="14"/>
      <c r="D64" s="1">
        <f>SUM(OSRRefD21_7x_0)</f>
        <v>1470</v>
      </c>
      <c r="E64" s="1">
        <f>SUM(OSRRefE21_7x_0)</f>
        <v>2020</v>
      </c>
      <c r="F64" s="1">
        <f>SUM(OSRRefE21_7x_1)</f>
        <v>1300</v>
      </c>
      <c r="G64" s="1">
        <f>SUM(OSRRefE21_7x_2)</f>
        <v>590</v>
      </c>
      <c r="H64" s="1">
        <f>SUM(OSRRefE21_7x_3)</f>
        <v>630</v>
      </c>
      <c r="I64" s="1">
        <f>SUM(OSRRefE21_7x_4)</f>
        <v>340</v>
      </c>
      <c r="J64" s="1">
        <f>SUM(OSRRefE21_7x_5)</f>
        <v>970</v>
      </c>
      <c r="K64" s="1">
        <f>SUM(OSRRefE21_7x_6)</f>
        <v>590</v>
      </c>
      <c r="L64" s="1">
        <f>SUM(OSRRefE21_7x_7)</f>
        <v>340</v>
      </c>
      <c r="M64" s="1">
        <f>SUM(OSRRefE21_7x_8)</f>
        <v>1100</v>
      </c>
      <c r="N64" s="1">
        <f>SUM(OSRRefE21_7x_9)</f>
        <v>2100</v>
      </c>
      <c r="O64" s="1">
        <f>SUM(OSRRefE21_7x_10)</f>
        <v>550</v>
      </c>
      <c r="Q64" s="2">
        <f>SUM(OSRRefD20_7x)+IFERROR(SUM(OSRRefE20_7x),0)</f>
        <v>12000</v>
      </c>
    </row>
    <row r="65" spans="1:17" s="34" customFormat="1" hidden="1" outlineLevel="1" x14ac:dyDescent="0.3">
      <c r="A65" s="35"/>
      <c r="B65" s="10" t="str">
        <f>CONCATENATE("          ","6408", " - ","INVENTORY ADJUSTMENT")</f>
        <v xml:space="preserve">          6408 - INVENTORY ADJUSTMENT</v>
      </c>
      <c r="C65" s="14"/>
      <c r="D65" s="2">
        <v>1470</v>
      </c>
      <c r="E65" s="2">
        <v>2020</v>
      </c>
      <c r="F65" s="2">
        <v>1300</v>
      </c>
      <c r="G65" s="2">
        <v>590</v>
      </c>
      <c r="H65" s="2">
        <v>630</v>
      </c>
      <c r="I65" s="2">
        <v>340</v>
      </c>
      <c r="J65" s="2">
        <v>970</v>
      </c>
      <c r="K65" s="2">
        <v>590</v>
      </c>
      <c r="L65" s="2">
        <v>340</v>
      </c>
      <c r="M65" s="2">
        <v>1100</v>
      </c>
      <c r="N65" s="2">
        <v>2100</v>
      </c>
      <c r="O65" s="2">
        <v>550</v>
      </c>
      <c r="P65" s="9"/>
      <c r="Q65" s="2">
        <f>SUM(OSRRefD21_7_0x)+IFERROR(SUM(OSRRefE21_7_0x),0)</f>
        <v>12000</v>
      </c>
    </row>
    <row r="66" spans="1:17" s="34" customFormat="1" collapsed="1" x14ac:dyDescent="0.3">
      <c r="A66" s="35"/>
      <c r="B66" s="14" t="str">
        <f>CONCATENATE("     ","Supplies                                          ")</f>
        <v xml:space="preserve">     Supplies                                          </v>
      </c>
      <c r="C66" s="14"/>
      <c r="D66" s="1">
        <f>SUM(OSRRefD21_8x_0)</f>
        <v>2041.8</v>
      </c>
      <c r="E66" s="1">
        <f>SUM(OSRRefE21_8x_0)</f>
        <v>310</v>
      </c>
      <c r="F66" s="1">
        <f>SUM(OSRRefE21_8x_1)</f>
        <v>310</v>
      </c>
      <c r="G66" s="1">
        <f>SUM(OSRRefE21_8x_2)</f>
        <v>310</v>
      </c>
      <c r="H66" s="1">
        <f>SUM(OSRRefE21_8x_3)</f>
        <v>310</v>
      </c>
      <c r="I66" s="1">
        <f>SUM(OSRRefE21_8x_4)</f>
        <v>310</v>
      </c>
      <c r="J66" s="1">
        <f>SUM(OSRRefE21_8x_5)</f>
        <v>310</v>
      </c>
      <c r="K66" s="1">
        <f>SUM(OSRRefE21_8x_6)</f>
        <v>310</v>
      </c>
      <c r="L66" s="1">
        <f>SUM(OSRRefE21_8x_7)</f>
        <v>310</v>
      </c>
      <c r="M66" s="1">
        <f>SUM(OSRRefE21_8x_8)</f>
        <v>310</v>
      </c>
      <c r="N66" s="1">
        <f>SUM(OSRRefE21_8x_9)</f>
        <v>310</v>
      </c>
      <c r="O66" s="1">
        <f>SUM(OSRRefE21_8x_10)</f>
        <v>310</v>
      </c>
      <c r="Q66" s="2">
        <f>SUM(OSRRefD20_8x)+IFERROR(SUM(OSRRefE20_8x),0)</f>
        <v>5451.8</v>
      </c>
    </row>
    <row r="67" spans="1:17" s="34" customFormat="1" hidden="1" outlineLevel="1" x14ac:dyDescent="0.3">
      <c r="A67" s="35"/>
      <c r="B67" s="10" t="str">
        <f>CONCATENATE("          ","6241", " - ","OFFICE EXPENSE")</f>
        <v xml:space="preserve">          6241 - OFFICE EXPENSE</v>
      </c>
      <c r="C67" s="14"/>
      <c r="D67" s="2">
        <v>8.8000000000000007</v>
      </c>
      <c r="E67" s="2">
        <v>110</v>
      </c>
      <c r="F67" s="2">
        <v>110</v>
      </c>
      <c r="G67" s="2">
        <v>110</v>
      </c>
      <c r="H67" s="2">
        <v>110</v>
      </c>
      <c r="I67" s="2">
        <v>110</v>
      </c>
      <c r="J67" s="2">
        <v>110</v>
      </c>
      <c r="K67" s="2">
        <v>110</v>
      </c>
      <c r="L67" s="2">
        <v>110</v>
      </c>
      <c r="M67" s="2">
        <v>110</v>
      </c>
      <c r="N67" s="2">
        <v>110</v>
      </c>
      <c r="O67" s="2">
        <v>110</v>
      </c>
      <c r="P67" s="9"/>
      <c r="Q67" s="2">
        <f>SUM(OSRRefD21_8_0x)+IFERROR(SUM(OSRRefE21_8_0x),0)</f>
        <v>1218.8</v>
      </c>
    </row>
    <row r="68" spans="1:17" s="34" customFormat="1" hidden="1" outlineLevel="1" x14ac:dyDescent="0.3">
      <c r="A68" s="35"/>
      <c r="B68" s="10" t="str">
        <f>CONCATENATE("          ","6247", " - ","STORE SUPPLIES")</f>
        <v xml:space="preserve">          6247 - STORE SUPPLIES</v>
      </c>
      <c r="C68" s="14"/>
      <c r="D68" s="2">
        <v>2033</v>
      </c>
      <c r="E68" s="2">
        <v>200</v>
      </c>
      <c r="F68" s="2">
        <v>200</v>
      </c>
      <c r="G68" s="2">
        <v>200</v>
      </c>
      <c r="H68" s="2">
        <v>200</v>
      </c>
      <c r="I68" s="2">
        <v>200</v>
      </c>
      <c r="J68" s="2">
        <v>200</v>
      </c>
      <c r="K68" s="2">
        <v>200</v>
      </c>
      <c r="L68" s="2">
        <v>200</v>
      </c>
      <c r="M68" s="2">
        <v>200</v>
      </c>
      <c r="N68" s="2">
        <v>200</v>
      </c>
      <c r="O68" s="2">
        <v>200</v>
      </c>
      <c r="P68" s="9"/>
      <c r="Q68" s="2">
        <f>SUM(OSRRefD21_8_1x)+IFERROR(SUM(OSRRefE21_8_1x),0)</f>
        <v>4233</v>
      </c>
    </row>
    <row r="69" spans="1:17" s="34" customFormat="1" collapsed="1" x14ac:dyDescent="0.3">
      <c r="A69" s="35"/>
      <c r="B69" s="14" t="str">
        <f>CONCATENATE("     ","Telephone/Data Lines                              ")</f>
        <v xml:space="preserve">     Telephone/Data Lines                              </v>
      </c>
      <c r="C69" s="14"/>
      <c r="D69" s="1">
        <f>SUM(OSRRefD21_9x_0)</f>
        <v>283.3</v>
      </c>
      <c r="E69" s="1">
        <f>SUM(OSRRefE21_9x_0)</f>
        <v>325</v>
      </c>
      <c r="F69" s="1">
        <f>SUM(OSRRefE21_9x_1)</f>
        <v>325</v>
      </c>
      <c r="G69" s="1">
        <f>SUM(OSRRefE21_9x_2)</f>
        <v>325</v>
      </c>
      <c r="H69" s="1">
        <f>SUM(OSRRefE21_9x_3)</f>
        <v>325</v>
      </c>
      <c r="I69" s="1">
        <f>SUM(OSRRefE21_9x_4)</f>
        <v>325</v>
      </c>
      <c r="J69" s="1">
        <f>SUM(OSRRefE21_9x_5)</f>
        <v>325</v>
      </c>
      <c r="K69" s="1">
        <f>SUM(OSRRefE21_9x_6)</f>
        <v>325</v>
      </c>
      <c r="L69" s="1">
        <f>SUM(OSRRefE21_9x_7)</f>
        <v>325</v>
      </c>
      <c r="M69" s="1">
        <f>SUM(OSRRefE21_9x_8)</f>
        <v>325</v>
      </c>
      <c r="N69" s="1">
        <f>SUM(OSRRefE21_9x_9)</f>
        <v>325</v>
      </c>
      <c r="O69" s="1">
        <f>SUM(OSRRefE21_9x_10)</f>
        <v>325</v>
      </c>
      <c r="Q69" s="2">
        <f>SUM(OSRRefD20_9x)+IFERROR(SUM(OSRRefE20_9x),0)</f>
        <v>3858.3</v>
      </c>
    </row>
    <row r="70" spans="1:17" s="34" customFormat="1" hidden="1" outlineLevel="1" x14ac:dyDescent="0.3">
      <c r="A70" s="35"/>
      <c r="B70" s="10" t="str">
        <f>CONCATENATE("          ","6309", " - ","TELEPHONE")</f>
        <v xml:space="preserve">          6309 - TELEPHONE</v>
      </c>
      <c r="C70" s="14"/>
      <c r="D70" s="2">
        <v>283.3</v>
      </c>
      <c r="E70" s="2">
        <v>325</v>
      </c>
      <c r="F70" s="2">
        <v>325</v>
      </c>
      <c r="G70" s="2">
        <v>325</v>
      </c>
      <c r="H70" s="2">
        <v>325</v>
      </c>
      <c r="I70" s="2">
        <v>325</v>
      </c>
      <c r="J70" s="2">
        <v>325</v>
      </c>
      <c r="K70" s="2">
        <v>325</v>
      </c>
      <c r="L70" s="2">
        <v>325</v>
      </c>
      <c r="M70" s="2">
        <v>325</v>
      </c>
      <c r="N70" s="2">
        <v>325</v>
      </c>
      <c r="O70" s="2">
        <v>325</v>
      </c>
      <c r="P70" s="9"/>
      <c r="Q70" s="2">
        <f>SUM(OSRRefD21_9_0x)+IFERROR(SUM(OSRRefE21_9_0x),0)</f>
        <v>3858.3</v>
      </c>
    </row>
    <row r="71" spans="1:17" s="28" customFormat="1" x14ac:dyDescent="0.3">
      <c r="A71" s="21"/>
      <c r="B71" s="21"/>
      <c r="C71" s="2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1"/>
    </row>
    <row r="72" spans="1:17" s="9" customFormat="1" x14ac:dyDescent="0.3">
      <c r="A72" s="22"/>
      <c r="B72" s="16" t="s">
        <v>293</v>
      </c>
      <c r="C72" s="23"/>
      <c r="D72" s="3">
        <f>--193.38</f>
        <v>193.38</v>
      </c>
      <c r="E72" s="3">
        <v>3589</v>
      </c>
      <c r="F72" s="3">
        <v>2293</v>
      </c>
      <c r="G72" s="3">
        <v>1047</v>
      </c>
      <c r="H72" s="3">
        <v>1149</v>
      </c>
      <c r="I72" s="3">
        <v>605</v>
      </c>
      <c r="J72" s="3">
        <v>1540</v>
      </c>
      <c r="K72" s="3">
        <v>898</v>
      </c>
      <c r="L72" s="3">
        <v>818</v>
      </c>
      <c r="M72" s="3">
        <v>2157</v>
      </c>
      <c r="N72" s="3">
        <v>829</v>
      </c>
      <c r="O72" s="3">
        <v>2424</v>
      </c>
      <c r="Q72" s="2">
        <f>SUM(OSRRefD23_0x)+IFERROR(SUM(OSRRefE23_0x),0)</f>
        <v>17542.38</v>
      </c>
    </row>
    <row r="73" spans="1:17" x14ac:dyDescent="0.3">
      <c r="A73" s="5"/>
      <c r="B73" s="6"/>
      <c r="C73" s="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</row>
    <row r="74" spans="1:17" s="15" customFormat="1" x14ac:dyDescent="0.3">
      <c r="A74" s="6"/>
      <c r="B74" s="17" t="s">
        <v>276</v>
      </c>
      <c r="C74" s="17"/>
      <c r="D74" s="8">
        <f t="shared" ref="D74:O74" si="2">IFERROR(+D28-D31+D72, 0)</f>
        <v>-3756.4600000000146</v>
      </c>
      <c r="E74" s="8">
        <f t="shared" si="2"/>
        <v>25585.793015129999</v>
      </c>
      <c r="F74" s="8">
        <f t="shared" si="2"/>
        <v>11890.25201513</v>
      </c>
      <c r="G74" s="8">
        <f t="shared" si="2"/>
        <v>-4479.1444810875</v>
      </c>
      <c r="H74" s="8">
        <f t="shared" si="2"/>
        <v>192.35741512999994</v>
      </c>
      <c r="I74" s="8">
        <f t="shared" si="2"/>
        <v>-6192.3205848699999</v>
      </c>
      <c r="J74" s="8">
        <f t="shared" si="2"/>
        <v>1546.9643249125002</v>
      </c>
      <c r="K74" s="8">
        <f t="shared" si="2"/>
        <v>-2285.0134888700013</v>
      </c>
      <c r="L74" s="8">
        <f t="shared" si="2"/>
        <v>-1918.0134888700013</v>
      </c>
      <c r="M74" s="8">
        <f t="shared" si="2"/>
        <v>6129.1654209125008</v>
      </c>
      <c r="N74" s="8">
        <f t="shared" si="2"/>
        <v>26011.266523130002</v>
      </c>
      <c r="O74" s="8">
        <f t="shared" si="2"/>
        <v>-67.936099669999749</v>
      </c>
      <c r="Q74" s="8">
        <f>IFERROR(+Q28-Q31+Q72, 0)</f>
        <v>52656.910570977576</v>
      </c>
    </row>
    <row r="75" spans="1:17" s="6" customFormat="1" x14ac:dyDescent="0.3">
      <c r="B75" s="16"/>
      <c r="C75" s="16"/>
      <c r="D75" s="4">
        <f t="shared" ref="D75:O75" si="3">IFERROR(D74/D10, 0)</f>
        <v>-3.9414603231895634E-2</v>
      </c>
      <c r="E75" s="4">
        <f t="shared" si="3"/>
        <v>6.8022537041370568E-2</v>
      </c>
      <c r="F75" s="4">
        <f t="shared" si="3"/>
        <v>4.9492193448895917E-2</v>
      </c>
      <c r="G75" s="4">
        <f t="shared" si="3"/>
        <v>-4.0842021346653601E-2</v>
      </c>
      <c r="H75" s="4">
        <f t="shared" si="3"/>
        <v>1.5981839076935854E-3</v>
      </c>
      <c r="I75" s="4">
        <f t="shared" si="3"/>
        <v>-9.7712284172597155E-2</v>
      </c>
      <c r="J75" s="4">
        <f t="shared" si="3"/>
        <v>8.4599677612150481E-3</v>
      </c>
      <c r="K75" s="4">
        <f t="shared" si="3"/>
        <v>-2.1415710593169518E-2</v>
      </c>
      <c r="L75" s="4">
        <f t="shared" si="3"/>
        <v>-1.7666146162567939E-2</v>
      </c>
      <c r="M75" s="4">
        <f t="shared" si="3"/>
        <v>2.972004762116327E-2</v>
      </c>
      <c r="N75" s="4">
        <f t="shared" si="3"/>
        <v>6.7051443619029205E-2</v>
      </c>
      <c r="O75" s="4">
        <f t="shared" si="3"/>
        <v>-6.388814669538044E-4</v>
      </c>
      <c r="P75" s="18"/>
      <c r="Q75" s="4">
        <f>IFERROR(Q74/Q10, 0)</f>
        <v>2.5030471405703893E-2</v>
      </c>
    </row>
    <row r="76" spans="1:17" x14ac:dyDescent="0.3">
      <c r="A76" s="5"/>
      <c r="B76" s="6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</row>
    <row r="77" spans="1:17" s="15" customFormat="1" x14ac:dyDescent="0.3">
      <c r="A77" s="25"/>
      <c r="B77" s="6" t="s">
        <v>125</v>
      </c>
      <c r="C77" s="6"/>
      <c r="D77" s="3">
        <v>44031.12</v>
      </c>
      <c r="E77" s="3">
        <v>-27356</v>
      </c>
      <c r="F77" s="3">
        <v>23858</v>
      </c>
      <c r="G77" s="3">
        <v>18339</v>
      </c>
      <c r="H77" s="3">
        <v>25107</v>
      </c>
      <c r="I77" s="3">
        <v>13217</v>
      </c>
      <c r="J77" s="3">
        <v>17954</v>
      </c>
      <c r="K77" s="3">
        <v>8866</v>
      </c>
      <c r="L77" s="3">
        <v>12533</v>
      </c>
      <c r="M77" s="3">
        <v>27324</v>
      </c>
      <c r="N77" s="3">
        <v>49787</v>
      </c>
      <c r="O77" s="3">
        <v>-10979</v>
      </c>
      <c r="Q77" s="2">
        <f>SUM(OSRRefD28_0x)+IFERROR(SUM(OSRRefE28_0x),0)</f>
        <v>202681.12</v>
      </c>
    </row>
    <row r="78" spans="1:17" x14ac:dyDescent="0.3">
      <c r="A78" s="5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</row>
    <row r="79" spans="1:17" s="15" customFormat="1" ht="15" thickBot="1" x14ac:dyDescent="0.35">
      <c r="A79" s="6"/>
      <c r="B79" s="17" t="s">
        <v>124</v>
      </c>
      <c r="C79" s="17"/>
      <c r="D79" s="7">
        <f t="shared" ref="D79:O79" si="4">IFERROR(+D74-D77, 0)</f>
        <v>-47787.580000000016</v>
      </c>
      <c r="E79" s="7">
        <f t="shared" si="4"/>
        <v>52941.793015129995</v>
      </c>
      <c r="F79" s="7">
        <f t="shared" si="4"/>
        <v>-11967.74798487</v>
      </c>
      <c r="G79" s="7">
        <f t="shared" si="4"/>
        <v>-22818.1444810875</v>
      </c>
      <c r="H79" s="7">
        <f t="shared" si="4"/>
        <v>-24914.642584870002</v>
      </c>
      <c r="I79" s="7">
        <f t="shared" si="4"/>
        <v>-19409.320584870002</v>
      </c>
      <c r="J79" s="7">
        <f t="shared" si="4"/>
        <v>-16407.0356750875</v>
      </c>
      <c r="K79" s="7">
        <f t="shared" si="4"/>
        <v>-11151.013488870001</v>
      </c>
      <c r="L79" s="7">
        <f t="shared" si="4"/>
        <v>-14451.013488870001</v>
      </c>
      <c r="M79" s="7">
        <f t="shared" si="4"/>
        <v>-21194.834579087499</v>
      </c>
      <c r="N79" s="7">
        <f t="shared" si="4"/>
        <v>-23775.733476869998</v>
      </c>
      <c r="O79" s="7">
        <f t="shared" si="4"/>
        <v>10911.06390033</v>
      </c>
      <c r="Q79" s="7">
        <f>IFERROR(+Q74-Q77, 0)</f>
        <v>-150024.20942902242</v>
      </c>
    </row>
    <row r="80" spans="1:17" ht="15" thickTop="1" x14ac:dyDescent="0.3">
      <c r="A80" s="5"/>
      <c r="B80" s="5"/>
      <c r="C80" s="5"/>
      <c r="D80" s="4">
        <f t="shared" ref="D80:O80" si="5">IFERROR(D79/D10, 0)</f>
        <v>-0.50141050486693972</v>
      </c>
      <c r="E80" s="4">
        <f t="shared" si="5"/>
        <v>0.14075135659382085</v>
      </c>
      <c r="F80" s="4">
        <f t="shared" si="5"/>
        <v>-4.981476403200899E-2</v>
      </c>
      <c r="G80" s="4">
        <f t="shared" si="5"/>
        <v>-0.20806186268886204</v>
      </c>
      <c r="H80" s="4">
        <f t="shared" si="5"/>
        <v>-0.20700101848512797</v>
      </c>
      <c r="I80" s="4">
        <f t="shared" si="5"/>
        <v>-0.30627113415602863</v>
      </c>
      <c r="J80" s="4">
        <f t="shared" si="5"/>
        <v>-8.9726046446608546E-2</v>
      </c>
      <c r="K80" s="4">
        <f t="shared" si="5"/>
        <v>-0.10451005163048981</v>
      </c>
      <c r="L80" s="4">
        <f t="shared" si="5"/>
        <v>-0.1331031913868472</v>
      </c>
      <c r="M80" s="4">
        <f t="shared" si="5"/>
        <v>-0.10277280017013771</v>
      </c>
      <c r="N80" s="4">
        <f t="shared" si="5"/>
        <v>-6.1288720843631579E-2</v>
      </c>
      <c r="O80" s="4">
        <f t="shared" si="5"/>
        <v>0.10260931293569441</v>
      </c>
      <c r="P80" s="18"/>
      <c r="Q80" s="4">
        <f>IFERROR(Q79/Q10, 0)</f>
        <v>-7.1314033496416032E-2</v>
      </c>
    </row>
    <row r="81" spans="1:17" x14ac:dyDescent="0.3">
      <c r="A81" s="5"/>
      <c r="B81" s="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</row>
    <row r="82" spans="1:17" x14ac:dyDescent="0.3">
      <c r="A82" s="5"/>
      <c r="B82" s="5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</row>
    <row r="83" spans="1:17" s="15" customFormat="1" ht="15" thickBot="1" x14ac:dyDescent="0.35">
      <c r="A83" s="6"/>
      <c r="B83" s="17" t="s">
        <v>294</v>
      </c>
      <c r="C83" s="17"/>
      <c r="D83" s="7">
        <f t="shared" ref="D83:O83" si="6">IFERROR(SUM(D79:D82), 0)</f>
        <v>-47788.081410504885</v>
      </c>
      <c r="E83" s="7">
        <f t="shared" si="6"/>
        <v>52941.933766486589</v>
      </c>
      <c r="F83" s="7">
        <f t="shared" si="6"/>
        <v>-11967.797799634032</v>
      </c>
      <c r="G83" s="7">
        <f t="shared" si="6"/>
        <v>-22818.35254295019</v>
      </c>
      <c r="H83" s="7">
        <f t="shared" si="6"/>
        <v>-24914.849585888485</v>
      </c>
      <c r="I83" s="7">
        <f t="shared" si="6"/>
        <v>-19409.626856004157</v>
      </c>
      <c r="J83" s="7">
        <f t="shared" si="6"/>
        <v>-16407.125401133948</v>
      </c>
      <c r="K83" s="7">
        <f t="shared" si="6"/>
        <v>-11151.117998921633</v>
      </c>
      <c r="L83" s="7">
        <f t="shared" si="6"/>
        <v>-14451.146592061388</v>
      </c>
      <c r="M83" s="7">
        <f t="shared" si="6"/>
        <v>-21194.937351887671</v>
      </c>
      <c r="N83" s="7">
        <f t="shared" si="6"/>
        <v>-23775.794765590843</v>
      </c>
      <c r="O83" s="7">
        <f t="shared" si="6"/>
        <v>10911.166509642935</v>
      </c>
      <c r="Q83" s="7">
        <f>IFERROR(SUM(Q79:Q82), 0)</f>
        <v>-150024.28074305592</v>
      </c>
    </row>
    <row r="84" spans="1:17" ht="15" thickTop="1" x14ac:dyDescent="0.3">
      <c r="A84" s="5"/>
      <c r="C84" s="5"/>
      <c r="D84" s="4">
        <f t="shared" ref="D84:O84" si="7">IFERROR(D83/D10, 0)</f>
        <v>-0.50141576590954529</v>
      </c>
      <c r="E84" s="4">
        <f t="shared" si="7"/>
        <v>0.14075173079619019</v>
      </c>
      <c r="F84" s="4">
        <f t="shared" si="7"/>
        <v>-4.9814971381856157E-2</v>
      </c>
      <c r="G84" s="4">
        <f t="shared" si="7"/>
        <v>-0.20806375985182995</v>
      </c>
      <c r="H84" s="4">
        <f t="shared" si="7"/>
        <v>-0.20700273833406851</v>
      </c>
      <c r="I84" s="4">
        <f t="shared" si="7"/>
        <v>-0.30627596698916187</v>
      </c>
      <c r="J84" s="4">
        <f t="shared" si="7"/>
        <v>-8.9726537136308418E-2</v>
      </c>
      <c r="K84" s="4">
        <f t="shared" si="7"/>
        <v>-0.10451103112449749</v>
      </c>
      <c r="L84" s="4">
        <f t="shared" si="7"/>
        <v>-0.13310441735342532</v>
      </c>
      <c r="M84" s="4">
        <f t="shared" si="7"/>
        <v>-0.10277329851082612</v>
      </c>
      <c r="N84" s="4">
        <f t="shared" si="7"/>
        <v>-6.1288878832755501E-2</v>
      </c>
      <c r="O84" s="4">
        <f t="shared" si="7"/>
        <v>0.10261027788935953</v>
      </c>
      <c r="P84" s="18"/>
      <c r="Q84" s="4">
        <f>IFERROR(Q83/Q10, 0)</f>
        <v>-7.1314067395553987E-2</v>
      </c>
    </row>
    <row r="85" spans="1:17" x14ac:dyDescent="0.3">
      <c r="A85" s="5"/>
      <c r="B85" s="30">
        <v>44462.678423958336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1"/>
    </row>
    <row r="86" spans="1:17" x14ac:dyDescent="0.3">
      <c r="A86" s="5"/>
      <c r="B86" s="31" t="s">
        <v>54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 s="11"/>
    </row>
    <row r="87" spans="1:17" x14ac:dyDescent="0.3">
      <c r="A87" s="5"/>
      <c r="B87" s="2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1"/>
    </row>
    <row r="88" spans="1:17" x14ac:dyDescent="0.3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Q8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outlinePr summaryBelow="0" summaryRight="0"/>
    <pageSetUpPr fitToPage="1"/>
  </sheetPr>
  <dimension ref="A2:R100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198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12514</v>
      </c>
      <c r="F10" s="3">
        <f>SUM(OSRRefE11x_1)</f>
        <v>41501</v>
      </c>
      <c r="G10" s="3">
        <f>SUM(OSRRefE11x_2)</f>
        <v>51754</v>
      </c>
      <c r="H10" s="3">
        <f>SUM(OSRRefE11x_3)</f>
        <v>24876</v>
      </c>
      <c r="I10" s="3">
        <f>SUM(OSRRefE11x_4)</f>
        <v>22928</v>
      </c>
      <c r="J10" s="3">
        <f>SUM(OSRRefE11x_5)</f>
        <v>35426</v>
      </c>
      <c r="K10" s="3">
        <f>SUM(OSRRefE11x_6)</f>
        <v>96582</v>
      </c>
      <c r="L10" s="3">
        <f>SUM(OSRRefE11x_7)</f>
        <v>92454</v>
      </c>
      <c r="M10" s="3">
        <f>SUM(OSRRefE11x_8)</f>
        <v>84079</v>
      </c>
      <c r="N10" s="3">
        <f>SUM(OSRRefE11x_9)</f>
        <v>42770</v>
      </c>
      <c r="O10" s="3">
        <f>SUM(OSRRefE11x_10)</f>
        <v>13025</v>
      </c>
      <c r="P10" s="24"/>
      <c r="Q10" s="3">
        <f>SUM(OSRRefG11x)</f>
        <v>517909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2486</v>
      </c>
      <c r="F11" s="2">
        <v>8144</v>
      </c>
      <c r="G11" s="2">
        <v>10059</v>
      </c>
      <c r="H11" s="2">
        <v>4847</v>
      </c>
      <c r="I11" s="2">
        <v>4520</v>
      </c>
      <c r="J11" s="2">
        <v>6899</v>
      </c>
      <c r="K11" s="2">
        <v>18876</v>
      </c>
      <c r="L11" s="2">
        <v>18014</v>
      </c>
      <c r="M11" s="2">
        <v>16369</v>
      </c>
      <c r="N11" s="2">
        <v>8502</v>
      </c>
      <c r="O11" s="2">
        <v>2555</v>
      </c>
      <c r="Q11" s="2">
        <f>SUM(OSRRefD11_0x)+IFERROR(SUM(OSRRefE11_0x),0)</f>
        <v>101271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10028</v>
      </c>
      <c r="F12" s="2">
        <v>33357</v>
      </c>
      <c r="G12" s="2">
        <v>41695</v>
      </c>
      <c r="H12" s="2">
        <v>20029</v>
      </c>
      <c r="I12" s="2">
        <v>18408</v>
      </c>
      <c r="J12" s="2">
        <v>28527</v>
      </c>
      <c r="K12" s="2">
        <v>77706</v>
      </c>
      <c r="L12" s="2">
        <v>74440</v>
      </c>
      <c r="M12" s="2">
        <v>67710</v>
      </c>
      <c r="N12" s="2">
        <v>34268</v>
      </c>
      <c r="O12" s="2">
        <v>10470</v>
      </c>
      <c r="Q12" s="2">
        <f>SUM(OSRRefD11_1x)+IFERROR(SUM(OSRRefE11_1x),0)</f>
        <v>416638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6133</v>
      </c>
      <c r="F14" s="3">
        <f>SUM(OSRRefE14x_1)</f>
        <v>20336</v>
      </c>
      <c r="G14" s="3">
        <f>SUM(OSRRefE14x_2)</f>
        <v>25360</v>
      </c>
      <c r="H14" s="3">
        <f>SUM(OSRRefE14x_3)</f>
        <v>12189</v>
      </c>
      <c r="I14" s="3">
        <f>SUM(OSRRefE14x_4)</f>
        <v>11236</v>
      </c>
      <c r="J14" s="3">
        <f>SUM(OSRRefE14x_5)</f>
        <v>17359</v>
      </c>
      <c r="K14" s="3">
        <f>SUM(OSRRefE14x_6)</f>
        <v>47492</v>
      </c>
      <c r="L14" s="3">
        <f>SUM(OSRRefE14x_7)</f>
        <v>45304</v>
      </c>
      <c r="M14" s="3">
        <f>SUM(OSRRefE14x_8)</f>
        <v>41200</v>
      </c>
      <c r="N14" s="3">
        <f>SUM(OSRRefE14x_9)</f>
        <v>20959</v>
      </c>
      <c r="O14" s="3">
        <f>SUM(OSRRefE14x_10)</f>
        <v>6383</v>
      </c>
      <c r="Q14" s="3">
        <f>SUM(OSRRefG14x)</f>
        <v>253951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6133</v>
      </c>
      <c r="F15" s="2">
        <v>20336</v>
      </c>
      <c r="G15" s="2">
        <v>25360</v>
      </c>
      <c r="H15" s="2">
        <v>12189</v>
      </c>
      <c r="I15" s="2">
        <v>11236</v>
      </c>
      <c r="J15" s="2">
        <v>17359</v>
      </c>
      <c r="K15" s="2">
        <v>47492</v>
      </c>
      <c r="L15" s="2">
        <v>45304</v>
      </c>
      <c r="M15" s="2">
        <v>41200</v>
      </c>
      <c r="N15" s="2">
        <v>20959</v>
      </c>
      <c r="O15" s="2">
        <v>6383</v>
      </c>
      <c r="Q15" s="2">
        <f>SUM(OSRRefD14_0x)+IFERROR(SUM(OSRRefE14_0x),0)</f>
        <v>253951</v>
      </c>
    </row>
    <row r="16" spans="1:18" s="9" customFormat="1" hidden="1" outlineLevel="1" x14ac:dyDescent="0.3">
      <c r="A16" s="22"/>
      <c r="B16" s="10" t="str">
        <f>CONCATENATE("          ","5053", " - ","PURCHASES @ COST-FOOD")</f>
        <v xml:space="preserve">          5053 - PURCHASES @ COST-FOOD</v>
      </c>
      <c r="C16" s="23"/>
      <c r="D16" s="2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>
        <f>SUM(OSRRefD14_1x)+IFERROR(SUM(OSRRefE14_1x),0)</f>
        <v>0</v>
      </c>
    </row>
    <row r="17" spans="1:17" x14ac:dyDescent="0.3">
      <c r="A17" s="5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</row>
    <row r="18" spans="1:17" s="15" customFormat="1" x14ac:dyDescent="0.3">
      <c r="A18" s="6"/>
      <c r="B18" s="17" t="s">
        <v>105</v>
      </c>
      <c r="C18" s="17"/>
      <c r="D18" s="8">
        <f t="shared" ref="D18:O18" si="1">IFERROR(+D10-D14, 0)</f>
        <v>0</v>
      </c>
      <c r="E18" s="8">
        <f t="shared" si="1"/>
        <v>6381</v>
      </c>
      <c r="F18" s="8">
        <f t="shared" si="1"/>
        <v>21165</v>
      </c>
      <c r="G18" s="8">
        <f t="shared" si="1"/>
        <v>26394</v>
      </c>
      <c r="H18" s="8">
        <f t="shared" si="1"/>
        <v>12687</v>
      </c>
      <c r="I18" s="8">
        <f t="shared" si="1"/>
        <v>11692</v>
      </c>
      <c r="J18" s="8">
        <f t="shared" si="1"/>
        <v>18067</v>
      </c>
      <c r="K18" s="8">
        <f t="shared" si="1"/>
        <v>49090</v>
      </c>
      <c r="L18" s="8">
        <f t="shared" si="1"/>
        <v>47150</v>
      </c>
      <c r="M18" s="8">
        <f t="shared" si="1"/>
        <v>42879</v>
      </c>
      <c r="N18" s="8">
        <f t="shared" si="1"/>
        <v>21811</v>
      </c>
      <c r="O18" s="8">
        <f t="shared" si="1"/>
        <v>6642</v>
      </c>
      <c r="Q18" s="8">
        <f>IFERROR(+Q10-Q14, 0)</f>
        <v>263958</v>
      </c>
    </row>
    <row r="19" spans="1:17" s="6" customFormat="1" x14ac:dyDescent="0.3">
      <c r="B19" s="16"/>
      <c r="C19" s="16"/>
      <c r="D19" s="4">
        <f t="shared" ref="D19:O19" si="2">IFERROR(D18/D10, 0)</f>
        <v>0</v>
      </c>
      <c r="E19" s="4">
        <f t="shared" si="2"/>
        <v>0.50990890202972672</v>
      </c>
      <c r="F19" s="4">
        <f t="shared" si="2"/>
        <v>0.5099877111394906</v>
      </c>
      <c r="G19" s="4">
        <f t="shared" si="2"/>
        <v>0.50998956602388223</v>
      </c>
      <c r="H19" s="4">
        <f t="shared" si="2"/>
        <v>0.51000964785335268</v>
      </c>
      <c r="I19" s="4">
        <f t="shared" si="2"/>
        <v>0.50994417306350315</v>
      </c>
      <c r="J19" s="4">
        <f t="shared" si="2"/>
        <v>0.50999266075763561</v>
      </c>
      <c r="K19" s="4">
        <f t="shared" si="2"/>
        <v>0.50827276304073221</v>
      </c>
      <c r="L19" s="4">
        <f t="shared" si="2"/>
        <v>0.50998334306790405</v>
      </c>
      <c r="M19" s="4">
        <f t="shared" si="2"/>
        <v>0.50998465728659947</v>
      </c>
      <c r="N19" s="4">
        <f t="shared" si="2"/>
        <v>0.50996025251344401</v>
      </c>
      <c r="O19" s="4">
        <f t="shared" si="2"/>
        <v>0.50994241842610366</v>
      </c>
      <c r="P19" s="18"/>
      <c r="Q19" s="4">
        <f>IFERROR(Q18/Q10, 0)</f>
        <v>0.50966096360557545</v>
      </c>
    </row>
    <row r="20" spans="1:17" x14ac:dyDescent="0.3">
      <c r="A20" s="5"/>
      <c r="B20" s="6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15" customFormat="1" x14ac:dyDescent="0.3">
      <c r="A21" s="6"/>
      <c r="B21" s="16" t="s">
        <v>255</v>
      </c>
      <c r="C21" s="6"/>
      <c r="D21" s="13">
        <f>SUM(OSRRefD20x_0)</f>
        <v>11929.900000000001</v>
      </c>
      <c r="E21" s="13">
        <f>SUM(OSRRefE20x_0)</f>
        <v>33033.680587307696</v>
      </c>
      <c r="F21" s="13">
        <f>SUM(OSRRefE20x_1)</f>
        <v>42294.831412307693</v>
      </c>
      <c r="G21" s="13">
        <f>SUM(OSRRefE20x_2)</f>
        <v>45722.427490384616</v>
      </c>
      <c r="H21" s="13">
        <f>SUM(OSRRefE20x_3)</f>
        <v>32448.96838730769</v>
      </c>
      <c r="I21" s="13">
        <f>SUM(OSRRefE20x_4)</f>
        <v>32055.506037307689</v>
      </c>
      <c r="J21" s="13">
        <f>SUM(OSRRefE20x_5)</f>
        <v>34735.808669634614</v>
      </c>
      <c r="K21" s="13">
        <f>SUM(OSRRefE20x_6)</f>
        <v>45315.239967307687</v>
      </c>
      <c r="L21" s="13">
        <f>SUM(OSRRefE20x_7)</f>
        <v>41099.277689057693</v>
      </c>
      <c r="M21" s="13">
        <f>SUM(OSRRefE20x_8)</f>
        <v>46343.978603134616</v>
      </c>
      <c r="N21" s="13">
        <f>SUM(OSRRefE20x_9)</f>
        <v>32953.694589807696</v>
      </c>
      <c r="O21" s="13">
        <f>SUM(OSRRefE20x_10)</f>
        <v>28306.54540580769</v>
      </c>
      <c r="Q21" s="13">
        <f>SUM(OSRRefG20x)</f>
        <v>426239.85883936536</v>
      </c>
    </row>
    <row r="22" spans="1:17" s="34" customFormat="1" collapsed="1" x14ac:dyDescent="0.3">
      <c r="A22" s="35"/>
      <c r="B22" s="14" t="str">
        <f>CONCATENATE("     ","*Benefits                                         ")</f>
        <v xml:space="preserve">     *Benefits                                         </v>
      </c>
      <c r="C22" s="14"/>
      <c r="D22" s="1">
        <f>SUM(OSRRefD21_0x_0)</f>
        <v>0</v>
      </c>
      <c r="E22" s="1">
        <f>SUM(OSRRefE21_0x_0)</f>
        <v>4307.4163565384606</v>
      </c>
      <c r="F22" s="1">
        <f>SUM(OSRRefE21_0x_1)</f>
        <v>4549.2621815384609</v>
      </c>
      <c r="G22" s="1">
        <f>SUM(OSRRefE21_0x_2)</f>
        <v>5276.1309519230763</v>
      </c>
      <c r="H22" s="1">
        <f>SUM(OSRRefE21_0x_3)</f>
        <v>4241.1041565384603</v>
      </c>
      <c r="I22" s="1">
        <f>SUM(OSRRefE21_0x_4)</f>
        <v>4131.3318065384601</v>
      </c>
      <c r="J22" s="1">
        <f>SUM(OSRRefE21_0x_5)</f>
        <v>4545.2334811730771</v>
      </c>
      <c r="K22" s="1">
        <f>SUM(OSRRefE21_0x_6)</f>
        <v>4800.36453653846</v>
      </c>
      <c r="L22" s="1">
        <f>SUM(OSRRefE21_0x_7)</f>
        <v>4572.5439082884614</v>
      </c>
      <c r="M22" s="1">
        <f>SUM(OSRRefE21_0x_8)</f>
        <v>5297.7153146730761</v>
      </c>
      <c r="N22" s="1">
        <f>SUM(OSRRefE21_0x_9)</f>
        <v>4094.8886590384604</v>
      </c>
      <c r="O22" s="1">
        <f>SUM(OSRRefE21_0x_10)</f>
        <v>4152.0788750384609</v>
      </c>
      <c r="Q22" s="2">
        <f>SUM(OSRRefD20_0x)+IFERROR(SUM(OSRRefE20_0x),0)</f>
        <v>49968.070227826909</v>
      </c>
    </row>
    <row r="23" spans="1:17" s="34" customFormat="1" hidden="1" outlineLevel="1" x14ac:dyDescent="0.3">
      <c r="A23" s="35"/>
      <c r="B23" s="10" t="str">
        <f>CONCATENATE("          ","6111", " - ","F.I.C.A.")</f>
        <v xml:space="preserve">          6111 - F.I.C.A.</v>
      </c>
      <c r="C23" s="14"/>
      <c r="D23" s="2"/>
      <c r="E23" s="2">
        <v>680.70197192307705</v>
      </c>
      <c r="F23" s="2">
        <v>615.842796923077</v>
      </c>
      <c r="G23" s="2">
        <v>787.59672115384603</v>
      </c>
      <c r="H23" s="2">
        <v>547.53977192307696</v>
      </c>
      <c r="I23" s="2">
        <v>509.65742192307698</v>
      </c>
      <c r="J23" s="2">
        <v>632.41110040384604</v>
      </c>
      <c r="K23" s="2">
        <v>685.75295192307703</v>
      </c>
      <c r="L23" s="2">
        <v>623.72347367307702</v>
      </c>
      <c r="M23" s="2">
        <v>827.71183390384601</v>
      </c>
      <c r="N23" s="2">
        <v>519.931574423077</v>
      </c>
      <c r="O23" s="2">
        <v>598.54319042307702</v>
      </c>
      <c r="P23" s="9"/>
      <c r="Q23" s="2">
        <f>SUM(OSRRefD21_0_0x)+IFERROR(SUM(OSRRefE21_0_0x),0)</f>
        <v>7029.4128085961547</v>
      </c>
    </row>
    <row r="24" spans="1:17" s="34" customFormat="1" hidden="1" outlineLevel="1" x14ac:dyDescent="0.3">
      <c r="A24" s="35"/>
      <c r="B24" s="10" t="str">
        <f>CONCATENATE("          ","6112", " - ","COMPENSATION INSURANCE")</f>
        <v xml:space="preserve">          6112 - COMPENSATION INSURANCE</v>
      </c>
      <c r="C24" s="14"/>
      <c r="D24" s="2"/>
      <c r="E24" s="2">
        <v>502.38636538461498</v>
      </c>
      <c r="F24" s="2">
        <v>668.44521538461504</v>
      </c>
      <c r="G24" s="2">
        <v>871.296219230769</v>
      </c>
      <c r="H24" s="2">
        <v>538.58086538461498</v>
      </c>
      <c r="I24" s="2">
        <v>499.657565384615</v>
      </c>
      <c r="J24" s="2">
        <v>559.58937473076901</v>
      </c>
      <c r="K24" s="2">
        <v>766.54784938461501</v>
      </c>
      <c r="L24" s="2">
        <v>676.78378388461601</v>
      </c>
      <c r="M24" s="2">
        <v>861.26314173076901</v>
      </c>
      <c r="N24" s="2">
        <v>474.36348438461499</v>
      </c>
      <c r="O24" s="2">
        <v>462.76532638461498</v>
      </c>
      <c r="P24" s="9"/>
      <c r="Q24" s="2">
        <f>SUM(OSRRefD21_0_1x)+IFERROR(SUM(OSRRefE21_0_1x),0)</f>
        <v>6881.6791912692279</v>
      </c>
    </row>
    <row r="25" spans="1:17" s="34" customFormat="1" hidden="1" outlineLevel="1" x14ac:dyDescent="0.3">
      <c r="A25" s="35"/>
      <c r="B25" s="10" t="str">
        <f>CONCATENATE("          ","6113", " - ","GROUP INSURANCE")</f>
        <v xml:space="preserve">          6113 - GROUP INSURANCE</v>
      </c>
      <c r="C25" s="14"/>
      <c r="D25" s="2"/>
      <c r="E25" s="2">
        <v>1977</v>
      </c>
      <c r="F25" s="2">
        <v>1977</v>
      </c>
      <c r="G25" s="2">
        <v>1977</v>
      </c>
      <c r="H25" s="2">
        <v>1977</v>
      </c>
      <c r="I25" s="2">
        <v>1977</v>
      </c>
      <c r="J25" s="2">
        <v>1977</v>
      </c>
      <c r="K25" s="2">
        <v>1977</v>
      </c>
      <c r="L25" s="2">
        <v>1977</v>
      </c>
      <c r="M25" s="2">
        <v>1977</v>
      </c>
      <c r="N25" s="2">
        <v>1977</v>
      </c>
      <c r="O25" s="2">
        <v>1977</v>
      </c>
      <c r="P25" s="9"/>
      <c r="Q25" s="2">
        <f>SUM(OSRRefD21_0_2x)+IFERROR(SUM(OSRRefE21_0_2x),0)</f>
        <v>21747</v>
      </c>
    </row>
    <row r="26" spans="1:17" s="34" customFormat="1" hidden="1" outlineLevel="1" x14ac:dyDescent="0.3">
      <c r="A26" s="35"/>
      <c r="B26" s="10" t="str">
        <f>CONCATENATE("          ","6114", " - ","STATE UNEMPLOYMENT INSURANCE")</f>
        <v xml:space="preserve">          6114 - STATE UNEMPLOYMENT INSURANCE</v>
      </c>
      <c r="C26" s="14"/>
      <c r="D26" s="2"/>
      <c r="E26" s="2">
        <v>27.8367115384615</v>
      </c>
      <c r="F26" s="2">
        <v>37.037861538461499</v>
      </c>
      <c r="G26" s="2">
        <v>48.277626923076902</v>
      </c>
      <c r="H26" s="2">
        <v>29.842211538461498</v>
      </c>
      <c r="I26" s="2">
        <v>27.685511538461501</v>
      </c>
      <c r="J26" s="2">
        <v>31.0062714230769</v>
      </c>
      <c r="K26" s="2">
        <v>42.4736275384615</v>
      </c>
      <c r="L26" s="2">
        <v>37.499893038461501</v>
      </c>
      <c r="M26" s="2">
        <v>47.721704423076901</v>
      </c>
      <c r="N26" s="2">
        <v>26.283992538461501</v>
      </c>
      <c r="O26" s="2">
        <v>25.641350538461499</v>
      </c>
      <c r="P26" s="9"/>
      <c r="Q26" s="2">
        <f>SUM(OSRRefD21_0_3x)+IFERROR(SUM(OSRRefE21_0_3x),0)</f>
        <v>381.30676257692272</v>
      </c>
    </row>
    <row r="27" spans="1:17" s="34" customFormat="1" hidden="1" outlineLevel="1" x14ac:dyDescent="0.3">
      <c r="A27" s="35"/>
      <c r="B27" s="10" t="str">
        <f>CONCATENATE("          ","6115", " - ","P.E.R.S.")</f>
        <v xml:space="preserve">          6115 - P.E.R.S.</v>
      </c>
      <c r="C27" s="14"/>
      <c r="D27" s="2"/>
      <c r="E27" s="2">
        <v>397.928615384615</v>
      </c>
      <c r="F27" s="2">
        <v>397.928615384615</v>
      </c>
      <c r="G27" s="2">
        <v>497.41076923076901</v>
      </c>
      <c r="H27" s="2">
        <v>397.928615384615</v>
      </c>
      <c r="I27" s="2">
        <v>397.928615384615</v>
      </c>
      <c r="J27" s="2">
        <v>497.41076923076901</v>
      </c>
      <c r="K27" s="2">
        <v>397.928615384615</v>
      </c>
      <c r="L27" s="2">
        <v>397.928615384615</v>
      </c>
      <c r="M27" s="2">
        <v>497.41076923076901</v>
      </c>
      <c r="N27" s="2">
        <v>397.928615384615</v>
      </c>
      <c r="O27" s="2">
        <v>397.928615384615</v>
      </c>
      <c r="P27" s="9"/>
      <c r="Q27" s="2">
        <f>SUM(OSRRefD21_0_4x)+IFERROR(SUM(OSRRefE21_0_4x),0)</f>
        <v>4675.6612307692276</v>
      </c>
    </row>
    <row r="28" spans="1:17" s="34" customFormat="1" hidden="1" outlineLevel="1" x14ac:dyDescent="0.3">
      <c r="A28" s="35"/>
      <c r="B28" s="10" t="str">
        <f>CONCATENATE("          ","6116", " - ","EDUCATIONAL BENEFITS")</f>
        <v xml:space="preserve">          6116 - EDUCATIONAL BENEFITS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SUM(OSRRefD21_0_5x)+IFERROR(SUM(OSRRefE21_0_5x),0)</f>
        <v>0</v>
      </c>
    </row>
    <row r="29" spans="1:17" s="34" customFormat="1" hidden="1" outlineLevel="1" x14ac:dyDescent="0.3">
      <c r="A29" s="35"/>
      <c r="B29" s="10" t="str">
        <f>CONCATENATE("          ","6118", " - ","VACATION")</f>
        <v xml:space="preserve">          6118 - VACATION</v>
      </c>
      <c r="C29" s="14"/>
      <c r="D29" s="2"/>
      <c r="E29" s="2">
        <v>231.35384615384601</v>
      </c>
      <c r="F29" s="2">
        <v>231.35384615384601</v>
      </c>
      <c r="G29" s="2">
        <v>289.19230769230802</v>
      </c>
      <c r="H29" s="2">
        <v>231.35384615384601</v>
      </c>
      <c r="I29" s="2">
        <v>231.35384615384601</v>
      </c>
      <c r="J29" s="2">
        <v>289.19230769230802</v>
      </c>
      <c r="K29" s="2">
        <v>231.35384615384601</v>
      </c>
      <c r="L29" s="2">
        <v>231.35384615384601</v>
      </c>
      <c r="M29" s="2">
        <v>289.19230769230802</v>
      </c>
      <c r="N29" s="2">
        <v>231.35384615384601</v>
      </c>
      <c r="O29" s="2">
        <v>231.35384615384601</v>
      </c>
      <c r="P29" s="9"/>
      <c r="Q29" s="2">
        <f>SUM(OSRRefD21_0_6x)+IFERROR(SUM(OSRRefE21_0_6x),0)</f>
        <v>2718.4076923076923</v>
      </c>
    </row>
    <row r="30" spans="1:17" s="34" customFormat="1" hidden="1" outlineLevel="1" x14ac:dyDescent="0.3">
      <c r="A30" s="35"/>
      <c r="B30" s="10" t="str">
        <f>CONCATENATE("          ","6119", " - ","SICK LEAVE")</f>
        <v xml:space="preserve">          6119 - SICK LEAVE</v>
      </c>
      <c r="C30" s="14"/>
      <c r="D30" s="2"/>
      <c r="E30" s="2">
        <v>490.20884615384603</v>
      </c>
      <c r="F30" s="2">
        <v>621.65384615384596</v>
      </c>
      <c r="G30" s="2">
        <v>805.35730769230804</v>
      </c>
      <c r="H30" s="2">
        <v>518.858846153846</v>
      </c>
      <c r="I30" s="2">
        <v>488.048846153846</v>
      </c>
      <c r="J30" s="2">
        <v>558.62365769230803</v>
      </c>
      <c r="K30" s="2">
        <v>699.30764615384601</v>
      </c>
      <c r="L30" s="2">
        <v>628.25429615384598</v>
      </c>
      <c r="M30" s="2">
        <v>797.41555769230797</v>
      </c>
      <c r="N30" s="2">
        <v>468.02714615384599</v>
      </c>
      <c r="O30" s="2">
        <v>458.84654615384602</v>
      </c>
      <c r="P30" s="9"/>
      <c r="Q30" s="2">
        <f>SUM(OSRRefD21_0_7x)+IFERROR(SUM(OSRRefE21_0_7x),0)</f>
        <v>6534.6025423076917</v>
      </c>
    </row>
    <row r="31" spans="1:17" s="34" customFormat="1" collapsed="1" x14ac:dyDescent="0.3">
      <c r="A31" s="35"/>
      <c r="B31" s="14" t="str">
        <f>CONCATENATE("     ","*Payroll                                          ")</f>
        <v xml:space="preserve">     *Payroll                                          </v>
      </c>
      <c r="C31" s="14"/>
      <c r="D31" s="1">
        <f>SUM(OSRRefD21_1x_0)</f>
        <v>0</v>
      </c>
      <c r="E31" s="1">
        <f>SUM(OSRRefE21_1x_0)</f>
        <v>12534.014230769231</v>
      </c>
      <c r="F31" s="1">
        <f>SUM(OSRRefE21_1x_1)</f>
        <v>16784.06923076923</v>
      </c>
      <c r="G31" s="1">
        <f>SUM(OSRRefE21_1x_2)</f>
        <v>21894.796538461538</v>
      </c>
      <c r="H31" s="1">
        <f>SUM(OSRRefE21_1x_3)</f>
        <v>13460.36423076923</v>
      </c>
      <c r="I31" s="1">
        <f>SUM(OSRRefE21_1x_4)</f>
        <v>12464.174230769229</v>
      </c>
      <c r="J31" s="1">
        <f>SUM(OSRRefE21_1x_5)</f>
        <v>13917.07518846154</v>
      </c>
      <c r="K31" s="1">
        <f>SUM(OSRRefE21_1x_6)</f>
        <v>19294.875430769229</v>
      </c>
      <c r="L31" s="1">
        <f>SUM(OSRRefE21_1x_7)</f>
        <v>16997.483780769231</v>
      </c>
      <c r="M31" s="1">
        <f>SUM(OSRRefE21_1x_8)</f>
        <v>21638.013288461538</v>
      </c>
      <c r="N31" s="1">
        <f>SUM(OSRRefE21_1x_9)</f>
        <v>11816.805930769231</v>
      </c>
      <c r="O31" s="1">
        <f>SUM(OSRRefE21_1x_10)</f>
        <v>11519.96653076923</v>
      </c>
      <c r="Q31" s="2">
        <f>SUM(OSRRefD20_1x)+IFERROR(SUM(OSRRefE20_1x),0)</f>
        <v>172321.63861153848</v>
      </c>
    </row>
    <row r="32" spans="1:17" s="34" customFormat="1" hidden="1" outlineLevel="1" x14ac:dyDescent="0.3">
      <c r="A32" s="35"/>
      <c r="B32" s="10" t="str">
        <f>CONCATENATE("          ","6001", " - ","ADMINISTRATIVE SALARIES")</f>
        <v xml:space="preserve">          6001 - ADMINISTRATIVE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SUM(OSRRefD21_1_0x)+IFERROR(SUM(OSRRefE21_1_0x),0)</f>
        <v>0</v>
      </c>
    </row>
    <row r="33" spans="1:17" s="34" customFormat="1" hidden="1" outlineLevel="1" x14ac:dyDescent="0.3">
      <c r="A33" s="35"/>
      <c r="B33" s="10" t="str">
        <f>CONCATENATE("          ","6002", " - ","STAFF SALARIES")</f>
        <v xml:space="preserve">          6002 - STAFF SALARIES</v>
      </c>
      <c r="C33" s="14"/>
      <c r="D33" s="2"/>
      <c r="E33" s="2">
        <v>4164.3692307692299</v>
      </c>
      <c r="F33" s="2">
        <v>4164.3692307692299</v>
      </c>
      <c r="G33" s="2">
        <v>5205.4615384615399</v>
      </c>
      <c r="H33" s="2">
        <v>4164.3692307692299</v>
      </c>
      <c r="I33" s="2">
        <v>4164.3692307692299</v>
      </c>
      <c r="J33" s="2">
        <v>5205.4615384615399</v>
      </c>
      <c r="K33" s="2">
        <v>4164.3692307692299</v>
      </c>
      <c r="L33" s="2">
        <v>4164.3692307692299</v>
      </c>
      <c r="M33" s="2">
        <v>5205.4615384615399</v>
      </c>
      <c r="N33" s="2">
        <v>4164.3692307692299</v>
      </c>
      <c r="O33" s="2">
        <v>4164.3692307692299</v>
      </c>
      <c r="P33" s="9"/>
      <c r="Q33" s="2">
        <f>SUM(OSRRefD21_1_1x)+IFERROR(SUM(OSRRefE21_1_1x),0)</f>
        <v>48931.338461538464</v>
      </c>
    </row>
    <row r="34" spans="1:17" s="34" customFormat="1" hidden="1" outlineLevel="1" x14ac:dyDescent="0.3">
      <c r="A34" s="35"/>
      <c r="B34" s="10" t="str">
        <f>CONCATENATE("          ","6003", " - ","STAFF HOURLY-9 MONTH")</f>
        <v xml:space="preserve">          6003 - STAFF HOURLY-9 MONTH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SUM(OSRRefD21_1_2x)+IFERROR(SUM(OSRRefE21_1_2x),0)</f>
        <v>0</v>
      </c>
    </row>
    <row r="35" spans="1:17" s="34" customFormat="1" hidden="1" outlineLevel="1" x14ac:dyDescent="0.3">
      <c r="A35" s="35"/>
      <c r="B35" s="10" t="str">
        <f>CONCATENATE("          ","6004", " - ","STAFF HOURLY")</f>
        <v xml:space="preserve">          6004 - STAFF HOURLY</v>
      </c>
      <c r="C35" s="14"/>
      <c r="D35" s="2"/>
      <c r="E35" s="2">
        <v>4139.4750000000004</v>
      </c>
      <c r="F35" s="2">
        <v>3317.4</v>
      </c>
      <c r="G35" s="2">
        <v>4372.2749999999996</v>
      </c>
      <c r="H35" s="2">
        <v>2451.6750000000002</v>
      </c>
      <c r="I35" s="2">
        <v>1971.5250000000001</v>
      </c>
      <c r="J35" s="2">
        <v>2405.3332500000001</v>
      </c>
      <c r="K35" s="2">
        <v>4203.4949999999999</v>
      </c>
      <c r="L35" s="2">
        <v>3417.28575</v>
      </c>
      <c r="M35" s="2">
        <v>4880.7247500000003</v>
      </c>
      <c r="N35" s="2">
        <v>2101.7474999999999</v>
      </c>
      <c r="O35" s="2">
        <v>3098.1315</v>
      </c>
      <c r="P35" s="9"/>
      <c r="Q35" s="2">
        <f>SUM(OSRRefD21_1_3x)+IFERROR(SUM(OSRRefE21_1_3x),0)</f>
        <v>36359.067750000002</v>
      </c>
    </row>
    <row r="36" spans="1:17" s="34" customFormat="1" hidden="1" outlineLevel="1" x14ac:dyDescent="0.3">
      <c r="A36" s="35"/>
      <c r="B36" s="10" t="str">
        <f>CONCATENATE("          ","6005", " - ","TEMPORARY WAGES-HOURLY")</f>
        <v xml:space="preserve">          6005 - TEMPORARY WAGES-HOURLY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SUM(OSRRefD21_1_4x)+IFERROR(SUM(OSRRefE21_1_4x),0)</f>
        <v>0</v>
      </c>
    </row>
    <row r="37" spans="1:17" s="34" customFormat="1" hidden="1" outlineLevel="1" x14ac:dyDescent="0.3">
      <c r="A37" s="35"/>
      <c r="B37" s="10" t="str">
        <f>CONCATENATE("          ","6006", " - ","TEMPORARY PART TIME")</f>
        <v xml:space="preserve">          6006 - TEMPORARY PART TIME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SUM(OSRRefD21_1_5x)+IFERROR(SUM(OSRRefE21_1_5x),0)</f>
        <v>0</v>
      </c>
    </row>
    <row r="38" spans="1:17" s="34" customFormat="1" hidden="1" outlineLevel="1" x14ac:dyDescent="0.3">
      <c r="A38" s="35"/>
      <c r="B38" s="10" t="str">
        <f>CONCATENATE("          ","6007", " - ","STUDENT HOURLY")</f>
        <v xml:space="preserve">          6007 - STUDENT HOURLY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SUM(OSRRefD21_1_6x)+IFERROR(SUM(OSRRefE21_1_6x),0)</f>
        <v>0</v>
      </c>
    </row>
    <row r="39" spans="1:17" s="34" customFormat="1" hidden="1" outlineLevel="1" x14ac:dyDescent="0.3">
      <c r="A39" s="35"/>
      <c r="B39" s="10" t="str">
        <f>CONCATENATE("          ","6008", " - ","STUDENT HOURLY-FICA EXEMPT")</f>
        <v xml:space="preserve">          6008 - STUDENT HOURLY-FICA EXEMPT</v>
      </c>
      <c r="C39" s="14"/>
      <c r="D39" s="2"/>
      <c r="E39" s="2">
        <v>4230.17</v>
      </c>
      <c r="F39" s="2">
        <v>9302.2999999999993</v>
      </c>
      <c r="G39" s="2">
        <v>12317.06</v>
      </c>
      <c r="H39" s="2">
        <v>6844.32</v>
      </c>
      <c r="I39" s="2">
        <v>6328.28</v>
      </c>
      <c r="J39" s="2">
        <v>6306.2803999999996</v>
      </c>
      <c r="K39" s="2">
        <v>10927.011200000001</v>
      </c>
      <c r="L39" s="2">
        <v>9415.8287999999993</v>
      </c>
      <c r="M39" s="2">
        <v>11551.826999999999</v>
      </c>
      <c r="N39" s="2">
        <v>5550.6891999999998</v>
      </c>
      <c r="O39" s="2">
        <v>4257.4657999999999</v>
      </c>
      <c r="P39" s="9"/>
      <c r="Q39" s="2">
        <f>SUM(OSRRefD21_1_7x)+IFERROR(SUM(OSRRefE21_1_7x),0)</f>
        <v>87031.232399999994</v>
      </c>
    </row>
    <row r="40" spans="1:17" s="34" customFormat="1" hidden="1" outlineLevel="1" x14ac:dyDescent="0.3">
      <c r="A40" s="35"/>
      <c r="B40" s="10" t="str">
        <f>CONCATENATE("          ","6009", " - ","TEMPORARY-SEASONAL")</f>
        <v xml:space="preserve">          6009 - TEMPORARY-SEASONAL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SUM(OSRRefD21_1_8x)+IFERROR(SUM(OSRRefE21_1_8x),0)</f>
        <v>0</v>
      </c>
    </row>
    <row r="41" spans="1:17" s="34" customFormat="1" hidden="1" outlineLevel="1" x14ac:dyDescent="0.3">
      <c r="A41" s="35"/>
      <c r="B41" s="10" t="str">
        <f>CONCATENATE("          ","6010", " - ","GRATUITY")</f>
        <v xml:space="preserve">          6010 - GRATUITY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SUM(OSRRefD21_1_9x)+IFERROR(SUM(OSRRefE21_1_9x),0)</f>
        <v>0</v>
      </c>
    </row>
    <row r="42" spans="1:17" s="34" customFormat="1" collapsed="1" x14ac:dyDescent="0.3">
      <c r="A42" s="35"/>
      <c r="B42" s="14" t="str">
        <f>CONCATENATE("     ","Advertising/Promo                                 ")</f>
        <v xml:space="preserve">     Advertising/Promo                                 </v>
      </c>
      <c r="C42" s="14"/>
      <c r="D42" s="1">
        <f>SUM(OSRRefD21_2x_0)</f>
        <v>0</v>
      </c>
      <c r="E42" s="1">
        <f>SUM(OSRRefE21_2x_0)</f>
        <v>0</v>
      </c>
      <c r="F42" s="1">
        <f>SUM(OSRRefE21_2x_1)</f>
        <v>0</v>
      </c>
      <c r="G42" s="1">
        <f>SUM(OSRRefE21_2x_2)</f>
        <v>0</v>
      </c>
      <c r="H42" s="1">
        <f>SUM(OSRRefE21_2x_3)</f>
        <v>0</v>
      </c>
      <c r="I42" s="1">
        <f>SUM(OSRRefE21_2x_4)</f>
        <v>0</v>
      </c>
      <c r="J42" s="1">
        <f>SUM(OSRRefE21_2x_5)</f>
        <v>0</v>
      </c>
      <c r="K42" s="1">
        <f>SUM(OSRRefE21_2x_6)</f>
        <v>0</v>
      </c>
      <c r="L42" s="1">
        <f>SUM(OSRRefE21_2x_7)</f>
        <v>0</v>
      </c>
      <c r="M42" s="1">
        <f>SUM(OSRRefE21_2x_8)</f>
        <v>0</v>
      </c>
      <c r="N42" s="1">
        <f>SUM(OSRRefE21_2x_9)</f>
        <v>0</v>
      </c>
      <c r="O42" s="1">
        <f>SUM(OSRRefE21_2x_10)</f>
        <v>0</v>
      </c>
      <c r="Q42" s="2">
        <f>SUM(OSRRefD20_2x)+IFERROR(SUM(OSRRefE20_2x),0)</f>
        <v>0</v>
      </c>
    </row>
    <row r="43" spans="1:17" s="34" customFormat="1" hidden="1" outlineLevel="1" x14ac:dyDescent="0.3">
      <c r="A43" s="35"/>
      <c r="B43" s="10" t="str">
        <f>CONCATENATE("          ","6362", " - ","ADVERTISING EXPENSE")</f>
        <v xml:space="preserve">          6362 - ADVERTISING EXPENSE</v>
      </c>
      <c r="C43" s="14"/>
      <c r="D43" s="2"/>
      <c r="E43" s="2">
        <v>0</v>
      </c>
      <c r="F43" s="2"/>
      <c r="G43" s="2">
        <v>0</v>
      </c>
      <c r="H43" s="2"/>
      <c r="I43" s="2"/>
      <c r="J43" s="2">
        <v>0</v>
      </c>
      <c r="K43" s="2"/>
      <c r="L43" s="2">
        <v>0</v>
      </c>
      <c r="M43" s="2"/>
      <c r="N43" s="2"/>
      <c r="O43" s="2"/>
      <c r="P43" s="9"/>
      <c r="Q43" s="2">
        <f>SUM(OSRRefD21_2_0x)+IFERROR(SUM(OSRRefE21_2_0x),0)</f>
        <v>0</v>
      </c>
    </row>
    <row r="44" spans="1:17" s="34" customFormat="1" collapsed="1" x14ac:dyDescent="0.3">
      <c r="A44" s="35"/>
      <c r="B44" s="14" t="str">
        <f>CONCATENATE("     ","Bad Debts/Over/Short                              ")</f>
        <v xml:space="preserve">     Bad Debts/Over/Short                              </v>
      </c>
      <c r="C44" s="14"/>
      <c r="D44" s="1">
        <f>SUM(OSRRefD21_3x_0)</f>
        <v>0</v>
      </c>
      <c r="E44" s="1">
        <f>SUM(OSRRefE21_3x_0)</f>
        <v>0</v>
      </c>
      <c r="F44" s="1">
        <f>SUM(OSRRefE21_3x_1)</f>
        <v>0</v>
      </c>
      <c r="G44" s="1">
        <f>SUM(OSRRefE21_3x_2)</f>
        <v>0</v>
      </c>
      <c r="H44" s="1">
        <f>SUM(OSRRefE21_3x_3)</f>
        <v>0</v>
      </c>
      <c r="I44" s="1">
        <f>SUM(OSRRefE21_3x_4)</f>
        <v>0</v>
      </c>
      <c r="J44" s="1">
        <f>SUM(OSRRefE21_3x_5)</f>
        <v>0</v>
      </c>
      <c r="K44" s="1">
        <f>SUM(OSRRefE21_3x_6)</f>
        <v>0</v>
      </c>
      <c r="L44" s="1">
        <f>SUM(OSRRefE21_3x_7)</f>
        <v>0</v>
      </c>
      <c r="M44" s="1">
        <f>SUM(OSRRefE21_3x_8)</f>
        <v>0</v>
      </c>
      <c r="N44" s="1">
        <f>SUM(OSRRefE21_3x_9)</f>
        <v>0</v>
      </c>
      <c r="O44" s="1">
        <f>SUM(OSRRefE21_3x_10)</f>
        <v>0</v>
      </c>
      <c r="Q44" s="2">
        <f>SUM(OSRRefD20_3x)+IFERROR(SUM(OSRRefE20_3x),0)</f>
        <v>0</v>
      </c>
    </row>
    <row r="45" spans="1:17" s="34" customFormat="1" hidden="1" outlineLevel="1" x14ac:dyDescent="0.3">
      <c r="A45" s="35"/>
      <c r="B45" s="10" t="str">
        <f>CONCATENATE("          ","6272", " - ","CASH (OVER/SHORT)")</f>
        <v xml:space="preserve">          6272 - CASH (OVER/SHORT)</v>
      </c>
      <c r="C45" s="14"/>
      <c r="D45" s="2"/>
      <c r="E45" s="2">
        <v>0</v>
      </c>
      <c r="F45" s="2"/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/>
      <c r="P45" s="9"/>
      <c r="Q45" s="2">
        <f>SUM(OSRRefD21_3_0x)+IFERROR(SUM(OSRRefE21_3_0x),0)</f>
        <v>0</v>
      </c>
    </row>
    <row r="46" spans="1:17" s="34" customFormat="1" collapsed="1" x14ac:dyDescent="0.3">
      <c r="A46" s="35"/>
      <c r="B46" s="14" t="str">
        <f>CONCATENATE("     ","Bank/card Fees                                    ")</f>
        <v xml:space="preserve">     Bank/card Fees                                    </v>
      </c>
      <c r="C46" s="14"/>
      <c r="D46" s="1">
        <f>SUM(OSRRefD21_4x_0)</f>
        <v>75.459999999999994</v>
      </c>
      <c r="E46" s="1">
        <f>SUM(OSRRefE21_4x_0)</f>
        <v>462.25</v>
      </c>
      <c r="F46" s="1">
        <f>SUM(OSRRefE21_4x_1)</f>
        <v>1664.5</v>
      </c>
      <c r="G46" s="1">
        <f>SUM(OSRRefE21_4x_2)</f>
        <v>2199.5</v>
      </c>
      <c r="H46" s="1">
        <f>SUM(OSRRefE21_4x_3)</f>
        <v>1178.5</v>
      </c>
      <c r="I46" s="1">
        <f>SUM(OSRRefE21_4x_4)</f>
        <v>1380</v>
      </c>
      <c r="J46" s="1">
        <f>SUM(OSRRefE21_4x_5)</f>
        <v>1529.5</v>
      </c>
      <c r="K46" s="1">
        <f>SUM(OSRRefE21_4x_6)</f>
        <v>4356</v>
      </c>
      <c r="L46" s="1">
        <f>SUM(OSRRefE21_4x_7)</f>
        <v>4175.25</v>
      </c>
      <c r="M46" s="1">
        <f>SUM(OSRRefE21_4x_8)</f>
        <v>4054.25</v>
      </c>
      <c r="N46" s="1">
        <f>SUM(OSRRefE21_4x_9)</f>
        <v>2778</v>
      </c>
      <c r="O46" s="1">
        <f>SUM(OSRRefE21_4x_10)</f>
        <v>681.5</v>
      </c>
      <c r="Q46" s="2">
        <f>SUM(OSRRefD20_4x)+IFERROR(SUM(OSRRefE20_4x),0)</f>
        <v>24534.71</v>
      </c>
    </row>
    <row r="47" spans="1:17" s="34" customFormat="1" hidden="1" outlineLevel="1" x14ac:dyDescent="0.3">
      <c r="A47" s="35"/>
      <c r="B47" s="10" t="str">
        <f>CONCATENATE("          ","6381", " - ","BANK/CREDIT CARD FEES")</f>
        <v xml:space="preserve">          6381 - BANK/CREDIT CARD FEES</v>
      </c>
      <c r="C47" s="14"/>
      <c r="D47" s="2">
        <v>75.459999999999994</v>
      </c>
      <c r="E47" s="2">
        <v>462.25</v>
      </c>
      <c r="F47" s="2">
        <v>1664.5</v>
      </c>
      <c r="G47" s="2">
        <v>2199.5</v>
      </c>
      <c r="H47" s="2">
        <v>1178.5</v>
      </c>
      <c r="I47" s="2">
        <v>1380</v>
      </c>
      <c r="J47" s="2">
        <v>1529.5</v>
      </c>
      <c r="K47" s="2">
        <v>4356</v>
      </c>
      <c r="L47" s="2">
        <v>4175.25</v>
      </c>
      <c r="M47" s="2">
        <v>4054.25</v>
      </c>
      <c r="N47" s="2">
        <v>2778</v>
      </c>
      <c r="O47" s="2">
        <v>681.5</v>
      </c>
      <c r="P47" s="9"/>
      <c r="Q47" s="2">
        <f>SUM(OSRRefD21_4_0x)+IFERROR(SUM(OSRRefE21_4_0x),0)</f>
        <v>24534.71</v>
      </c>
    </row>
    <row r="48" spans="1:17" s="34" customFormat="1" collapsed="1" x14ac:dyDescent="0.3">
      <c r="A48" s="35"/>
      <c r="B48" s="14" t="str">
        <f>CONCATENATE("     ","Depreciation                                      ")</f>
        <v xml:space="preserve">     Depreciation                                      </v>
      </c>
      <c r="C48" s="14"/>
      <c r="D48" s="1">
        <f>SUM(OSRRefD21_5x_0)</f>
        <v>7135.5400000000009</v>
      </c>
      <c r="E48" s="1">
        <f>SUM(OSRRefE21_5x_0)</f>
        <v>7134</v>
      </c>
      <c r="F48" s="1">
        <f>SUM(OSRRefE21_5x_1)</f>
        <v>7134</v>
      </c>
      <c r="G48" s="1">
        <f>SUM(OSRRefE21_5x_2)</f>
        <v>6324</v>
      </c>
      <c r="H48" s="1">
        <f>SUM(OSRRefE21_5x_3)</f>
        <v>6324</v>
      </c>
      <c r="I48" s="1">
        <f>SUM(OSRRefE21_5x_4)</f>
        <v>6324</v>
      </c>
      <c r="J48" s="1">
        <f>SUM(OSRRefE21_5x_5)</f>
        <v>6324</v>
      </c>
      <c r="K48" s="1">
        <f>SUM(OSRRefE21_5x_6)</f>
        <v>6324</v>
      </c>
      <c r="L48" s="1">
        <f>SUM(OSRRefE21_5x_7)</f>
        <v>6324</v>
      </c>
      <c r="M48" s="1">
        <f>SUM(OSRRefE21_5x_8)</f>
        <v>6324</v>
      </c>
      <c r="N48" s="1">
        <f>SUM(OSRRefE21_5x_9)</f>
        <v>6324</v>
      </c>
      <c r="O48" s="1">
        <f>SUM(OSRRefE21_5x_10)</f>
        <v>6166</v>
      </c>
      <c r="Q48" s="2">
        <f>SUM(OSRRefD20_5x)+IFERROR(SUM(OSRRefE20_5x),0)</f>
        <v>78161.540000000008</v>
      </c>
    </row>
    <row r="49" spans="1:17" s="34" customFormat="1" hidden="1" outlineLevel="1" x14ac:dyDescent="0.3">
      <c r="A49" s="35"/>
      <c r="B49" s="10" t="str">
        <f>CONCATENATE("          ","6321", " - ","BUILDING DEPRECIATION")</f>
        <v xml:space="preserve">          6321 - BUILDING DEPRECIATION</v>
      </c>
      <c r="C49" s="14"/>
      <c r="D49" s="2">
        <v>5080.51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2">
        <f>SUM(OSRRefD21_5_0x)+IFERROR(SUM(OSRRefE21_5_0x),0)</f>
        <v>5080.51</v>
      </c>
    </row>
    <row r="50" spans="1:17" s="34" customFormat="1" hidden="1" outlineLevel="1" x14ac:dyDescent="0.3">
      <c r="A50" s="35"/>
      <c r="B50" s="10" t="str">
        <f>CONCATENATE("          ","6322", " - ","EQUIPMENT DEPRECIATION EXPENSE")</f>
        <v xml:space="preserve">          6322 - EQUIPMENT DEPRECIATION EXPENSE</v>
      </c>
      <c r="C50" s="14"/>
      <c r="D50" s="2">
        <v>2055.0300000000002</v>
      </c>
      <c r="E50" s="2">
        <v>7134</v>
      </c>
      <c r="F50" s="2">
        <v>7134</v>
      </c>
      <c r="G50" s="2">
        <v>6324</v>
      </c>
      <c r="H50" s="2">
        <v>6324</v>
      </c>
      <c r="I50" s="2">
        <v>6324</v>
      </c>
      <c r="J50" s="2">
        <v>6324</v>
      </c>
      <c r="K50" s="2">
        <v>6324</v>
      </c>
      <c r="L50" s="2">
        <v>6324</v>
      </c>
      <c r="M50" s="2">
        <v>6324</v>
      </c>
      <c r="N50" s="2">
        <v>6324</v>
      </c>
      <c r="O50" s="2">
        <v>6166</v>
      </c>
      <c r="P50" s="9"/>
      <c r="Q50" s="2">
        <f>SUM(OSRRefD21_5_1x)+IFERROR(SUM(OSRRefE21_5_1x),0)</f>
        <v>73081.03</v>
      </c>
    </row>
    <row r="51" spans="1:17" s="34" customFormat="1" collapsed="1" x14ac:dyDescent="0.3">
      <c r="A51" s="35"/>
      <c r="B51" s="14" t="str">
        <f>CONCATENATE("     ","Employees' Appreciation                           ")</f>
        <v xml:space="preserve">     Employees' Appreciation                           </v>
      </c>
      <c r="C51" s="14"/>
      <c r="D51" s="1">
        <f>SUM(OSRRefD21_6x_0)</f>
        <v>0</v>
      </c>
      <c r="E51" s="1">
        <f>SUM(OSRRefE21_6x_0)</f>
        <v>0</v>
      </c>
      <c r="F51" s="1">
        <f>SUM(OSRRefE21_6x_1)</f>
        <v>0</v>
      </c>
      <c r="G51" s="1">
        <f>SUM(OSRRefE21_6x_2)</f>
        <v>0</v>
      </c>
      <c r="H51" s="1">
        <f>SUM(OSRRefE21_6x_3)</f>
        <v>0</v>
      </c>
      <c r="I51" s="1">
        <f>SUM(OSRRefE21_6x_4)</f>
        <v>50</v>
      </c>
      <c r="J51" s="1">
        <f>SUM(OSRRefE21_6x_5)</f>
        <v>0</v>
      </c>
      <c r="K51" s="1">
        <f>SUM(OSRRefE21_6x_6)</f>
        <v>0</v>
      </c>
      <c r="L51" s="1">
        <f>SUM(OSRRefE21_6x_7)</f>
        <v>0</v>
      </c>
      <c r="M51" s="1">
        <f>SUM(OSRRefE21_6x_8)</f>
        <v>0</v>
      </c>
      <c r="N51" s="1">
        <f>SUM(OSRRefE21_6x_9)</f>
        <v>50</v>
      </c>
      <c r="O51" s="1">
        <f>SUM(OSRRefE21_6x_10)</f>
        <v>0</v>
      </c>
      <c r="Q51" s="2">
        <f>SUM(OSRRefD20_6x)+IFERROR(SUM(OSRRefE20_6x),0)</f>
        <v>100</v>
      </c>
    </row>
    <row r="52" spans="1:17" s="34" customFormat="1" hidden="1" outlineLevel="1" x14ac:dyDescent="0.3">
      <c r="A52" s="35"/>
      <c r="B52" s="10" t="str">
        <f>CONCATENATE("          ","6277", " - ","EMPLOYEE APPRECIATION")</f>
        <v xml:space="preserve">          6277 - EMPLOYEE APPRECIATION</v>
      </c>
      <c r="C52" s="14"/>
      <c r="D52" s="2"/>
      <c r="E52" s="2"/>
      <c r="F52" s="2"/>
      <c r="G52" s="2"/>
      <c r="H52" s="2"/>
      <c r="I52" s="2">
        <v>50</v>
      </c>
      <c r="J52" s="2"/>
      <c r="K52" s="2"/>
      <c r="L52" s="2"/>
      <c r="M52" s="2"/>
      <c r="N52" s="2">
        <v>50</v>
      </c>
      <c r="O52" s="2"/>
      <c r="P52" s="9"/>
      <c r="Q52" s="2">
        <f>SUM(OSRRefD21_6_0x)+IFERROR(SUM(OSRRefE21_6_0x),0)</f>
        <v>100</v>
      </c>
    </row>
    <row r="53" spans="1:17" s="34" customFormat="1" collapsed="1" x14ac:dyDescent="0.3">
      <c r="A53" s="35"/>
      <c r="B53" s="14" t="str">
        <f>CONCATENATE("     ","Equipment Rental                                  ")</f>
        <v xml:space="preserve">     Equipment Rental                                  </v>
      </c>
      <c r="C53" s="14"/>
      <c r="D53" s="1">
        <f>SUM(OSRRefD21_7x_0)</f>
        <v>0</v>
      </c>
      <c r="E53" s="1">
        <f>SUM(OSRRefE21_7x_0)</f>
        <v>176</v>
      </c>
      <c r="F53" s="1">
        <f>SUM(OSRRefE21_7x_1)</f>
        <v>176</v>
      </c>
      <c r="G53" s="1">
        <f>SUM(OSRRefE21_7x_2)</f>
        <v>176</v>
      </c>
      <c r="H53" s="1">
        <f>SUM(OSRRefE21_7x_3)</f>
        <v>176</v>
      </c>
      <c r="I53" s="1">
        <f>SUM(OSRRefE21_7x_4)</f>
        <v>176</v>
      </c>
      <c r="J53" s="1">
        <f>SUM(OSRRefE21_7x_5)</f>
        <v>176</v>
      </c>
      <c r="K53" s="1">
        <f>SUM(OSRRefE21_7x_6)</f>
        <v>176</v>
      </c>
      <c r="L53" s="1">
        <f>SUM(OSRRefE21_7x_7)</f>
        <v>176</v>
      </c>
      <c r="M53" s="1">
        <f>SUM(OSRRefE21_7x_8)</f>
        <v>176</v>
      </c>
      <c r="N53" s="1">
        <f>SUM(OSRRefE21_7x_9)</f>
        <v>176</v>
      </c>
      <c r="O53" s="1">
        <f>SUM(OSRRefE21_7x_10)</f>
        <v>176</v>
      </c>
      <c r="Q53" s="2">
        <f>SUM(OSRRefD20_7x)+IFERROR(SUM(OSRRefE20_7x),0)</f>
        <v>1936</v>
      </c>
    </row>
    <row r="54" spans="1:17" s="34" customFormat="1" hidden="1" outlineLevel="1" x14ac:dyDescent="0.3">
      <c r="A54" s="35"/>
      <c r="B54" s="10" t="str">
        <f>CONCATENATE("          ","6351", " - ","EQUIPMENT RENTAL")</f>
        <v xml:space="preserve">          6351 - EQUIPMENT RENTAL</v>
      </c>
      <c r="C54" s="14"/>
      <c r="D54" s="2"/>
      <c r="E54" s="2">
        <v>176</v>
      </c>
      <c r="F54" s="2">
        <v>176</v>
      </c>
      <c r="G54" s="2">
        <v>176</v>
      </c>
      <c r="H54" s="2">
        <v>176</v>
      </c>
      <c r="I54" s="2">
        <v>176</v>
      </c>
      <c r="J54" s="2">
        <v>176</v>
      </c>
      <c r="K54" s="2">
        <v>176</v>
      </c>
      <c r="L54" s="2">
        <v>176</v>
      </c>
      <c r="M54" s="2">
        <v>176</v>
      </c>
      <c r="N54" s="2">
        <v>176</v>
      </c>
      <c r="O54" s="2">
        <v>176</v>
      </c>
      <c r="P54" s="9"/>
      <c r="Q54" s="2">
        <f>SUM(OSRRefD21_7_0x)+IFERROR(SUM(OSRRefE21_7_0x),0)</f>
        <v>1936</v>
      </c>
    </row>
    <row r="55" spans="1:17" s="34" customFormat="1" collapsed="1" x14ac:dyDescent="0.3">
      <c r="A55" s="35"/>
      <c r="B55" s="14" t="str">
        <f>CONCATENATE("     ","General                                           ")</f>
        <v xml:space="preserve">     General                                           </v>
      </c>
      <c r="C55" s="14"/>
      <c r="D55" s="1">
        <f>SUM(OSRRefD21_8x_0)</f>
        <v>0</v>
      </c>
      <c r="E55" s="1">
        <f>SUM(OSRRefE21_8x_0)</f>
        <v>0</v>
      </c>
      <c r="F55" s="1">
        <f>SUM(OSRRefE21_8x_1)</f>
        <v>300</v>
      </c>
      <c r="G55" s="1">
        <f>SUM(OSRRefE21_8x_2)</f>
        <v>0</v>
      </c>
      <c r="H55" s="1">
        <f>SUM(OSRRefE21_8x_3)</f>
        <v>0</v>
      </c>
      <c r="I55" s="1">
        <f>SUM(OSRRefE21_8x_4)</f>
        <v>910</v>
      </c>
      <c r="J55" s="1">
        <f>SUM(OSRRefE21_8x_5)</f>
        <v>0</v>
      </c>
      <c r="K55" s="1">
        <f>SUM(OSRRefE21_8x_6)</f>
        <v>0</v>
      </c>
      <c r="L55" s="1">
        <f>SUM(OSRRefE21_8x_7)</f>
        <v>0</v>
      </c>
      <c r="M55" s="1">
        <f>SUM(OSRRefE21_8x_8)</f>
        <v>0</v>
      </c>
      <c r="N55" s="1">
        <f>SUM(OSRRefE21_8x_9)</f>
        <v>0</v>
      </c>
      <c r="O55" s="1">
        <f>SUM(OSRRefE21_8x_10)</f>
        <v>0</v>
      </c>
      <c r="Q55" s="2">
        <f>SUM(OSRRefD20_8x)+IFERROR(SUM(OSRRefE20_8x),0)</f>
        <v>1210</v>
      </c>
    </row>
    <row r="56" spans="1:17" s="34" customFormat="1" hidden="1" outlineLevel="1" x14ac:dyDescent="0.3">
      <c r="A56" s="35"/>
      <c r="B56" s="10" t="str">
        <f>CONCATENATE("          ","6279", " - ","GENERAL EXPENSE")</f>
        <v xml:space="preserve">          6279 - GENERAL EXPENSE</v>
      </c>
      <c r="C56" s="14"/>
      <c r="D56" s="2"/>
      <c r="E56" s="2"/>
      <c r="F56" s="2">
        <v>300</v>
      </c>
      <c r="G56" s="2"/>
      <c r="H56" s="2"/>
      <c r="I56" s="2">
        <v>910</v>
      </c>
      <c r="J56" s="2"/>
      <c r="K56" s="2"/>
      <c r="L56" s="2"/>
      <c r="M56" s="2"/>
      <c r="N56" s="2"/>
      <c r="O56" s="2"/>
      <c r="P56" s="9"/>
      <c r="Q56" s="2">
        <f>SUM(OSRRefD21_8_0x)+IFERROR(SUM(OSRRefE21_8_0x),0)</f>
        <v>1210</v>
      </c>
    </row>
    <row r="57" spans="1:17" s="34" customFormat="1" collapsed="1" x14ac:dyDescent="0.3">
      <c r="A57" s="35"/>
      <c r="B57" s="14" t="str">
        <f>CONCATENATE("     ","Insurance                                         ")</f>
        <v xml:space="preserve">     Insurance                                         </v>
      </c>
      <c r="C57" s="14"/>
      <c r="D57" s="1">
        <f>SUM(OSRRefD21_9x_0)</f>
        <v>331.01</v>
      </c>
      <c r="E57" s="1">
        <f>SUM(OSRRefE21_9x_0)</f>
        <v>330</v>
      </c>
      <c r="F57" s="1">
        <f>SUM(OSRRefE21_9x_1)</f>
        <v>330</v>
      </c>
      <c r="G57" s="1">
        <f>SUM(OSRRefE21_9x_2)</f>
        <v>330</v>
      </c>
      <c r="H57" s="1">
        <f>SUM(OSRRefE21_9x_3)</f>
        <v>330</v>
      </c>
      <c r="I57" s="1">
        <f>SUM(OSRRefE21_9x_4)</f>
        <v>330</v>
      </c>
      <c r="J57" s="1">
        <f>SUM(OSRRefE21_9x_5)</f>
        <v>330</v>
      </c>
      <c r="K57" s="1">
        <f>SUM(OSRRefE21_9x_6)</f>
        <v>330</v>
      </c>
      <c r="L57" s="1">
        <f>SUM(OSRRefE21_9x_7)</f>
        <v>330</v>
      </c>
      <c r="M57" s="1">
        <f>SUM(OSRRefE21_9x_8)</f>
        <v>330</v>
      </c>
      <c r="N57" s="1">
        <f>SUM(OSRRefE21_9x_9)</f>
        <v>330</v>
      </c>
      <c r="O57" s="1">
        <f>SUM(OSRRefE21_9x_10)</f>
        <v>330</v>
      </c>
      <c r="Q57" s="2">
        <f>SUM(OSRRefD20_9x)+IFERROR(SUM(OSRRefE20_9x),0)</f>
        <v>3961.01</v>
      </c>
    </row>
    <row r="58" spans="1:17" s="34" customFormat="1" hidden="1" outlineLevel="1" x14ac:dyDescent="0.3">
      <c r="A58" s="35"/>
      <c r="B58" s="10" t="str">
        <f>CONCATENATE("          ","6314", " - ","LIABILITY INSURANCE")</f>
        <v xml:space="preserve">          6314 - LIABILITY INSURANCE</v>
      </c>
      <c r="C58" s="14"/>
      <c r="D58" s="2">
        <v>331.01</v>
      </c>
      <c r="E58" s="2">
        <v>330</v>
      </c>
      <c r="F58" s="2">
        <v>330</v>
      </c>
      <c r="G58" s="2">
        <v>330</v>
      </c>
      <c r="H58" s="2">
        <v>330</v>
      </c>
      <c r="I58" s="2">
        <v>330</v>
      </c>
      <c r="J58" s="2">
        <v>330</v>
      </c>
      <c r="K58" s="2">
        <v>330</v>
      </c>
      <c r="L58" s="2">
        <v>330</v>
      </c>
      <c r="M58" s="2">
        <v>330</v>
      </c>
      <c r="N58" s="2">
        <v>330</v>
      </c>
      <c r="O58" s="2">
        <v>330</v>
      </c>
      <c r="P58" s="9"/>
      <c r="Q58" s="2">
        <f>SUM(OSRRefD21_9_0x)+IFERROR(SUM(OSRRefE21_9_0x),0)</f>
        <v>3961.01</v>
      </c>
    </row>
    <row r="59" spans="1:17" s="34" customFormat="1" collapsed="1" x14ac:dyDescent="0.3">
      <c r="A59" s="35"/>
      <c r="B59" s="14" t="str">
        <f>CONCATENATE("     ","Interest                                          ")</f>
        <v xml:space="preserve">     Interest                                          </v>
      </c>
      <c r="C59" s="14"/>
      <c r="D59" s="1">
        <f>SUM(OSRRefD21_10x_0)</f>
        <v>3905</v>
      </c>
      <c r="E59" s="1">
        <f>SUM(OSRRefE21_10x_0)</f>
        <v>3905</v>
      </c>
      <c r="F59" s="1">
        <f>SUM(OSRRefE21_10x_1)</f>
        <v>3905</v>
      </c>
      <c r="G59" s="1">
        <f>SUM(OSRRefE21_10x_2)</f>
        <v>3905</v>
      </c>
      <c r="H59" s="1">
        <f>SUM(OSRRefE21_10x_3)</f>
        <v>3905</v>
      </c>
      <c r="I59" s="1">
        <f>SUM(OSRRefE21_10x_4)</f>
        <v>3905</v>
      </c>
      <c r="J59" s="1">
        <f>SUM(OSRRefE21_10x_5)</f>
        <v>3905</v>
      </c>
      <c r="K59" s="1">
        <f>SUM(OSRRefE21_10x_6)</f>
        <v>3905</v>
      </c>
      <c r="L59" s="1">
        <f>SUM(OSRRefE21_10x_7)</f>
        <v>3905</v>
      </c>
      <c r="M59" s="1">
        <f>SUM(OSRRefE21_10x_8)</f>
        <v>3905</v>
      </c>
      <c r="N59" s="1">
        <f>SUM(OSRRefE21_10x_9)</f>
        <v>3760</v>
      </c>
      <c r="O59" s="1">
        <f>SUM(OSRRefE21_10x_10)</f>
        <v>3760</v>
      </c>
      <c r="Q59" s="2">
        <f>SUM(OSRRefD20_10x)+IFERROR(SUM(OSRRefE20_10x),0)</f>
        <v>46570</v>
      </c>
    </row>
    <row r="60" spans="1:17" s="34" customFormat="1" hidden="1" outlineLevel="1" x14ac:dyDescent="0.3">
      <c r="A60" s="35"/>
      <c r="B60" s="10" t="str">
        <f>CONCATENATE("          ","6401", " - ","INTEREST EXPENSE")</f>
        <v xml:space="preserve">          6401 - INTEREST EXPENSE</v>
      </c>
      <c r="C60" s="14"/>
      <c r="D60" s="2">
        <v>3905</v>
      </c>
      <c r="E60" s="2">
        <v>3905</v>
      </c>
      <c r="F60" s="2">
        <v>3905</v>
      </c>
      <c r="G60" s="2">
        <v>3905</v>
      </c>
      <c r="H60" s="2">
        <v>3905</v>
      </c>
      <c r="I60" s="2">
        <v>3905</v>
      </c>
      <c r="J60" s="2">
        <v>3905</v>
      </c>
      <c r="K60" s="2">
        <v>3905</v>
      </c>
      <c r="L60" s="2">
        <v>3905</v>
      </c>
      <c r="M60" s="2">
        <v>3905</v>
      </c>
      <c r="N60" s="2">
        <v>3760</v>
      </c>
      <c r="O60" s="2">
        <v>3760</v>
      </c>
      <c r="P60" s="9"/>
      <c r="Q60" s="2">
        <f>SUM(OSRRefD21_10_0x)+IFERROR(SUM(OSRRefE21_10_0x),0)</f>
        <v>46570</v>
      </c>
    </row>
    <row r="61" spans="1:17" s="34" customFormat="1" collapsed="1" x14ac:dyDescent="0.3">
      <c r="A61" s="35"/>
      <c r="B61" s="14" t="str">
        <f>CONCATENATE("     ","Repair and Maintenance                            ")</f>
        <v xml:space="preserve">     Repair and Maintenance                            </v>
      </c>
      <c r="C61" s="14"/>
      <c r="D61" s="1">
        <f>SUM(OSRRefD21_11x_0)</f>
        <v>0</v>
      </c>
      <c r="E61" s="1">
        <f>SUM(OSRRefE21_11x_0)</f>
        <v>776</v>
      </c>
      <c r="F61" s="1">
        <f>SUM(OSRRefE21_11x_1)</f>
        <v>3208</v>
      </c>
      <c r="G61" s="1">
        <f>SUM(OSRRefE21_11x_2)</f>
        <v>365</v>
      </c>
      <c r="H61" s="1">
        <f>SUM(OSRRefE21_11x_3)</f>
        <v>215</v>
      </c>
      <c r="I61" s="1">
        <f>SUM(OSRRefE21_11x_4)</f>
        <v>353</v>
      </c>
      <c r="J61" s="1">
        <f>SUM(OSRRefE21_11x_5)</f>
        <v>365</v>
      </c>
      <c r="K61" s="1">
        <f>SUM(OSRRefE21_11x_6)</f>
        <v>215</v>
      </c>
      <c r="L61" s="1">
        <f>SUM(OSRRefE21_11x_7)</f>
        <v>353</v>
      </c>
      <c r="M61" s="1">
        <f>SUM(OSRRefE21_11x_8)</f>
        <v>365</v>
      </c>
      <c r="N61" s="1">
        <f>SUM(OSRRefE21_11x_9)</f>
        <v>215</v>
      </c>
      <c r="O61" s="1">
        <f>SUM(OSRRefE21_11x_10)</f>
        <v>215</v>
      </c>
      <c r="Q61" s="2">
        <f>SUM(OSRRefD20_11x)+IFERROR(SUM(OSRRefE20_11x),0)</f>
        <v>6645</v>
      </c>
    </row>
    <row r="62" spans="1:17" s="34" customFormat="1" hidden="1" outlineLevel="1" x14ac:dyDescent="0.3">
      <c r="A62" s="35"/>
      <c r="B62" s="10" t="str">
        <f>CONCATENATE("          ","6371", " - ","COMPUTER SOFTWARE MAINTENANCE")</f>
        <v xml:space="preserve">          6371 - COMPUTER SOFTWARE MAINTENANCE</v>
      </c>
      <c r="C62" s="14"/>
      <c r="D62" s="2"/>
      <c r="E62" s="2"/>
      <c r="F62" s="2">
        <v>2623</v>
      </c>
      <c r="G62" s="2"/>
      <c r="H62" s="2"/>
      <c r="I62" s="2"/>
      <c r="J62" s="2"/>
      <c r="K62" s="2"/>
      <c r="L62" s="2"/>
      <c r="M62" s="2"/>
      <c r="N62" s="2"/>
      <c r="O62" s="2"/>
      <c r="P62" s="9"/>
      <c r="Q62" s="2">
        <f>SUM(OSRRefD21_11_0x)+IFERROR(SUM(OSRRefE21_11_0x),0)</f>
        <v>2623</v>
      </c>
    </row>
    <row r="63" spans="1:17" s="34" customFormat="1" hidden="1" outlineLevel="1" x14ac:dyDescent="0.3">
      <c r="A63" s="35"/>
      <c r="B63" s="10" t="str">
        <f>CONCATENATE("          ","6373", " - ","MAINTENANCE CONTRACTS")</f>
        <v xml:space="preserve">          6373 - MAINTENANCE CONTRACTS</v>
      </c>
      <c r="C63" s="14"/>
      <c r="D63" s="2"/>
      <c r="E63" s="2"/>
      <c r="F63" s="2">
        <v>138</v>
      </c>
      <c r="G63" s="2">
        <v>150</v>
      </c>
      <c r="H63" s="2"/>
      <c r="I63" s="2">
        <v>138</v>
      </c>
      <c r="J63" s="2">
        <v>150</v>
      </c>
      <c r="K63" s="2"/>
      <c r="L63" s="2">
        <v>138</v>
      </c>
      <c r="M63" s="2">
        <v>150</v>
      </c>
      <c r="N63" s="2"/>
      <c r="O63" s="2"/>
      <c r="P63" s="9"/>
      <c r="Q63" s="2">
        <f>SUM(OSRRefD21_11_1x)+IFERROR(SUM(OSRRefE21_11_1x),0)</f>
        <v>864</v>
      </c>
    </row>
    <row r="64" spans="1:17" s="34" customFormat="1" hidden="1" outlineLevel="1" x14ac:dyDescent="0.3">
      <c r="A64" s="35"/>
      <c r="B64" s="10" t="str">
        <f>CONCATENATE("          ","6375", " - ","OUTSIDE REPAIRS &amp; MAINTENANCE")</f>
        <v xml:space="preserve">          6375 - OUTSIDE REPAIRS &amp; MAINTENANCE</v>
      </c>
      <c r="C64" s="14"/>
      <c r="D64" s="2"/>
      <c r="E64" s="2">
        <v>776</v>
      </c>
      <c r="F64" s="2">
        <v>447</v>
      </c>
      <c r="G64" s="2">
        <v>215</v>
      </c>
      <c r="H64" s="2">
        <v>215</v>
      </c>
      <c r="I64" s="2">
        <v>215</v>
      </c>
      <c r="J64" s="2">
        <v>215</v>
      </c>
      <c r="K64" s="2">
        <v>215</v>
      </c>
      <c r="L64" s="2">
        <v>215</v>
      </c>
      <c r="M64" s="2">
        <v>215</v>
      </c>
      <c r="N64" s="2">
        <v>215</v>
      </c>
      <c r="O64" s="2">
        <v>215</v>
      </c>
      <c r="P64" s="9"/>
      <c r="Q64" s="2">
        <f>SUM(OSRRefD21_11_2x)+IFERROR(SUM(OSRRefE21_11_2x),0)</f>
        <v>3158</v>
      </c>
    </row>
    <row r="65" spans="1:17" s="34" customFormat="1" collapsed="1" x14ac:dyDescent="0.3">
      <c r="A65" s="35"/>
      <c r="B65" s="14" t="str">
        <f>CONCATENATE("     ","Royalty &amp; Commissions                             ")</f>
        <v xml:space="preserve">     Royalty &amp; Commissions                             </v>
      </c>
      <c r="C65" s="14"/>
      <c r="D65" s="1">
        <f>SUM(OSRRefD21_12x_0)</f>
        <v>0</v>
      </c>
      <c r="E65" s="1">
        <f>SUM(OSRRefE21_12x_0)</f>
        <v>405</v>
      </c>
      <c r="F65" s="1">
        <f>SUM(OSRRefE21_12x_1)</f>
        <v>1224</v>
      </c>
      <c r="G65" s="1">
        <f>SUM(OSRRefE21_12x_2)</f>
        <v>1382</v>
      </c>
      <c r="H65" s="1">
        <f>SUM(OSRRefE21_12x_3)</f>
        <v>649</v>
      </c>
      <c r="I65" s="1">
        <f>SUM(OSRRefE21_12x_4)</f>
        <v>612</v>
      </c>
      <c r="J65" s="1">
        <f>SUM(OSRRefE21_12x_5)</f>
        <v>949</v>
      </c>
      <c r="K65" s="1">
        <f>SUM(OSRRefE21_12x_6)</f>
        <v>2644</v>
      </c>
      <c r="L65" s="1">
        <f>SUM(OSRRefE21_12x_7)</f>
        <v>2496</v>
      </c>
      <c r="M65" s="1">
        <f>SUM(OSRRefE21_12x_8)</f>
        <v>2234</v>
      </c>
      <c r="N65" s="1">
        <f>SUM(OSRRefE21_12x_9)</f>
        <v>1239</v>
      </c>
      <c r="O65" s="1">
        <f>SUM(OSRRefE21_12x_10)</f>
        <v>336</v>
      </c>
      <c r="Q65" s="2">
        <f>SUM(OSRRefD20_12x)+IFERROR(SUM(OSRRefE20_12x),0)</f>
        <v>14170</v>
      </c>
    </row>
    <row r="66" spans="1:17" s="34" customFormat="1" hidden="1" outlineLevel="1" x14ac:dyDescent="0.3">
      <c r="A66" s="35"/>
      <c r="B66" s="10" t="str">
        <f>CONCATENATE("          ","6259", " - ","ROYALTY &amp; COMMISSIONS")</f>
        <v xml:space="preserve">          6259 - ROYALTY &amp; COMMISSIONS</v>
      </c>
      <c r="C66" s="14"/>
      <c r="D66" s="2"/>
      <c r="E66" s="2">
        <v>405</v>
      </c>
      <c r="F66" s="2">
        <v>1224</v>
      </c>
      <c r="G66" s="2">
        <v>1382</v>
      </c>
      <c r="H66" s="2">
        <v>649</v>
      </c>
      <c r="I66" s="2">
        <v>612</v>
      </c>
      <c r="J66" s="2">
        <v>949</v>
      </c>
      <c r="K66" s="2">
        <v>2644</v>
      </c>
      <c r="L66" s="2">
        <v>2496</v>
      </c>
      <c r="M66" s="2">
        <v>2234</v>
      </c>
      <c r="N66" s="2">
        <v>1239</v>
      </c>
      <c r="O66" s="2">
        <v>336</v>
      </c>
      <c r="P66" s="9"/>
      <c r="Q66" s="2">
        <f>SUM(OSRRefD21_12_0x)+IFERROR(SUM(OSRRefE21_12_0x),0)</f>
        <v>14170</v>
      </c>
    </row>
    <row r="67" spans="1:17" s="34" customFormat="1" collapsed="1" x14ac:dyDescent="0.3">
      <c r="A67" s="35"/>
      <c r="B67" s="14" t="str">
        <f>CONCATENATE("     ","Services                                          ")</f>
        <v xml:space="preserve">     Services                                          </v>
      </c>
      <c r="C67" s="14"/>
      <c r="D67" s="1">
        <f>SUM(OSRRefD21_13x_0)</f>
        <v>151.85</v>
      </c>
      <c r="E67" s="1">
        <f>SUM(OSRRefE21_13x_0)</f>
        <v>301</v>
      </c>
      <c r="F67" s="1">
        <f>SUM(OSRRefE21_13x_1)</f>
        <v>292</v>
      </c>
      <c r="G67" s="1">
        <f>SUM(OSRRefE21_13x_2)</f>
        <v>292</v>
      </c>
      <c r="H67" s="1">
        <f>SUM(OSRRefE21_13x_3)</f>
        <v>292</v>
      </c>
      <c r="I67" s="1">
        <f>SUM(OSRRefE21_13x_4)</f>
        <v>292</v>
      </c>
      <c r="J67" s="1">
        <f>SUM(OSRRefE21_13x_5)</f>
        <v>292</v>
      </c>
      <c r="K67" s="1">
        <f>SUM(OSRRefE21_13x_6)</f>
        <v>292</v>
      </c>
      <c r="L67" s="1">
        <f>SUM(OSRRefE21_13x_7)</f>
        <v>292</v>
      </c>
      <c r="M67" s="1">
        <f>SUM(OSRRefE21_13x_8)</f>
        <v>292</v>
      </c>
      <c r="N67" s="1">
        <f>SUM(OSRRefE21_13x_9)</f>
        <v>292</v>
      </c>
      <c r="O67" s="1">
        <f>SUM(OSRRefE21_13x_10)</f>
        <v>292</v>
      </c>
      <c r="Q67" s="2">
        <f>SUM(OSRRefD20_13x)+IFERROR(SUM(OSRRefE20_13x),0)</f>
        <v>3372.85</v>
      </c>
    </row>
    <row r="68" spans="1:17" s="34" customFormat="1" hidden="1" outlineLevel="1" x14ac:dyDescent="0.3">
      <c r="A68" s="35"/>
      <c r="B68" s="10" t="str">
        <f>CONCATENATE("          ","6282", " - ","JANITORIAL/EXTERMINATOR EXPENS")</f>
        <v xml:space="preserve">          6282 - JANITORIAL/EXTERMINATOR EXPENS</v>
      </c>
      <c r="C68" s="14"/>
      <c r="D68" s="2">
        <v>151.85</v>
      </c>
      <c r="E68" s="2">
        <v>258</v>
      </c>
      <c r="F68" s="2">
        <v>258</v>
      </c>
      <c r="G68" s="2">
        <v>258</v>
      </c>
      <c r="H68" s="2">
        <v>258</v>
      </c>
      <c r="I68" s="2">
        <v>258</v>
      </c>
      <c r="J68" s="2">
        <v>258</v>
      </c>
      <c r="K68" s="2">
        <v>258</v>
      </c>
      <c r="L68" s="2">
        <v>258</v>
      </c>
      <c r="M68" s="2">
        <v>258</v>
      </c>
      <c r="N68" s="2">
        <v>258</v>
      </c>
      <c r="O68" s="2">
        <v>258</v>
      </c>
      <c r="P68" s="9"/>
      <c r="Q68" s="2">
        <f>SUM(OSRRefD21_13_0x)+IFERROR(SUM(OSRRefE21_13_0x),0)</f>
        <v>2989.85</v>
      </c>
    </row>
    <row r="69" spans="1:17" s="34" customFormat="1" hidden="1" outlineLevel="1" x14ac:dyDescent="0.3">
      <c r="A69" s="35"/>
      <c r="B69" s="10" t="str">
        <f>CONCATENATE("          ","6286", " - ","LAUNDRY EXPENSE")</f>
        <v xml:space="preserve">          6286 - LAUNDRY EXPENSE</v>
      </c>
      <c r="C69" s="14"/>
      <c r="D69" s="2"/>
      <c r="E69" s="2">
        <v>43</v>
      </c>
      <c r="F69" s="2">
        <v>34</v>
      </c>
      <c r="G69" s="2">
        <v>34</v>
      </c>
      <c r="H69" s="2">
        <v>34</v>
      </c>
      <c r="I69" s="2">
        <v>34</v>
      </c>
      <c r="J69" s="2">
        <v>34</v>
      </c>
      <c r="K69" s="2">
        <v>34</v>
      </c>
      <c r="L69" s="2">
        <v>34</v>
      </c>
      <c r="M69" s="2">
        <v>34</v>
      </c>
      <c r="N69" s="2">
        <v>34</v>
      </c>
      <c r="O69" s="2">
        <v>34</v>
      </c>
      <c r="P69" s="9"/>
      <c r="Q69" s="2">
        <f>SUM(OSRRefD21_13_1x)+IFERROR(SUM(OSRRefE21_13_1x),0)</f>
        <v>383</v>
      </c>
    </row>
    <row r="70" spans="1:17" s="34" customFormat="1" collapsed="1" x14ac:dyDescent="0.3">
      <c r="A70" s="35"/>
      <c r="B70" s="14" t="str">
        <f>CONCATENATE("     ","Supplies                                          ")</f>
        <v xml:space="preserve">     Supplies                                          </v>
      </c>
      <c r="C70" s="14"/>
      <c r="D70" s="1">
        <f>SUM(OSRRefD21_14x_0)</f>
        <v>112.24</v>
      </c>
      <c r="E70" s="1">
        <f>SUM(OSRRefE21_14x_0)</f>
        <v>2450</v>
      </c>
      <c r="F70" s="1">
        <f>SUM(OSRRefE21_14x_1)</f>
        <v>2550</v>
      </c>
      <c r="G70" s="1">
        <f>SUM(OSRRefE21_14x_2)</f>
        <v>3400</v>
      </c>
      <c r="H70" s="1">
        <f>SUM(OSRRefE21_14x_3)</f>
        <v>1500</v>
      </c>
      <c r="I70" s="1">
        <f>SUM(OSRRefE21_14x_4)</f>
        <v>950</v>
      </c>
      <c r="J70" s="1">
        <f>SUM(OSRRefE21_14x_5)</f>
        <v>2150</v>
      </c>
      <c r="K70" s="1">
        <f>SUM(OSRRefE21_14x_6)</f>
        <v>2800</v>
      </c>
      <c r="L70" s="1">
        <f>SUM(OSRRefE21_14x_7)</f>
        <v>1300</v>
      </c>
      <c r="M70" s="1">
        <f>SUM(OSRRefE21_14x_8)</f>
        <v>1550</v>
      </c>
      <c r="N70" s="1">
        <f>SUM(OSRRefE21_14x_9)</f>
        <v>1700</v>
      </c>
      <c r="O70" s="1">
        <f>SUM(OSRRefE21_14x_10)</f>
        <v>500</v>
      </c>
      <c r="Q70" s="2">
        <f>SUM(OSRRefD20_14x)+IFERROR(SUM(OSRRefE20_14x),0)</f>
        <v>20962.240000000002</v>
      </c>
    </row>
    <row r="71" spans="1:17" s="34" customFormat="1" hidden="1" outlineLevel="1" x14ac:dyDescent="0.3">
      <c r="A71" s="35"/>
      <c r="B71" s="10" t="str">
        <f>CONCATENATE("          ","6234", " - ","EXPENDABLE SUPPLIES &amp; EQUIPMEN")</f>
        <v xml:space="preserve">          6234 - EXPENDABLE SUPPLIES &amp; EQUIPMEN</v>
      </c>
      <c r="C71" s="14"/>
      <c r="D71" s="2"/>
      <c r="E71" s="2">
        <v>200</v>
      </c>
      <c r="F71" s="2">
        <v>50</v>
      </c>
      <c r="G71" s="2">
        <v>50</v>
      </c>
      <c r="H71" s="2">
        <v>50</v>
      </c>
      <c r="I71" s="2">
        <v>50</v>
      </c>
      <c r="J71" s="2">
        <v>200</v>
      </c>
      <c r="K71" s="2">
        <v>50</v>
      </c>
      <c r="L71" s="2">
        <v>50</v>
      </c>
      <c r="M71" s="2">
        <v>50</v>
      </c>
      <c r="N71" s="2">
        <v>50</v>
      </c>
      <c r="O71" s="2">
        <v>50</v>
      </c>
      <c r="P71" s="9"/>
      <c r="Q71" s="2">
        <f>SUM(OSRRefD21_14_0x)+IFERROR(SUM(OSRRefE21_14_0x),0)</f>
        <v>850</v>
      </c>
    </row>
    <row r="72" spans="1:17" s="34" customFormat="1" hidden="1" outlineLevel="1" x14ac:dyDescent="0.3">
      <c r="A72" s="35"/>
      <c r="B72" s="10" t="str">
        <f>CONCATENATE("          ","6237", " - ","JANITORIAL SUPPLIES")</f>
        <v xml:space="preserve">          6237 - JANITORIAL SUPPLIES</v>
      </c>
      <c r="C72" s="14"/>
      <c r="D72" s="2"/>
      <c r="E72" s="2">
        <v>50</v>
      </c>
      <c r="F72" s="2">
        <v>0</v>
      </c>
      <c r="G72" s="2">
        <v>50</v>
      </c>
      <c r="H72" s="2">
        <v>0</v>
      </c>
      <c r="I72" s="2">
        <v>0</v>
      </c>
      <c r="J72" s="2">
        <v>50</v>
      </c>
      <c r="K72" s="2">
        <v>50</v>
      </c>
      <c r="L72" s="2">
        <v>0</v>
      </c>
      <c r="M72" s="2">
        <v>50</v>
      </c>
      <c r="N72" s="2">
        <v>0</v>
      </c>
      <c r="O72" s="2">
        <v>0</v>
      </c>
      <c r="P72" s="9"/>
      <c r="Q72" s="2">
        <f>SUM(OSRRefD21_14_1x)+IFERROR(SUM(OSRRefE21_14_1x),0)</f>
        <v>250</v>
      </c>
    </row>
    <row r="73" spans="1:17" s="34" customFormat="1" hidden="1" outlineLevel="1" x14ac:dyDescent="0.3">
      <c r="A73" s="35"/>
      <c r="B73" s="10" t="str">
        <f>CONCATENATE("          ","6241", " - ","OFFICE EXPENSE")</f>
        <v xml:space="preserve">          6241 - OFFICE EXPENSE</v>
      </c>
      <c r="C73" s="14"/>
      <c r="D73" s="2">
        <v>112.24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2">
        <f>SUM(OSRRefD21_14_2x)+IFERROR(SUM(OSRRefE21_14_2x),0)</f>
        <v>112.24</v>
      </c>
    </row>
    <row r="74" spans="1:17" s="34" customFormat="1" hidden="1" outlineLevel="1" x14ac:dyDescent="0.3">
      <c r="A74" s="35"/>
      <c r="B74" s="10" t="str">
        <f>CONCATENATE("          ","6243", " - ","PAPER SUPPLIES")</f>
        <v xml:space="preserve">          6243 - PAPER SUPPLIES</v>
      </c>
      <c r="C74" s="14"/>
      <c r="D74" s="2"/>
      <c r="E74" s="2">
        <v>200</v>
      </c>
      <c r="F74" s="2">
        <v>200</v>
      </c>
      <c r="G74" s="2">
        <v>200</v>
      </c>
      <c r="H74" s="2">
        <v>200</v>
      </c>
      <c r="I74" s="2">
        <v>200</v>
      </c>
      <c r="J74" s="2">
        <v>200</v>
      </c>
      <c r="K74" s="2">
        <v>200</v>
      </c>
      <c r="L74" s="2">
        <v>200</v>
      </c>
      <c r="M74" s="2">
        <v>200</v>
      </c>
      <c r="N74" s="2">
        <v>200</v>
      </c>
      <c r="O74" s="2">
        <v>200</v>
      </c>
      <c r="P74" s="9"/>
      <c r="Q74" s="2">
        <f>SUM(OSRRefD21_14_3x)+IFERROR(SUM(OSRRefE21_14_3x),0)</f>
        <v>2200</v>
      </c>
    </row>
    <row r="75" spans="1:17" s="34" customFormat="1" hidden="1" outlineLevel="1" x14ac:dyDescent="0.3">
      <c r="A75" s="35"/>
      <c r="B75" s="10" t="str">
        <f>CONCATENATE("          ","6247", " - ","STORE SUPPLIES")</f>
        <v xml:space="preserve">          6247 - STORE SUPPLIES</v>
      </c>
      <c r="C75" s="14"/>
      <c r="D75" s="2"/>
      <c r="E75" s="2">
        <v>2000</v>
      </c>
      <c r="F75" s="2">
        <v>2300</v>
      </c>
      <c r="G75" s="2">
        <v>3100</v>
      </c>
      <c r="H75" s="2">
        <v>1250</v>
      </c>
      <c r="I75" s="2">
        <v>700</v>
      </c>
      <c r="J75" s="2">
        <v>1700</v>
      </c>
      <c r="K75" s="2">
        <v>2500</v>
      </c>
      <c r="L75" s="2">
        <v>1050</v>
      </c>
      <c r="M75" s="2">
        <v>1250</v>
      </c>
      <c r="N75" s="2">
        <v>1450</v>
      </c>
      <c r="O75" s="2">
        <v>250</v>
      </c>
      <c r="P75" s="9"/>
      <c r="Q75" s="2">
        <f>SUM(OSRRefD21_14_4x)+IFERROR(SUM(OSRRefE21_14_4x),0)</f>
        <v>17550</v>
      </c>
    </row>
    <row r="76" spans="1:17" s="34" customFormat="1" collapsed="1" x14ac:dyDescent="0.3">
      <c r="A76" s="35"/>
      <c r="B76" s="14" t="str">
        <f>CONCATENATE("     ","Telephone/Data Lines                              ")</f>
        <v xml:space="preserve">     Telephone/Data Lines                              </v>
      </c>
      <c r="C76" s="14"/>
      <c r="D76" s="1">
        <f>SUM(OSRRefD21_15x_0)</f>
        <v>118.8</v>
      </c>
      <c r="E76" s="1">
        <f>SUM(OSRRefE21_15x_0)</f>
        <v>178</v>
      </c>
      <c r="F76" s="1">
        <f>SUM(OSRRefE21_15x_1)</f>
        <v>178</v>
      </c>
      <c r="G76" s="1">
        <f>SUM(OSRRefE21_15x_2)</f>
        <v>178</v>
      </c>
      <c r="H76" s="1">
        <f>SUM(OSRRefE21_15x_3)</f>
        <v>178</v>
      </c>
      <c r="I76" s="1">
        <f>SUM(OSRRefE21_15x_4)</f>
        <v>178</v>
      </c>
      <c r="J76" s="1">
        <f>SUM(OSRRefE21_15x_5)</f>
        <v>178</v>
      </c>
      <c r="K76" s="1">
        <f>SUM(OSRRefE21_15x_6)</f>
        <v>178</v>
      </c>
      <c r="L76" s="1">
        <f>SUM(OSRRefE21_15x_7)</f>
        <v>178</v>
      </c>
      <c r="M76" s="1">
        <f>SUM(OSRRefE21_15x_8)</f>
        <v>178</v>
      </c>
      <c r="N76" s="1">
        <f>SUM(OSRRefE21_15x_9)</f>
        <v>178</v>
      </c>
      <c r="O76" s="1">
        <f>SUM(OSRRefE21_15x_10)</f>
        <v>178</v>
      </c>
      <c r="Q76" s="2">
        <f>SUM(OSRRefD20_15x)+IFERROR(SUM(OSRRefE20_15x),0)</f>
        <v>2076.8000000000002</v>
      </c>
    </row>
    <row r="77" spans="1:17" s="34" customFormat="1" hidden="1" outlineLevel="1" x14ac:dyDescent="0.3">
      <c r="A77" s="35"/>
      <c r="B77" s="10" t="str">
        <f>CONCATENATE("          ","6303", " - ","DATA PHONE LINES")</f>
        <v xml:space="preserve">          6303 - DATA PHONE LINES</v>
      </c>
      <c r="C77" s="14"/>
      <c r="D77" s="2"/>
      <c r="E77" s="2">
        <v>50</v>
      </c>
      <c r="F77" s="2">
        <v>50</v>
      </c>
      <c r="G77" s="2">
        <v>50</v>
      </c>
      <c r="H77" s="2">
        <v>50</v>
      </c>
      <c r="I77" s="2">
        <v>50</v>
      </c>
      <c r="J77" s="2">
        <v>50</v>
      </c>
      <c r="K77" s="2">
        <v>50</v>
      </c>
      <c r="L77" s="2">
        <v>50</v>
      </c>
      <c r="M77" s="2">
        <v>50</v>
      </c>
      <c r="N77" s="2">
        <v>50</v>
      </c>
      <c r="O77" s="2">
        <v>50</v>
      </c>
      <c r="P77" s="9"/>
      <c r="Q77" s="2">
        <f>SUM(OSRRefD21_15_0x)+IFERROR(SUM(OSRRefE21_15_0x),0)</f>
        <v>550</v>
      </c>
    </row>
    <row r="78" spans="1:17" s="34" customFormat="1" hidden="1" outlineLevel="1" x14ac:dyDescent="0.3">
      <c r="A78" s="35"/>
      <c r="B78" s="10" t="str">
        <f>CONCATENATE("          ","6309", " - ","TELEPHONE")</f>
        <v xml:space="preserve">          6309 - TELEPHONE</v>
      </c>
      <c r="C78" s="14"/>
      <c r="D78" s="2">
        <v>118.8</v>
      </c>
      <c r="E78" s="2">
        <v>128</v>
      </c>
      <c r="F78" s="2">
        <v>128</v>
      </c>
      <c r="G78" s="2">
        <v>128</v>
      </c>
      <c r="H78" s="2">
        <v>128</v>
      </c>
      <c r="I78" s="2">
        <v>128</v>
      </c>
      <c r="J78" s="2">
        <v>128</v>
      </c>
      <c r="K78" s="2">
        <v>128</v>
      </c>
      <c r="L78" s="2">
        <v>128</v>
      </c>
      <c r="M78" s="2">
        <v>128</v>
      </c>
      <c r="N78" s="2">
        <v>128</v>
      </c>
      <c r="O78" s="2">
        <v>128</v>
      </c>
      <c r="P78" s="9"/>
      <c r="Q78" s="2">
        <f>SUM(OSRRefD21_15_1x)+IFERROR(SUM(OSRRefE21_15_1x),0)</f>
        <v>1526.8</v>
      </c>
    </row>
    <row r="79" spans="1:17" s="34" customFormat="1" collapsed="1" x14ac:dyDescent="0.3">
      <c r="A79" s="35"/>
      <c r="B79" s="14" t="str">
        <f>CONCATENATE("     ","Training                                          ")</f>
        <v xml:space="preserve">     Training                                          </v>
      </c>
      <c r="C79" s="14"/>
      <c r="D79" s="1">
        <f>SUM(OSRRefD21_16x_0)</f>
        <v>0</v>
      </c>
      <c r="E79" s="1">
        <f>SUM(OSRRefE21_16x_0)</f>
        <v>75</v>
      </c>
      <c r="F79" s="1">
        <f>SUM(OSRRefE21_16x_1)</f>
        <v>0</v>
      </c>
      <c r="G79" s="1">
        <f>SUM(OSRRefE21_16x_2)</f>
        <v>0</v>
      </c>
      <c r="H79" s="1">
        <f>SUM(OSRRefE21_16x_3)</f>
        <v>0</v>
      </c>
      <c r="I79" s="1">
        <f>SUM(OSRRefE21_16x_4)</f>
        <v>0</v>
      </c>
      <c r="J79" s="1">
        <f>SUM(OSRRefE21_16x_5)</f>
        <v>75</v>
      </c>
      <c r="K79" s="1">
        <f>SUM(OSRRefE21_16x_6)</f>
        <v>0</v>
      </c>
      <c r="L79" s="1">
        <f>SUM(OSRRefE21_16x_7)</f>
        <v>0</v>
      </c>
      <c r="M79" s="1">
        <f>SUM(OSRRefE21_16x_8)</f>
        <v>0</v>
      </c>
      <c r="N79" s="1">
        <f>SUM(OSRRefE21_16x_9)</f>
        <v>0</v>
      </c>
      <c r="O79" s="1">
        <f>SUM(OSRRefE21_16x_10)</f>
        <v>0</v>
      </c>
      <c r="Q79" s="2">
        <f>SUM(OSRRefD20_16x)+IFERROR(SUM(OSRRefE20_16x),0)</f>
        <v>150</v>
      </c>
    </row>
    <row r="80" spans="1:17" s="34" customFormat="1" hidden="1" outlineLevel="1" x14ac:dyDescent="0.3">
      <c r="A80" s="35"/>
      <c r="B80" s="10" t="str">
        <f>CONCATENATE("          ","6376", " - ","TRAINING")</f>
        <v xml:space="preserve">          6376 - TRAINING</v>
      </c>
      <c r="C80" s="14"/>
      <c r="D80" s="2"/>
      <c r="E80" s="2">
        <v>75</v>
      </c>
      <c r="F80" s="2"/>
      <c r="G80" s="2"/>
      <c r="H80" s="2"/>
      <c r="I80" s="2"/>
      <c r="J80" s="2">
        <v>75</v>
      </c>
      <c r="K80" s="2"/>
      <c r="L80" s="2">
        <v>0</v>
      </c>
      <c r="M80" s="2"/>
      <c r="N80" s="2"/>
      <c r="O80" s="2"/>
      <c r="P80" s="9"/>
      <c r="Q80" s="2">
        <f>SUM(OSRRefD21_16_0x)+IFERROR(SUM(OSRRefE21_16_0x),0)</f>
        <v>150</v>
      </c>
    </row>
    <row r="81" spans="1:17" s="34" customFormat="1" collapsed="1" x14ac:dyDescent="0.3">
      <c r="A81" s="35"/>
      <c r="B81" s="14" t="str">
        <f>CONCATENATE("     ","Utilities                                         ")</f>
        <v xml:space="preserve">     Utilities                                         </v>
      </c>
      <c r="C81" s="14"/>
      <c r="D81" s="1">
        <f>SUM(OSRRefD21_17x_0)</f>
        <v>100</v>
      </c>
      <c r="E81" s="1">
        <f>SUM(OSRRefE21_17x_0)</f>
        <v>0</v>
      </c>
      <c r="F81" s="1">
        <f>SUM(OSRRefE21_17x_1)</f>
        <v>0</v>
      </c>
      <c r="G81" s="1">
        <f>SUM(OSRRefE21_17x_2)</f>
        <v>0</v>
      </c>
      <c r="H81" s="1">
        <f>SUM(OSRRefE21_17x_3)</f>
        <v>0</v>
      </c>
      <c r="I81" s="1">
        <f>SUM(OSRRefE21_17x_4)</f>
        <v>0</v>
      </c>
      <c r="J81" s="1">
        <f>SUM(OSRRefE21_17x_5)</f>
        <v>0</v>
      </c>
      <c r="K81" s="1">
        <f>SUM(OSRRefE21_17x_6)</f>
        <v>0</v>
      </c>
      <c r="L81" s="1">
        <f>SUM(OSRRefE21_17x_7)</f>
        <v>0</v>
      </c>
      <c r="M81" s="1">
        <f>SUM(OSRRefE21_17x_8)</f>
        <v>0</v>
      </c>
      <c r="N81" s="1">
        <f>SUM(OSRRefE21_17x_9)</f>
        <v>0</v>
      </c>
      <c r="O81" s="1">
        <f>SUM(OSRRefE21_17x_10)</f>
        <v>0</v>
      </c>
      <c r="Q81" s="2">
        <f>SUM(OSRRefD20_17x)+IFERROR(SUM(OSRRefE20_17x),0)</f>
        <v>100</v>
      </c>
    </row>
    <row r="82" spans="1:17" s="34" customFormat="1" hidden="1" outlineLevel="1" x14ac:dyDescent="0.3">
      <c r="A82" s="35"/>
      <c r="B82" s="10" t="str">
        <f>CONCATENATE("          ","6274", " - ","UTILITIES")</f>
        <v xml:space="preserve">          6274 - UTILITIES</v>
      </c>
      <c r="C82" s="14"/>
      <c r="D82" s="2">
        <v>100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9"/>
      <c r="Q82" s="2">
        <f>SUM(OSRRefD21_17_0x)+IFERROR(SUM(OSRRefE21_17_0x),0)</f>
        <v>100</v>
      </c>
    </row>
    <row r="83" spans="1:17" s="28" customFormat="1" x14ac:dyDescent="0.3">
      <c r="A83" s="21"/>
      <c r="B83" s="21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1"/>
    </row>
    <row r="84" spans="1:17" s="9" customFormat="1" x14ac:dyDescent="0.3">
      <c r="A84" s="22"/>
      <c r="B84" s="16" t="s">
        <v>293</v>
      </c>
      <c r="C84" s="23"/>
      <c r="D84" s="3">
        <f>0</f>
        <v>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2">
        <f>SUM(OSRRefD23_0x)+IFERROR(SUM(OSRRefE23_0x),0)</f>
        <v>0</v>
      </c>
    </row>
    <row r="85" spans="1:17" x14ac:dyDescent="0.3">
      <c r="A85" s="5"/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</row>
    <row r="86" spans="1:17" s="15" customFormat="1" x14ac:dyDescent="0.3">
      <c r="A86" s="6"/>
      <c r="B86" s="17" t="s">
        <v>276</v>
      </c>
      <c r="C86" s="17"/>
      <c r="D86" s="8">
        <f t="shared" ref="D86:O86" si="3">IFERROR(+D18-D21+D84, 0)</f>
        <v>-11929.900000000001</v>
      </c>
      <c r="E86" s="8">
        <f t="shared" si="3"/>
        <v>-26652.680587307696</v>
      </c>
      <c r="F86" s="8">
        <f t="shared" si="3"/>
        <v>-21129.831412307693</v>
      </c>
      <c r="G86" s="8">
        <f t="shared" si="3"/>
        <v>-19328.427490384616</v>
      </c>
      <c r="H86" s="8">
        <f t="shared" si="3"/>
        <v>-19761.96838730769</v>
      </c>
      <c r="I86" s="8">
        <f t="shared" si="3"/>
        <v>-20363.506037307689</v>
      </c>
      <c r="J86" s="8">
        <f t="shared" si="3"/>
        <v>-16668.808669634614</v>
      </c>
      <c r="K86" s="8">
        <f t="shared" si="3"/>
        <v>3774.760032692313</v>
      </c>
      <c r="L86" s="8">
        <f t="shared" si="3"/>
        <v>6050.7223109423066</v>
      </c>
      <c r="M86" s="8">
        <f t="shared" si="3"/>
        <v>-3464.9786031346157</v>
      </c>
      <c r="N86" s="8">
        <f t="shared" si="3"/>
        <v>-11142.694589807696</v>
      </c>
      <c r="O86" s="8">
        <f t="shared" si="3"/>
        <v>-21664.54540580769</v>
      </c>
      <c r="Q86" s="8">
        <f>IFERROR(+Q18-Q21+Q84, 0)</f>
        <v>-162281.85883936536</v>
      </c>
    </row>
    <row r="87" spans="1:17" s="6" customFormat="1" x14ac:dyDescent="0.3">
      <c r="B87" s="16"/>
      <c r="C87" s="16"/>
      <c r="D87" s="4">
        <f t="shared" ref="D87:O87" si="4">IFERROR(D86/D10, 0)</f>
        <v>0</v>
      </c>
      <c r="E87" s="4">
        <f t="shared" si="4"/>
        <v>-2.1298290384615388</v>
      </c>
      <c r="F87" s="4">
        <f t="shared" si="4"/>
        <v>-0.50914029571113206</v>
      </c>
      <c r="G87" s="4">
        <f t="shared" si="4"/>
        <v>-0.37346731635012975</v>
      </c>
      <c r="H87" s="4">
        <f t="shared" si="4"/>
        <v>-0.79441905400014834</v>
      </c>
      <c r="I87" s="4">
        <f t="shared" si="4"/>
        <v>-0.8881501237485907</v>
      </c>
      <c r="J87" s="4">
        <f t="shared" si="4"/>
        <v>-0.47052471827569059</v>
      </c>
      <c r="K87" s="4">
        <f t="shared" si="4"/>
        <v>3.9083473449424457E-2</v>
      </c>
      <c r="L87" s="4">
        <f t="shared" si="4"/>
        <v>6.5445760172002362E-2</v>
      </c>
      <c r="M87" s="4">
        <f t="shared" si="4"/>
        <v>-4.1210987323048745E-2</v>
      </c>
      <c r="N87" s="4">
        <f t="shared" si="4"/>
        <v>-0.26052594317997885</v>
      </c>
      <c r="O87" s="4">
        <f t="shared" si="4"/>
        <v>-1.6633048296205519</v>
      </c>
      <c r="P87" s="18"/>
      <c r="Q87" s="4">
        <f>IFERROR(Q86/Q10, 0)</f>
        <v>-0.31334048807679604</v>
      </c>
    </row>
    <row r="88" spans="1:17" x14ac:dyDescent="0.3">
      <c r="A88" s="5"/>
      <c r="B88" s="6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</row>
    <row r="89" spans="1:17" s="15" customFormat="1" x14ac:dyDescent="0.3">
      <c r="A89" s="25"/>
      <c r="B89" s="6" t="s">
        <v>125</v>
      </c>
      <c r="C89" s="6"/>
      <c r="D89" s="3"/>
      <c r="E89" s="3">
        <v>1401</v>
      </c>
      <c r="F89" s="3">
        <v>4463</v>
      </c>
      <c r="G89" s="3">
        <v>6297</v>
      </c>
      <c r="H89" s="3">
        <v>4170</v>
      </c>
      <c r="I89" s="3">
        <v>3552</v>
      </c>
      <c r="J89" s="3">
        <v>3797</v>
      </c>
      <c r="K89" s="3">
        <v>11231</v>
      </c>
      <c r="L89" s="3">
        <v>11126</v>
      </c>
      <c r="M89" s="3">
        <v>10809</v>
      </c>
      <c r="N89" s="3">
        <v>5739</v>
      </c>
      <c r="O89" s="3">
        <v>-3859</v>
      </c>
      <c r="Q89" s="2">
        <f>SUM(OSRRefD28_0x)+IFERROR(SUM(OSRRefE28_0x),0)</f>
        <v>58726</v>
      </c>
    </row>
    <row r="90" spans="1:17" x14ac:dyDescent="0.3">
      <c r="A90" s="5"/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</row>
    <row r="91" spans="1:17" s="15" customFormat="1" ht="15" thickBot="1" x14ac:dyDescent="0.35">
      <c r="A91" s="6"/>
      <c r="B91" s="17" t="s">
        <v>124</v>
      </c>
      <c r="C91" s="17"/>
      <c r="D91" s="7">
        <f t="shared" ref="D91:O91" si="5">IFERROR(+D86-D89, 0)</f>
        <v>-11929.900000000001</v>
      </c>
      <c r="E91" s="7">
        <f t="shared" si="5"/>
        <v>-28053.680587307696</v>
      </c>
      <c r="F91" s="7">
        <f t="shared" si="5"/>
        <v>-25592.831412307693</v>
      </c>
      <c r="G91" s="7">
        <f t="shared" si="5"/>
        <v>-25625.427490384616</v>
      </c>
      <c r="H91" s="7">
        <f t="shared" si="5"/>
        <v>-23931.96838730769</v>
      </c>
      <c r="I91" s="7">
        <f t="shared" si="5"/>
        <v>-23915.506037307689</v>
      </c>
      <c r="J91" s="7">
        <f t="shared" si="5"/>
        <v>-20465.808669634614</v>
      </c>
      <c r="K91" s="7">
        <f t="shared" si="5"/>
        <v>-7456.239967307687</v>
      </c>
      <c r="L91" s="7">
        <f t="shared" si="5"/>
        <v>-5075.2776890576934</v>
      </c>
      <c r="M91" s="7">
        <f t="shared" si="5"/>
        <v>-14273.978603134616</v>
      </c>
      <c r="N91" s="7">
        <f t="shared" si="5"/>
        <v>-16881.694589807696</v>
      </c>
      <c r="O91" s="7">
        <f t="shared" si="5"/>
        <v>-17805.54540580769</v>
      </c>
      <c r="Q91" s="7">
        <f>IFERROR(+Q86-Q89, 0)</f>
        <v>-221007.85883936536</v>
      </c>
    </row>
    <row r="92" spans="1:17" ht="15" thickTop="1" x14ac:dyDescent="0.3">
      <c r="A92" s="5"/>
      <c r="B92" s="5"/>
      <c r="C92" s="5"/>
      <c r="D92" s="4">
        <f t="shared" ref="D92:O92" si="6">IFERROR(D91/D10, 0)</f>
        <v>0</v>
      </c>
      <c r="E92" s="4">
        <f t="shared" si="6"/>
        <v>-2.2417836492974024</v>
      </c>
      <c r="F92" s="4">
        <f t="shared" si="6"/>
        <v>-0.61667987307071381</v>
      </c>
      <c r="G92" s="4">
        <f t="shared" si="6"/>
        <v>-0.49513907119033534</v>
      </c>
      <c r="H92" s="4">
        <f t="shared" si="6"/>
        <v>-0.96205050600207787</v>
      </c>
      <c r="I92" s="4">
        <f t="shared" si="6"/>
        <v>-1.0430698725273766</v>
      </c>
      <c r="J92" s="4">
        <f t="shared" si="6"/>
        <v>-0.57770588465066941</v>
      </c>
      <c r="K92" s="4">
        <f t="shared" si="6"/>
        <v>-7.7201134448527539E-2</v>
      </c>
      <c r="L92" s="4">
        <f t="shared" si="6"/>
        <v>-5.4895166126481203E-2</v>
      </c>
      <c r="M92" s="4">
        <f t="shared" si="6"/>
        <v>-0.16976865332763966</v>
      </c>
      <c r="N92" s="4">
        <f t="shared" si="6"/>
        <v>-0.39470878161813644</v>
      </c>
      <c r="O92" s="4">
        <f t="shared" si="6"/>
        <v>-1.3670284380658495</v>
      </c>
      <c r="P92" s="18"/>
      <c r="Q92" s="4">
        <f>IFERROR(Q91/Q10, 0)</f>
        <v>-0.42673106441356562</v>
      </c>
    </row>
    <row r="93" spans="1:17" x14ac:dyDescent="0.3">
      <c r="A93" s="5"/>
      <c r="B93" s="5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</row>
    <row r="94" spans="1:17" x14ac:dyDescent="0.3">
      <c r="A94" s="5"/>
      <c r="B94" s="5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</row>
    <row r="95" spans="1:17" s="15" customFormat="1" ht="15" thickBot="1" x14ac:dyDescent="0.35">
      <c r="A95" s="6"/>
      <c r="B95" s="17" t="s">
        <v>294</v>
      </c>
      <c r="C95" s="17"/>
      <c r="D95" s="7">
        <f t="shared" ref="D95:O95" si="7">IFERROR(SUM(D91:D94), 0)</f>
        <v>-11929.900000000001</v>
      </c>
      <c r="E95" s="7">
        <f t="shared" si="7"/>
        <v>-28055.922370956992</v>
      </c>
      <c r="F95" s="7">
        <f t="shared" si="7"/>
        <v>-25593.448092180763</v>
      </c>
      <c r="G95" s="7">
        <f t="shared" si="7"/>
        <v>-25625.922629455807</v>
      </c>
      <c r="H95" s="7">
        <f t="shared" si="7"/>
        <v>-23932.930437813691</v>
      </c>
      <c r="I95" s="7">
        <f t="shared" si="7"/>
        <v>-23916.549107180217</v>
      </c>
      <c r="J95" s="7">
        <f t="shared" si="7"/>
        <v>-20466.386375519265</v>
      </c>
      <c r="K95" s="7">
        <f t="shared" si="7"/>
        <v>-7456.3171684421359</v>
      </c>
      <c r="L95" s="7">
        <f t="shared" si="7"/>
        <v>-5075.33258422382</v>
      </c>
      <c r="M95" s="7">
        <f t="shared" si="7"/>
        <v>-14274.148371787944</v>
      </c>
      <c r="N95" s="7">
        <f t="shared" si="7"/>
        <v>-16882.089298589315</v>
      </c>
      <c r="O95" s="7">
        <f t="shared" si="7"/>
        <v>-17806.912434245754</v>
      </c>
      <c r="Q95" s="7">
        <f>IFERROR(SUM(Q91:Q94), 0)</f>
        <v>-221008.28557042978</v>
      </c>
    </row>
    <row r="96" spans="1:17" ht="15" thickTop="1" x14ac:dyDescent="0.3">
      <c r="A96" s="5"/>
      <c r="C96" s="5"/>
      <c r="D96" s="4">
        <f t="shared" ref="D96:O96" si="8">IFERROR(D95/D10, 0)</f>
        <v>0</v>
      </c>
      <c r="E96" s="4">
        <f t="shared" si="8"/>
        <v>-2.2419627913502471</v>
      </c>
      <c r="F96" s="4">
        <f t="shared" si="8"/>
        <v>-0.6166947324686336</v>
      </c>
      <c r="G96" s="4">
        <f t="shared" si="8"/>
        <v>-0.49514863835560163</v>
      </c>
      <c r="H96" s="4">
        <f t="shared" si="8"/>
        <v>-0.96208917984457676</v>
      </c>
      <c r="I96" s="4">
        <f t="shared" si="8"/>
        <v>-1.0431153658051386</v>
      </c>
      <c r="J96" s="4">
        <f t="shared" si="8"/>
        <v>-0.57772219204875697</v>
      </c>
      <c r="K96" s="4">
        <f t="shared" si="8"/>
        <v>-7.7201933781057913E-2</v>
      </c>
      <c r="L96" s="4">
        <f t="shared" si="8"/>
        <v>-5.4895759883010146E-2</v>
      </c>
      <c r="M96" s="4">
        <f t="shared" si="8"/>
        <v>-0.16977067248406788</v>
      </c>
      <c r="N96" s="4">
        <f t="shared" si="8"/>
        <v>-0.39471801025460174</v>
      </c>
      <c r="O96" s="4">
        <f t="shared" si="8"/>
        <v>-1.3671333922645492</v>
      </c>
      <c r="P96" s="18"/>
      <c r="Q96" s="4">
        <f>IFERROR(Q95/Q10, 0)</f>
        <v>-0.42673188836345727</v>
      </c>
    </row>
    <row r="97" spans="1:17" x14ac:dyDescent="0.3">
      <c r="A97" s="5"/>
      <c r="B97" s="30">
        <v>44462.678377546297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  <row r="98" spans="1:17" x14ac:dyDescent="0.3">
      <c r="A98" s="5"/>
      <c r="B98" s="31" t="s">
        <v>54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 s="11"/>
    </row>
    <row r="99" spans="1:17" x14ac:dyDescent="0.3">
      <c r="A99" s="5"/>
      <c r="B99" s="2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Q99" s="11"/>
    </row>
    <row r="100" spans="1:17" x14ac:dyDescent="0.3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Q100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  <outlinePr summaryBelow="0" summaryRight="0"/>
    <pageSetUpPr fitToPage="1"/>
  </sheetPr>
  <dimension ref="A2:R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","309", " - ", "Carts")</f>
        <v>Department 309 - Carts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770.79000000000008</v>
      </c>
      <c r="E17" s="13">
        <f>SUM(OSRRefE20x_0)</f>
        <v>588</v>
      </c>
      <c r="F17" s="13">
        <f>SUM(OSRRefE20x_1)</f>
        <v>588</v>
      </c>
      <c r="G17" s="13">
        <f>SUM(OSRRefE20x_2)</f>
        <v>588</v>
      </c>
      <c r="H17" s="13">
        <f>SUM(OSRRefE20x_3)</f>
        <v>588</v>
      </c>
      <c r="I17" s="13">
        <f>SUM(OSRRefE20x_4)</f>
        <v>588</v>
      </c>
      <c r="J17" s="13">
        <f>SUM(OSRRefE20x_5)</f>
        <v>588</v>
      </c>
      <c r="K17" s="13">
        <f>SUM(OSRRefE20x_6)</f>
        <v>588</v>
      </c>
      <c r="L17" s="13">
        <f>SUM(OSRRefE20x_7)</f>
        <v>588</v>
      </c>
      <c r="M17" s="13">
        <f>SUM(OSRRefE20x_8)</f>
        <v>588</v>
      </c>
      <c r="N17" s="13">
        <f>SUM(OSRRefE20x_9)</f>
        <v>588</v>
      </c>
      <c r="O17" s="13">
        <f>SUM(OSRRefE20x_10)</f>
        <v>588</v>
      </c>
      <c r="Q17" s="13">
        <f>SUM(OSRRefG20x)</f>
        <v>7238.7900000000009</v>
      </c>
    </row>
    <row r="18" spans="1:17" s="34" customFormat="1" collapsed="1" x14ac:dyDescent="0.3">
      <c r="A18" s="35"/>
      <c r="B18" s="14" t="str">
        <f>CONCATENATE("     ","Depreciation                                      ")</f>
        <v xml:space="preserve">     Depreciation                                      </v>
      </c>
      <c r="C18" s="14"/>
      <c r="D18" s="1">
        <f>SUM(OSRRefD21_0x_0)</f>
        <v>588.94000000000005</v>
      </c>
      <c r="E18" s="1">
        <f>SUM(OSRRefE21_0x_0)</f>
        <v>588</v>
      </c>
      <c r="F18" s="1">
        <f>SUM(OSRRefE21_0x_1)</f>
        <v>588</v>
      </c>
      <c r="G18" s="1">
        <f>SUM(OSRRefE21_0x_2)</f>
        <v>588</v>
      </c>
      <c r="H18" s="1">
        <f>SUM(OSRRefE21_0x_3)</f>
        <v>588</v>
      </c>
      <c r="I18" s="1">
        <f>SUM(OSRRefE21_0x_4)</f>
        <v>588</v>
      </c>
      <c r="J18" s="1">
        <f>SUM(OSRRefE21_0x_5)</f>
        <v>588</v>
      </c>
      <c r="K18" s="1">
        <f>SUM(OSRRefE21_0x_6)</f>
        <v>588</v>
      </c>
      <c r="L18" s="1">
        <f>SUM(OSRRefE21_0x_7)</f>
        <v>588</v>
      </c>
      <c r="M18" s="1">
        <f>SUM(OSRRefE21_0x_8)</f>
        <v>588</v>
      </c>
      <c r="N18" s="1">
        <f>SUM(OSRRefE21_0x_9)</f>
        <v>588</v>
      </c>
      <c r="O18" s="1">
        <f>SUM(OSRRefE21_0x_10)</f>
        <v>588</v>
      </c>
      <c r="Q18" s="2">
        <f>SUM(OSRRefD20_0x)+IFERROR(SUM(OSRRefE20_0x),0)</f>
        <v>7056.9400000000005</v>
      </c>
    </row>
    <row r="19" spans="1:17" s="34" customFormat="1" hidden="1" outlineLevel="1" x14ac:dyDescent="0.3">
      <c r="A19" s="35"/>
      <c r="B19" s="10" t="str">
        <f>CONCATENATE("          ","6322", " - ","EQUIPMENT DEPRECIATION EXPENSE")</f>
        <v xml:space="preserve">          6322 - EQUIPMENT DEPRECIATION EXPENSE</v>
      </c>
      <c r="C19" s="14"/>
      <c r="D19" s="2">
        <v>588.94000000000005</v>
      </c>
      <c r="E19" s="2">
        <v>588</v>
      </c>
      <c r="F19" s="2">
        <v>588</v>
      </c>
      <c r="G19" s="2">
        <v>588</v>
      </c>
      <c r="H19" s="2">
        <v>588</v>
      </c>
      <c r="I19" s="2">
        <v>588</v>
      </c>
      <c r="J19" s="2">
        <v>588</v>
      </c>
      <c r="K19" s="2">
        <v>588</v>
      </c>
      <c r="L19" s="2">
        <v>588</v>
      </c>
      <c r="M19" s="2">
        <v>588</v>
      </c>
      <c r="N19" s="2">
        <v>588</v>
      </c>
      <c r="O19" s="2">
        <v>588</v>
      </c>
      <c r="P19" s="9"/>
      <c r="Q19" s="2">
        <f>SUM(OSRRefD21_0_0x)+IFERROR(SUM(OSRRefE21_0_0x),0)</f>
        <v>7056.9400000000005</v>
      </c>
    </row>
    <row r="20" spans="1:17" s="34" customFormat="1" collapsed="1" x14ac:dyDescent="0.3">
      <c r="A20" s="35"/>
      <c r="B20" s="14" t="str">
        <f>CONCATENATE("     ","Services                                          ")</f>
        <v xml:space="preserve">     Services                                          </v>
      </c>
      <c r="C20" s="14"/>
      <c r="D20" s="1">
        <f>SUM(OSRRefD21_1x_0)</f>
        <v>151.85</v>
      </c>
      <c r="E20" s="1">
        <f>SUM(OSRRefE21_1x_0)</f>
        <v>0</v>
      </c>
      <c r="F20" s="1">
        <f>SUM(OSRRefE21_1x_1)</f>
        <v>0</v>
      </c>
      <c r="G20" s="1">
        <f>SUM(OSRRefE21_1x_2)</f>
        <v>0</v>
      </c>
      <c r="H20" s="1">
        <f>SUM(OSRRefE21_1x_3)</f>
        <v>0</v>
      </c>
      <c r="I20" s="1">
        <f>SUM(OSRRefE21_1x_4)</f>
        <v>0</v>
      </c>
      <c r="J20" s="1">
        <f>SUM(OSRRefE21_1x_5)</f>
        <v>0</v>
      </c>
      <c r="K20" s="1">
        <f>SUM(OSRRefE21_1x_6)</f>
        <v>0</v>
      </c>
      <c r="L20" s="1">
        <f>SUM(OSRRefE21_1x_7)</f>
        <v>0</v>
      </c>
      <c r="M20" s="1">
        <f>SUM(OSRRefE21_1x_8)</f>
        <v>0</v>
      </c>
      <c r="N20" s="1">
        <f>SUM(OSRRefE21_1x_9)</f>
        <v>0</v>
      </c>
      <c r="O20" s="1">
        <f>SUM(OSRRefE21_1x_10)</f>
        <v>0</v>
      </c>
      <c r="Q20" s="2">
        <f>SUM(OSRRefD20_1x)+IFERROR(SUM(OSRRefE20_1x),0)</f>
        <v>151.85</v>
      </c>
    </row>
    <row r="21" spans="1:17" s="34" customFormat="1" hidden="1" outlineLevel="1" x14ac:dyDescent="0.3">
      <c r="A21" s="35"/>
      <c r="B21" s="10" t="str">
        <f>CONCATENATE("          ","6282", " - ","JANITORIAL/EXTERMINATOR EXPENS")</f>
        <v xml:space="preserve">          6282 - JANITORIAL/EXTERMINATOR EXPENS</v>
      </c>
      <c r="C21" s="14"/>
      <c r="D21" s="2">
        <v>151.85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2">
        <f>SUM(OSRRefD21_1_0x)+IFERROR(SUM(OSRRefE21_1_0x),0)</f>
        <v>151.85</v>
      </c>
    </row>
    <row r="22" spans="1:17" s="34" customFormat="1" collapsed="1" x14ac:dyDescent="0.3">
      <c r="A22" s="35"/>
      <c r="B22" s="14" t="str">
        <f>CONCATENATE("     ","Telephone/Data Lines                              ")</f>
        <v xml:space="preserve">     Telephone/Data Lines                              </v>
      </c>
      <c r="C22" s="14"/>
      <c r="D22" s="1">
        <f>SUM(OSRRefD21_2x_0)</f>
        <v>30</v>
      </c>
      <c r="E22" s="1">
        <f>SUM(OSRRefE21_2x_0)</f>
        <v>0</v>
      </c>
      <c r="F22" s="1">
        <f>SUM(OSRRefE21_2x_1)</f>
        <v>0</v>
      </c>
      <c r="G22" s="1">
        <f>SUM(OSRRefE21_2x_2)</f>
        <v>0</v>
      </c>
      <c r="H22" s="1">
        <f>SUM(OSRRefE21_2x_3)</f>
        <v>0</v>
      </c>
      <c r="I22" s="1">
        <f>SUM(OSRRefE21_2x_4)</f>
        <v>0</v>
      </c>
      <c r="J22" s="1">
        <f>SUM(OSRRefE21_2x_5)</f>
        <v>0</v>
      </c>
      <c r="K22" s="1">
        <f>SUM(OSRRefE21_2x_6)</f>
        <v>0</v>
      </c>
      <c r="L22" s="1">
        <f>SUM(OSRRefE21_2x_7)</f>
        <v>0</v>
      </c>
      <c r="M22" s="1">
        <f>SUM(OSRRefE21_2x_8)</f>
        <v>0</v>
      </c>
      <c r="N22" s="1">
        <f>SUM(OSRRefE21_2x_9)</f>
        <v>0</v>
      </c>
      <c r="O22" s="1">
        <f>SUM(OSRRefE21_2x_10)</f>
        <v>0</v>
      </c>
      <c r="Q22" s="2">
        <f>SUM(OSRRefD20_2x)+IFERROR(SUM(OSRRefE20_2x),0)</f>
        <v>30</v>
      </c>
    </row>
    <row r="23" spans="1:17" s="34" customFormat="1" hidden="1" outlineLevel="1" x14ac:dyDescent="0.3">
      <c r="A23" s="35"/>
      <c r="B23" s="10" t="str">
        <f>CONCATENATE("          ","6309", " - ","TELEPHONE")</f>
        <v xml:space="preserve">          6309 - TELEPHONE</v>
      </c>
      <c r="C23" s="14"/>
      <c r="D23" s="2">
        <v>30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  <c r="Q23" s="2">
        <f>SUM(OSRRefD21_2_0x)+IFERROR(SUM(OSRRefE21_2_0x),0)</f>
        <v>30</v>
      </c>
    </row>
    <row r="24" spans="1:17" s="28" customFormat="1" x14ac:dyDescent="0.3">
      <c r="A24" s="21"/>
      <c r="B24" s="21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Q24" s="1"/>
    </row>
    <row r="25" spans="1:17" s="9" customFormat="1" x14ac:dyDescent="0.3">
      <c r="A25" s="22"/>
      <c r="B25" s="16" t="s">
        <v>293</v>
      </c>
      <c r="C25" s="23"/>
      <c r="D25" s="3">
        <f>0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2">
        <f>SUM(OSRRefD23_0x)+IFERROR(SUM(OSRRefE23_0x),0)</f>
        <v>0</v>
      </c>
    </row>
    <row r="26" spans="1:17" x14ac:dyDescent="0.3">
      <c r="A26" s="5"/>
      <c r="B26" s="6"/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</row>
    <row r="27" spans="1:17" s="15" customFormat="1" x14ac:dyDescent="0.3">
      <c r="A27" s="6"/>
      <c r="B27" s="17" t="s">
        <v>276</v>
      </c>
      <c r="C27" s="17"/>
      <c r="D27" s="8">
        <f t="shared" ref="D27:O27" si="4">IFERROR(+D14-D17+D25, 0)</f>
        <v>-770.79000000000008</v>
      </c>
      <c r="E27" s="8">
        <f t="shared" si="4"/>
        <v>-588</v>
      </c>
      <c r="F27" s="8">
        <f t="shared" si="4"/>
        <v>-588</v>
      </c>
      <c r="G27" s="8">
        <f t="shared" si="4"/>
        <v>-588</v>
      </c>
      <c r="H27" s="8">
        <f t="shared" si="4"/>
        <v>-588</v>
      </c>
      <c r="I27" s="8">
        <f t="shared" si="4"/>
        <v>-588</v>
      </c>
      <c r="J27" s="8">
        <f t="shared" si="4"/>
        <v>-588</v>
      </c>
      <c r="K27" s="8">
        <f t="shared" si="4"/>
        <v>-588</v>
      </c>
      <c r="L27" s="8">
        <f t="shared" si="4"/>
        <v>-588</v>
      </c>
      <c r="M27" s="8">
        <f t="shared" si="4"/>
        <v>-588</v>
      </c>
      <c r="N27" s="8">
        <f t="shared" si="4"/>
        <v>-588</v>
      </c>
      <c r="O27" s="8">
        <f t="shared" si="4"/>
        <v>-588</v>
      </c>
      <c r="Q27" s="8">
        <f>IFERROR(+Q14-Q17+Q25, 0)</f>
        <v>-7238.7900000000009</v>
      </c>
    </row>
    <row r="28" spans="1:17" s="6" customFormat="1" x14ac:dyDescent="0.3">
      <c r="B28" s="16"/>
      <c r="C28" s="16"/>
      <c r="D28" s="4">
        <f t="shared" ref="D28:O28" si="5">IFERROR(D27/D10, 0)</f>
        <v>0</v>
      </c>
      <c r="E28" s="4">
        <f t="shared" si="5"/>
        <v>0</v>
      </c>
      <c r="F28" s="4">
        <f t="shared" si="5"/>
        <v>0</v>
      </c>
      <c r="G28" s="4">
        <f t="shared" si="5"/>
        <v>0</v>
      </c>
      <c r="H28" s="4">
        <f t="shared" si="5"/>
        <v>0</v>
      </c>
      <c r="I28" s="4">
        <f t="shared" si="5"/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4">
        <f t="shared" si="5"/>
        <v>0</v>
      </c>
      <c r="P28" s="18"/>
      <c r="Q28" s="4">
        <f>IFERROR(Q27/Q10, 0)</f>
        <v>0</v>
      </c>
    </row>
    <row r="29" spans="1:17" x14ac:dyDescent="0.3">
      <c r="A29" s="5"/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</row>
    <row r="30" spans="1:17" s="15" customFormat="1" x14ac:dyDescent="0.3">
      <c r="A30" s="25"/>
      <c r="B30" s="6" t="s">
        <v>125</v>
      </c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2">
        <f>SUM(OSRRefD28_0x)+IFERROR(SUM(OSRRefE28_0x),0)</f>
        <v>0</v>
      </c>
    </row>
    <row r="31" spans="1:17" x14ac:dyDescent="0.3">
      <c r="A31" s="5"/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s="15" customFormat="1" ht="15" thickBot="1" x14ac:dyDescent="0.35">
      <c r="A32" s="6"/>
      <c r="B32" s="17" t="s">
        <v>124</v>
      </c>
      <c r="C32" s="17"/>
      <c r="D32" s="7">
        <f t="shared" ref="D32:O32" si="6">IFERROR(+D27-D30, 0)</f>
        <v>-770.79000000000008</v>
      </c>
      <c r="E32" s="7">
        <f t="shared" si="6"/>
        <v>-588</v>
      </c>
      <c r="F32" s="7">
        <f t="shared" si="6"/>
        <v>-588</v>
      </c>
      <c r="G32" s="7">
        <f t="shared" si="6"/>
        <v>-588</v>
      </c>
      <c r="H32" s="7">
        <f t="shared" si="6"/>
        <v>-588</v>
      </c>
      <c r="I32" s="7">
        <f t="shared" si="6"/>
        <v>-588</v>
      </c>
      <c r="J32" s="7">
        <f t="shared" si="6"/>
        <v>-588</v>
      </c>
      <c r="K32" s="7">
        <f t="shared" si="6"/>
        <v>-588</v>
      </c>
      <c r="L32" s="7">
        <f t="shared" si="6"/>
        <v>-588</v>
      </c>
      <c r="M32" s="7">
        <f t="shared" si="6"/>
        <v>-588</v>
      </c>
      <c r="N32" s="7">
        <f t="shared" si="6"/>
        <v>-588</v>
      </c>
      <c r="O32" s="7">
        <f t="shared" si="6"/>
        <v>-588</v>
      </c>
      <c r="Q32" s="7">
        <f>IFERROR(+Q27-Q30, 0)</f>
        <v>-7238.7900000000009</v>
      </c>
    </row>
    <row r="33" spans="1:17" ht="15" thickTop="1" x14ac:dyDescent="0.3">
      <c r="A33" s="5"/>
      <c r="B33" s="5"/>
      <c r="C33" s="5"/>
      <c r="D33" s="4">
        <f t="shared" ref="D33:O33" si="7">IFERROR(D32/D10, 0)</f>
        <v>0</v>
      </c>
      <c r="E33" s="4">
        <f t="shared" si="7"/>
        <v>0</v>
      </c>
      <c r="F33" s="4">
        <f t="shared" si="7"/>
        <v>0</v>
      </c>
      <c r="G33" s="4">
        <f t="shared" si="7"/>
        <v>0</v>
      </c>
      <c r="H33" s="4">
        <f t="shared" si="7"/>
        <v>0</v>
      </c>
      <c r="I33" s="4">
        <f t="shared" si="7"/>
        <v>0</v>
      </c>
      <c r="J33" s="4">
        <f t="shared" si="7"/>
        <v>0</v>
      </c>
      <c r="K33" s="4">
        <f t="shared" si="7"/>
        <v>0</v>
      </c>
      <c r="L33" s="4">
        <f t="shared" si="7"/>
        <v>0</v>
      </c>
      <c r="M33" s="4">
        <f t="shared" si="7"/>
        <v>0</v>
      </c>
      <c r="N33" s="4">
        <f t="shared" si="7"/>
        <v>0</v>
      </c>
      <c r="O33" s="4">
        <f t="shared" si="7"/>
        <v>0</v>
      </c>
      <c r="P33" s="18"/>
      <c r="Q33" s="4">
        <f>IFERROR(Q32/Q10, 0)</f>
        <v>0</v>
      </c>
    </row>
    <row r="34" spans="1:17" x14ac:dyDescent="0.3">
      <c r="A34" s="5"/>
      <c r="B34" s="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</row>
    <row r="35" spans="1:17" x14ac:dyDescent="0.3">
      <c r="A35" s="5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</row>
    <row r="36" spans="1:17" s="15" customFormat="1" ht="15" thickBot="1" x14ac:dyDescent="0.35">
      <c r="A36" s="6"/>
      <c r="B36" s="17" t="s">
        <v>294</v>
      </c>
      <c r="C36" s="17"/>
      <c r="D36" s="7">
        <f t="shared" ref="D36:O36" si="8">IFERROR(SUM(D32:D35), 0)</f>
        <v>-770.79000000000008</v>
      </c>
      <c r="E36" s="7">
        <f t="shared" si="8"/>
        <v>-588</v>
      </c>
      <c r="F36" s="7">
        <f t="shared" si="8"/>
        <v>-588</v>
      </c>
      <c r="G36" s="7">
        <f t="shared" si="8"/>
        <v>-588</v>
      </c>
      <c r="H36" s="7">
        <f t="shared" si="8"/>
        <v>-588</v>
      </c>
      <c r="I36" s="7">
        <f t="shared" si="8"/>
        <v>-588</v>
      </c>
      <c r="J36" s="7">
        <f t="shared" si="8"/>
        <v>-588</v>
      </c>
      <c r="K36" s="7">
        <f t="shared" si="8"/>
        <v>-588</v>
      </c>
      <c r="L36" s="7">
        <f t="shared" si="8"/>
        <v>-588</v>
      </c>
      <c r="M36" s="7">
        <f t="shared" si="8"/>
        <v>-588</v>
      </c>
      <c r="N36" s="7">
        <f t="shared" si="8"/>
        <v>-588</v>
      </c>
      <c r="O36" s="7">
        <f t="shared" si="8"/>
        <v>-588</v>
      </c>
      <c r="Q36" s="7">
        <f>IFERROR(SUM(Q32:Q35), 0)</f>
        <v>-7238.7900000000009</v>
      </c>
    </row>
    <row r="37" spans="1:17" ht="15" thickTop="1" x14ac:dyDescent="0.3">
      <c r="A37" s="5"/>
      <c r="C37" s="5"/>
      <c r="D37" s="4">
        <f t="shared" ref="D37:O37" si="9">IFERROR(D36/D10, 0)</f>
        <v>0</v>
      </c>
      <c r="E37" s="4">
        <f t="shared" si="9"/>
        <v>0</v>
      </c>
      <c r="F37" s="4">
        <f t="shared" si="9"/>
        <v>0</v>
      </c>
      <c r="G37" s="4">
        <f t="shared" si="9"/>
        <v>0</v>
      </c>
      <c r="H37" s="4">
        <f t="shared" si="9"/>
        <v>0</v>
      </c>
      <c r="I37" s="4">
        <f t="shared" si="9"/>
        <v>0</v>
      </c>
      <c r="J37" s="4">
        <f t="shared" si="9"/>
        <v>0</v>
      </c>
      <c r="K37" s="4">
        <f t="shared" si="9"/>
        <v>0</v>
      </c>
      <c r="L37" s="4">
        <f t="shared" si="9"/>
        <v>0</v>
      </c>
      <c r="M37" s="4">
        <f t="shared" si="9"/>
        <v>0</v>
      </c>
      <c r="N37" s="4">
        <f t="shared" si="9"/>
        <v>0</v>
      </c>
      <c r="O37" s="4">
        <f t="shared" si="9"/>
        <v>0</v>
      </c>
      <c r="P37" s="18"/>
      <c r="Q37" s="4">
        <f>IFERROR(Q36/Q10, 0)</f>
        <v>0</v>
      </c>
    </row>
    <row r="38" spans="1:17" x14ac:dyDescent="0.3">
      <c r="A38" s="5"/>
      <c r="B38" s="30">
        <v>44462.678423958336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1"/>
    </row>
    <row r="39" spans="1:17" x14ac:dyDescent="0.3">
      <c r="A39" s="5"/>
      <c r="B39" s="31" t="s">
        <v>54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Q39" s="11"/>
    </row>
    <row r="40" spans="1:17" x14ac:dyDescent="0.3">
      <c r="A40" s="5"/>
      <c r="B40" s="2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Q40" s="11"/>
    </row>
    <row r="41" spans="1:17" x14ac:dyDescent="0.3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Q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92D050"/>
    <outlinePr summaryBelow="0" summaryRight="0"/>
    <pageSetUpPr fitToPage="1"/>
  </sheetPr>
  <dimension ref="A2:R3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","313", " - ", "Convenience Store")</f>
        <v>Department 313 - Convenience Store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-47.7</v>
      </c>
      <c r="E17" s="13">
        <f>SUM(OSRRefE20x_0)</f>
        <v>0</v>
      </c>
      <c r="F17" s="13">
        <f>SUM(OSRRefE20x_1)</f>
        <v>0</v>
      </c>
      <c r="G17" s="13">
        <f>SUM(OSRRefE20x_2)</f>
        <v>0</v>
      </c>
      <c r="H17" s="13">
        <f>SUM(OSRRefE20x_3)</f>
        <v>0</v>
      </c>
      <c r="I17" s="13">
        <f>SUM(OSRRefE20x_4)</f>
        <v>0</v>
      </c>
      <c r="J17" s="13">
        <f>SUM(OSRRefE20x_5)</f>
        <v>0</v>
      </c>
      <c r="K17" s="13">
        <f>SUM(OSRRefE20x_6)</f>
        <v>0</v>
      </c>
      <c r="L17" s="13">
        <f>SUM(OSRRefE20x_7)</f>
        <v>0</v>
      </c>
      <c r="M17" s="13">
        <f>SUM(OSRRefE20x_8)</f>
        <v>0</v>
      </c>
      <c r="N17" s="13">
        <f>SUM(OSRRefE20x_9)</f>
        <v>0</v>
      </c>
      <c r="O17" s="13">
        <f>SUM(OSRRefE20x_10)</f>
        <v>0</v>
      </c>
      <c r="Q17" s="13">
        <f>SUM(OSRRefG20x)</f>
        <v>-47.7</v>
      </c>
    </row>
    <row r="18" spans="1:17" s="34" customFormat="1" collapsed="1" x14ac:dyDescent="0.3">
      <c r="A18" s="35"/>
      <c r="B18" s="14" t="str">
        <f>CONCATENATE("     ","Telephone/Data Lines                              ")</f>
        <v xml:space="preserve">     Telephone/Data Lines                              </v>
      </c>
      <c r="C18" s="14"/>
      <c r="D18" s="1">
        <f>SUM(OSRRefD21_0x_0)</f>
        <v>-47.7</v>
      </c>
      <c r="E18" s="1">
        <f>SUM(OSRRefE21_0x_0)</f>
        <v>0</v>
      </c>
      <c r="F18" s="1">
        <f>SUM(OSRRefE21_0x_1)</f>
        <v>0</v>
      </c>
      <c r="G18" s="1">
        <f>SUM(OSRRefE21_0x_2)</f>
        <v>0</v>
      </c>
      <c r="H18" s="1">
        <f>SUM(OSRRefE21_0x_3)</f>
        <v>0</v>
      </c>
      <c r="I18" s="1">
        <f>SUM(OSRRefE21_0x_4)</f>
        <v>0</v>
      </c>
      <c r="J18" s="1">
        <f>SUM(OSRRefE21_0x_5)</f>
        <v>0</v>
      </c>
      <c r="K18" s="1">
        <f>SUM(OSRRefE21_0x_6)</f>
        <v>0</v>
      </c>
      <c r="L18" s="1">
        <f>SUM(OSRRefE21_0x_7)</f>
        <v>0</v>
      </c>
      <c r="M18" s="1">
        <f>SUM(OSRRefE21_0x_8)</f>
        <v>0</v>
      </c>
      <c r="N18" s="1">
        <f>SUM(OSRRefE21_0x_9)</f>
        <v>0</v>
      </c>
      <c r="O18" s="1">
        <f>SUM(OSRRefE21_0x_10)</f>
        <v>0</v>
      </c>
      <c r="Q18" s="2">
        <f>SUM(OSRRefD20_0x)+IFERROR(SUM(OSRRefE20_0x),0)</f>
        <v>-47.7</v>
      </c>
    </row>
    <row r="19" spans="1:17" s="34" customFormat="1" hidden="1" outlineLevel="1" x14ac:dyDescent="0.3">
      <c r="A19" s="35"/>
      <c r="B19" s="10" t="str">
        <f>CONCATENATE("          ","6309", " - ","TELEPHONE")</f>
        <v xml:space="preserve">          6309 - TELEPHONE</v>
      </c>
      <c r="C19" s="14"/>
      <c r="D19" s="2">
        <v>-47.7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/>
      <c r="Q19" s="2">
        <f>SUM(OSRRefD21_0_0x)+IFERROR(SUM(OSRRefE21_0_0x),0)</f>
        <v>-47.7</v>
      </c>
    </row>
    <row r="20" spans="1:17" s="28" customFormat="1" x14ac:dyDescent="0.3">
      <c r="A20" s="21"/>
      <c r="B20" s="2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9" customFormat="1" x14ac:dyDescent="0.3">
      <c r="A21" s="22"/>
      <c r="B21" s="16" t="s">
        <v>293</v>
      </c>
      <c r="C21" s="23"/>
      <c r="D21" s="3">
        <f>0</f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2">
        <f>SUM(OSRRefD23_0x)+IFERROR(SUM(OSRRefE23_0x),0)</f>
        <v>0</v>
      </c>
    </row>
    <row r="22" spans="1:17" x14ac:dyDescent="0.3">
      <c r="A22" s="5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</row>
    <row r="23" spans="1:17" s="15" customFormat="1" x14ac:dyDescent="0.3">
      <c r="A23" s="6"/>
      <c r="B23" s="17" t="s">
        <v>276</v>
      </c>
      <c r="C23" s="17"/>
      <c r="D23" s="8">
        <f t="shared" ref="D23:O23" si="4">IFERROR(+D14-D17+D21, 0)</f>
        <v>47.7</v>
      </c>
      <c r="E23" s="8">
        <f t="shared" si="4"/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8">
        <f t="shared" si="4"/>
        <v>0</v>
      </c>
      <c r="Q23" s="8">
        <f>IFERROR(+Q14-Q17+Q21, 0)</f>
        <v>47.7</v>
      </c>
    </row>
    <row r="24" spans="1:17" s="6" customFormat="1" x14ac:dyDescent="0.3">
      <c r="B24" s="16"/>
      <c r="C24" s="16"/>
      <c r="D24" s="4">
        <f t="shared" ref="D24:O24" si="5">IFERROR(D23/D10, 0)</f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18"/>
      <c r="Q24" s="4">
        <f>IFERROR(Q23/Q10, 0)</f>
        <v>0</v>
      </c>
    </row>
    <row r="25" spans="1:17" x14ac:dyDescent="0.3">
      <c r="A25" s="5"/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</row>
    <row r="26" spans="1:17" s="15" customFormat="1" x14ac:dyDescent="0.3">
      <c r="A26" s="25"/>
      <c r="B26" s="6" t="s">
        <v>125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2">
        <f>SUM(OSRRefD28_0x)+IFERROR(SUM(OSRRefE28_0x),0)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ht="15" thickBot="1" x14ac:dyDescent="0.35">
      <c r="A28" s="6"/>
      <c r="B28" s="17" t="s">
        <v>124</v>
      </c>
      <c r="C28" s="17"/>
      <c r="D28" s="7">
        <f t="shared" ref="D28:O28" si="6">IFERROR(+D23-D26, 0)</f>
        <v>47.7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Q28" s="7">
        <f>IFERROR(+Q23-Q26, 0)</f>
        <v>47.7</v>
      </c>
    </row>
    <row r="29" spans="1:17" ht="15" thickTop="1" x14ac:dyDescent="0.3">
      <c r="A29" s="5"/>
      <c r="B29" s="5"/>
      <c r="C29" s="5"/>
      <c r="D29" s="4">
        <f t="shared" ref="D29:O29" si="7">IFERROR(D28/D10, 0)</f>
        <v>0</v>
      </c>
      <c r="E29" s="4">
        <f t="shared" si="7"/>
        <v>0</v>
      </c>
      <c r="F29" s="4">
        <f t="shared" si="7"/>
        <v>0</v>
      </c>
      <c r="G29" s="4">
        <f t="shared" si="7"/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18"/>
      <c r="Q29" s="4">
        <f>IFERROR(Q28/Q10, 0)</f>
        <v>0</v>
      </c>
    </row>
    <row r="30" spans="1:17" x14ac:dyDescent="0.3">
      <c r="A30" s="5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</row>
    <row r="31" spans="1:17" x14ac:dyDescent="0.3">
      <c r="A31" s="5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s="15" customFormat="1" ht="15" thickBot="1" x14ac:dyDescent="0.35">
      <c r="A32" s="6"/>
      <c r="B32" s="17" t="s">
        <v>294</v>
      </c>
      <c r="C32" s="17"/>
      <c r="D32" s="7">
        <f t="shared" ref="D32:O32" si="8">IFERROR(SUM(D28:D31), 0)</f>
        <v>47.7</v>
      </c>
      <c r="E32" s="7">
        <f t="shared" si="8"/>
        <v>0</v>
      </c>
      <c r="F32" s="7">
        <f t="shared" si="8"/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Q32" s="7">
        <f>IFERROR(SUM(Q28:Q31), 0)</f>
        <v>47.7</v>
      </c>
    </row>
    <row r="33" spans="1:17" ht="15" thickTop="1" x14ac:dyDescent="0.3">
      <c r="A33" s="5"/>
      <c r="C33" s="5"/>
      <c r="D33" s="4">
        <f t="shared" ref="D33:O33" si="9">IFERROR(D32/D10, 0)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  <c r="H33" s="4">
        <f t="shared" si="9"/>
        <v>0</v>
      </c>
      <c r="I33" s="4">
        <f t="shared" si="9"/>
        <v>0</v>
      </c>
      <c r="J33" s="4">
        <f t="shared" si="9"/>
        <v>0</v>
      </c>
      <c r="K33" s="4">
        <f t="shared" si="9"/>
        <v>0</v>
      </c>
      <c r="L33" s="4">
        <f t="shared" si="9"/>
        <v>0</v>
      </c>
      <c r="M33" s="4">
        <f t="shared" si="9"/>
        <v>0</v>
      </c>
      <c r="N33" s="4">
        <f t="shared" si="9"/>
        <v>0</v>
      </c>
      <c r="O33" s="4">
        <f t="shared" si="9"/>
        <v>0</v>
      </c>
      <c r="P33" s="18"/>
      <c r="Q33" s="4">
        <f>IFERROR(Q32/Q10, 0)</f>
        <v>0</v>
      </c>
    </row>
    <row r="34" spans="1:17" x14ac:dyDescent="0.3">
      <c r="A34" s="5"/>
      <c r="B34" s="30">
        <v>44462.678423958336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1"/>
    </row>
    <row r="35" spans="1:17" x14ac:dyDescent="0.3">
      <c r="A35" s="5"/>
      <c r="B35" s="31" t="s">
        <v>54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A36" s="5"/>
      <c r="B36" s="2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92D050"/>
    <outlinePr summaryBelow="0" summaryRight="0"/>
    <pageSetUpPr fitToPage="1"/>
  </sheetPr>
  <dimension ref="A2:R80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","321", " - ", "Corner Market")</f>
        <v>Department 321 - Corner Market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4495</v>
      </c>
      <c r="F10" s="3">
        <f>SUM(OSRRefE11x_1)</f>
        <v>13597</v>
      </c>
      <c r="G10" s="3">
        <f>SUM(OSRRefE11x_2)</f>
        <v>15361</v>
      </c>
      <c r="H10" s="3">
        <f>SUM(OSRRefE11x_3)</f>
        <v>7209</v>
      </c>
      <c r="I10" s="3">
        <f>SUM(OSRRefE11x_4)</f>
        <v>6800</v>
      </c>
      <c r="J10" s="3">
        <f>SUM(OSRRefE11x_5)</f>
        <v>10539</v>
      </c>
      <c r="K10" s="3">
        <f>SUM(OSRRefE11x_6)</f>
        <v>29378</v>
      </c>
      <c r="L10" s="3">
        <f>SUM(OSRRefE11x_7)</f>
        <v>27729</v>
      </c>
      <c r="M10" s="3">
        <f>SUM(OSRRefE11x_8)</f>
        <v>24819</v>
      </c>
      <c r="N10" s="3">
        <f>SUM(OSRRefE11x_9)</f>
        <v>13768</v>
      </c>
      <c r="O10" s="3">
        <f>SUM(OSRRefE11x_10)</f>
        <v>3734</v>
      </c>
      <c r="P10" s="24"/>
      <c r="Q10" s="3">
        <f>SUM(OSRRefG11x)</f>
        <v>157429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1044</v>
      </c>
      <c r="F11" s="2">
        <v>3157</v>
      </c>
      <c r="G11" s="2">
        <v>3567</v>
      </c>
      <c r="H11" s="2">
        <v>1674</v>
      </c>
      <c r="I11" s="2">
        <v>1579</v>
      </c>
      <c r="J11" s="2">
        <v>2447</v>
      </c>
      <c r="K11" s="2">
        <v>6822</v>
      </c>
      <c r="L11" s="2">
        <v>6439</v>
      </c>
      <c r="M11" s="2">
        <v>5763</v>
      </c>
      <c r="N11" s="2">
        <v>3197</v>
      </c>
      <c r="O11" s="2">
        <v>867</v>
      </c>
      <c r="Q11" s="2">
        <f>SUM(OSRRefD11_0x)+IFERROR(SUM(OSRRefE11_0x),0)</f>
        <v>36556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3451</v>
      </c>
      <c r="F12" s="2">
        <v>10440</v>
      </c>
      <c r="G12" s="2">
        <v>11794</v>
      </c>
      <c r="H12" s="2">
        <v>5535</v>
      </c>
      <c r="I12" s="2">
        <v>5221</v>
      </c>
      <c r="J12" s="2">
        <v>8092</v>
      </c>
      <c r="K12" s="2">
        <v>22556</v>
      </c>
      <c r="L12" s="2">
        <v>21290</v>
      </c>
      <c r="M12" s="2">
        <v>19056</v>
      </c>
      <c r="N12" s="2">
        <v>10571</v>
      </c>
      <c r="O12" s="2">
        <v>2867</v>
      </c>
      <c r="Q12" s="2">
        <f>SUM(OSRRefD11_1x)+IFERROR(SUM(OSRRefE11_1x),0)</f>
        <v>120873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2203</v>
      </c>
      <c r="F14" s="3">
        <f>SUM(OSRRefE14x_1)</f>
        <v>6662</v>
      </c>
      <c r="G14" s="3">
        <f>SUM(OSRRefE14x_2)</f>
        <v>7527</v>
      </c>
      <c r="H14" s="3">
        <f>SUM(OSRRefE14x_3)</f>
        <v>3532</v>
      </c>
      <c r="I14" s="3">
        <f>SUM(OSRRefE14x_4)</f>
        <v>3332</v>
      </c>
      <c r="J14" s="3">
        <f>SUM(OSRRefE14x_5)</f>
        <v>5164</v>
      </c>
      <c r="K14" s="3">
        <f>SUM(OSRRefE14x_6)</f>
        <v>14395</v>
      </c>
      <c r="L14" s="3">
        <f>SUM(OSRRefE14x_7)</f>
        <v>13587</v>
      </c>
      <c r="M14" s="3">
        <f>SUM(OSRRefE14x_8)</f>
        <v>12161</v>
      </c>
      <c r="N14" s="3">
        <f>SUM(OSRRefE14x_9)</f>
        <v>6746</v>
      </c>
      <c r="O14" s="3">
        <f>SUM(OSRRefE14x_10)</f>
        <v>1830</v>
      </c>
      <c r="Q14" s="3">
        <f>SUM(OSRRefG14x)</f>
        <v>77139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2203</v>
      </c>
      <c r="F15" s="2">
        <v>6662</v>
      </c>
      <c r="G15" s="2">
        <v>7527</v>
      </c>
      <c r="H15" s="2">
        <v>3532</v>
      </c>
      <c r="I15" s="2">
        <v>3332</v>
      </c>
      <c r="J15" s="2">
        <v>5164</v>
      </c>
      <c r="K15" s="2">
        <v>14395</v>
      </c>
      <c r="L15" s="2">
        <v>13587</v>
      </c>
      <c r="M15" s="2">
        <v>12161</v>
      </c>
      <c r="N15" s="2">
        <v>6746</v>
      </c>
      <c r="O15" s="2">
        <v>1830</v>
      </c>
      <c r="Q15" s="2">
        <f>SUM(OSRRefD14_0x)+IFERROR(SUM(OSRRefE14_0x),0)</f>
        <v>77139</v>
      </c>
    </row>
    <row r="16" spans="1:18" x14ac:dyDescent="0.3">
      <c r="A16" s="5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15" customFormat="1" x14ac:dyDescent="0.3">
      <c r="A17" s="6"/>
      <c r="B17" s="17" t="s">
        <v>105</v>
      </c>
      <c r="C17" s="17"/>
      <c r="D17" s="8">
        <f t="shared" ref="D17:O17" si="1">IFERROR(+D10-D14, 0)</f>
        <v>0</v>
      </c>
      <c r="E17" s="8">
        <f t="shared" si="1"/>
        <v>2292</v>
      </c>
      <c r="F17" s="8">
        <f t="shared" si="1"/>
        <v>6935</v>
      </c>
      <c r="G17" s="8">
        <f t="shared" si="1"/>
        <v>7834</v>
      </c>
      <c r="H17" s="8">
        <f t="shared" si="1"/>
        <v>3677</v>
      </c>
      <c r="I17" s="8">
        <f t="shared" si="1"/>
        <v>3468</v>
      </c>
      <c r="J17" s="8">
        <f t="shared" si="1"/>
        <v>5375</v>
      </c>
      <c r="K17" s="8">
        <f t="shared" si="1"/>
        <v>14983</v>
      </c>
      <c r="L17" s="8">
        <f t="shared" si="1"/>
        <v>14142</v>
      </c>
      <c r="M17" s="8">
        <f t="shared" si="1"/>
        <v>12658</v>
      </c>
      <c r="N17" s="8">
        <f t="shared" si="1"/>
        <v>7022</v>
      </c>
      <c r="O17" s="8">
        <f t="shared" si="1"/>
        <v>1904</v>
      </c>
      <c r="Q17" s="8">
        <f>IFERROR(+Q10-Q14, 0)</f>
        <v>80290</v>
      </c>
    </row>
    <row r="18" spans="1:17" s="6" customFormat="1" x14ac:dyDescent="0.3">
      <c r="B18" s="16"/>
      <c r="C18" s="16"/>
      <c r="D18" s="4">
        <f t="shared" ref="D18:O18" si="2">IFERROR(D17/D10, 0)</f>
        <v>0</v>
      </c>
      <c r="E18" s="4">
        <f t="shared" si="2"/>
        <v>0.5098998887652948</v>
      </c>
      <c r="F18" s="4">
        <f t="shared" si="2"/>
        <v>0.51003897918658525</v>
      </c>
      <c r="G18" s="4">
        <f t="shared" si="2"/>
        <v>0.50999283900787706</v>
      </c>
      <c r="H18" s="4">
        <f t="shared" si="2"/>
        <v>0.51005687335275351</v>
      </c>
      <c r="I18" s="4">
        <f t="shared" si="2"/>
        <v>0.51</v>
      </c>
      <c r="J18" s="4">
        <f t="shared" si="2"/>
        <v>0.51001043742290542</v>
      </c>
      <c r="K18" s="4">
        <f t="shared" si="2"/>
        <v>0.51000748859690925</v>
      </c>
      <c r="L18" s="4">
        <f t="shared" si="2"/>
        <v>0.51000757329871249</v>
      </c>
      <c r="M18" s="4">
        <f t="shared" si="2"/>
        <v>0.51001249043071839</v>
      </c>
      <c r="N18" s="4">
        <f t="shared" si="2"/>
        <v>0.51002324230098783</v>
      </c>
      <c r="O18" s="4">
        <f t="shared" si="2"/>
        <v>0.50990894483128013</v>
      </c>
      <c r="P18" s="18"/>
      <c r="Q18" s="4">
        <f>IFERROR(Q17/Q10, 0)</f>
        <v>0.51000768600448454</v>
      </c>
    </row>
    <row r="19" spans="1:17" x14ac:dyDescent="0.3">
      <c r="A19" s="5"/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s="15" customFormat="1" x14ac:dyDescent="0.3">
      <c r="A20" s="6"/>
      <c r="B20" s="16" t="s">
        <v>255</v>
      </c>
      <c r="C20" s="6"/>
      <c r="D20" s="13">
        <f>SUM(OSRRefD20x_0)</f>
        <v>1184.5100000000002</v>
      </c>
      <c r="E20" s="13">
        <f>SUM(OSRRefE20x_0)</f>
        <v>8350.3832249999996</v>
      </c>
      <c r="F20" s="13">
        <f>SUM(OSRRefE20x_1)</f>
        <v>9452.8340000000007</v>
      </c>
      <c r="G20" s="13">
        <f>SUM(OSRRefE20x_2)</f>
        <v>10934.642125</v>
      </c>
      <c r="H20" s="13">
        <f>SUM(OSRRefE20x_3)</f>
        <v>5939.7935750000006</v>
      </c>
      <c r="I20" s="13">
        <f>SUM(OSRRefE20x_4)</f>
        <v>4682.2235249999994</v>
      </c>
      <c r="J20" s="13">
        <f>SUM(OSRRefE20x_5)</f>
        <v>7444.6191252500003</v>
      </c>
      <c r="K20" s="13">
        <f>SUM(OSRRefE20x_6)</f>
        <v>11120.174618999999</v>
      </c>
      <c r="L20" s="13">
        <f>SUM(OSRRefE20x_7)</f>
        <v>8891.6191252499993</v>
      </c>
      <c r="M20" s="13">
        <f>SUM(OSRRefE20x_8)</f>
        <v>11577.78563475</v>
      </c>
      <c r="N20" s="13">
        <f>SUM(OSRRefE20x_9)</f>
        <v>4809.0832547499995</v>
      </c>
      <c r="O20" s="13">
        <f>SUM(OSRRefE20x_10)</f>
        <v>4053.9526240000005</v>
      </c>
      <c r="Q20" s="13">
        <f>SUM(OSRRefG20x)</f>
        <v>88441.620833000008</v>
      </c>
    </row>
    <row r="21" spans="1:17" s="34" customFormat="1" collapsed="1" x14ac:dyDescent="0.3">
      <c r="A21" s="35"/>
      <c r="B21" s="14" t="str">
        <f>CONCATENATE("     ","*Benefits                                         ")</f>
        <v xml:space="preserve">     *Benefits                                         </v>
      </c>
      <c r="C21" s="14"/>
      <c r="D21" s="1">
        <f>SUM(OSRRefD21_0x_0)</f>
        <v>0</v>
      </c>
      <c r="E21" s="1">
        <f>SUM(OSRRefE21_0x_0)</f>
        <v>579.00822500000004</v>
      </c>
      <c r="F21" s="1">
        <f>SUM(OSRRefE21_0x_1)</f>
        <v>477.39400000000006</v>
      </c>
      <c r="G21" s="1">
        <f>SUM(OSRRefE21_0x_2)</f>
        <v>629.39712499999996</v>
      </c>
      <c r="H21" s="1">
        <f>SUM(OSRRefE21_0x_3)</f>
        <v>351.31857500000001</v>
      </c>
      <c r="I21" s="1">
        <f>SUM(OSRRefE21_0x_4)</f>
        <v>201.89852500000001</v>
      </c>
      <c r="J21" s="1">
        <f>SUM(OSRRefE21_0x_5)</f>
        <v>375.91087525</v>
      </c>
      <c r="K21" s="1">
        <f>SUM(OSRRefE21_0x_6)</f>
        <v>537.50561900000002</v>
      </c>
      <c r="L21" s="1">
        <f>SUM(OSRRefE21_0x_7)</f>
        <v>375.91087525</v>
      </c>
      <c r="M21" s="1">
        <f>SUM(OSRRefE21_0x_8)</f>
        <v>645.71228474999998</v>
      </c>
      <c r="N21" s="1">
        <f>SUM(OSRRefE21_0x_9)</f>
        <v>134.90070474999999</v>
      </c>
      <c r="O21" s="1">
        <f>SUM(OSRRefE21_0x_10)</f>
        <v>326.43902400000002</v>
      </c>
      <c r="Q21" s="2">
        <f>SUM(OSRRefD20_0x)+IFERROR(SUM(OSRRefE20_0x),0)</f>
        <v>4635.3958330000005</v>
      </c>
    </row>
    <row r="22" spans="1:17" s="34" customFormat="1" hidden="1" outlineLevel="1" x14ac:dyDescent="0.3">
      <c r="A22" s="35"/>
      <c r="B22" s="10" t="str">
        <f>CONCATENATE("          ","6111", " - ","F.I.C.A.")</f>
        <v xml:space="preserve">          6111 - F.I.C.A.</v>
      </c>
      <c r="C22" s="14"/>
      <c r="D22" s="2"/>
      <c r="E22" s="2">
        <v>247.38322500000001</v>
      </c>
      <c r="F22" s="2">
        <v>137.75399999999999</v>
      </c>
      <c r="G22" s="2">
        <v>180.80212499999999</v>
      </c>
      <c r="H22" s="2">
        <v>101.593575</v>
      </c>
      <c r="I22" s="2">
        <v>56.823524999999997</v>
      </c>
      <c r="J22" s="2">
        <v>108.70512524999999</v>
      </c>
      <c r="K22" s="2">
        <v>154.76661899999999</v>
      </c>
      <c r="L22" s="2">
        <v>108.70512524999999</v>
      </c>
      <c r="M22" s="2">
        <v>186.08843475</v>
      </c>
      <c r="N22" s="2">
        <v>38.691654749999998</v>
      </c>
      <c r="O22" s="2">
        <v>117.917424</v>
      </c>
      <c r="P22" s="9"/>
      <c r="Q22" s="2">
        <f>SUM(OSRRefD21_0_0x)+IFERROR(SUM(OSRRefE21_0_0x),0)</f>
        <v>1439.2308330000001</v>
      </c>
    </row>
    <row r="23" spans="1:17" s="34" customFormat="1" hidden="1" outlineLevel="1" x14ac:dyDescent="0.3">
      <c r="A23" s="35"/>
      <c r="B23" s="10" t="str">
        <f>CONCATENATE("          ","6112", " - ","COMPENSATION INSURANCE")</f>
        <v xml:space="preserve">          6112 - COMPENSATION INSURANCE</v>
      </c>
      <c r="C23" s="14"/>
      <c r="D23" s="2"/>
      <c r="E23" s="2">
        <v>179.55125000000001</v>
      </c>
      <c r="F23" s="2">
        <v>183.89080000000001</v>
      </c>
      <c r="G23" s="2">
        <v>242.88215</v>
      </c>
      <c r="H23" s="2">
        <v>135.20824999999999</v>
      </c>
      <c r="I23" s="2">
        <v>78.547749999999994</v>
      </c>
      <c r="J23" s="2">
        <v>144.67282750000001</v>
      </c>
      <c r="K23" s="2">
        <v>207.22583</v>
      </c>
      <c r="L23" s="2">
        <v>144.67282750000001</v>
      </c>
      <c r="M23" s="2">
        <v>248.85348450000001</v>
      </c>
      <c r="N23" s="2">
        <v>52.090328499999998</v>
      </c>
      <c r="O23" s="2">
        <v>112.899552</v>
      </c>
      <c r="P23" s="9"/>
      <c r="Q23" s="2">
        <f>SUM(OSRRefD21_0_1x)+IFERROR(SUM(OSRRefE21_0_1x),0)</f>
        <v>1730.49505</v>
      </c>
    </row>
    <row r="24" spans="1:17" s="34" customFormat="1" hidden="1" outlineLevel="1" x14ac:dyDescent="0.3">
      <c r="A24" s="35"/>
      <c r="B24" s="10" t="str">
        <f>CONCATENATE("          ","6113", " - ","GROUP INSURANCE")</f>
        <v xml:space="preserve">          6113 - GROUP INSURANCE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SUM(OSRRefD21_0_2x)+IFERROR(SUM(OSRRefE21_0_2x),0)</f>
        <v>0</v>
      </c>
    </row>
    <row r="25" spans="1:17" s="34" customFormat="1" hidden="1" outlineLevel="1" x14ac:dyDescent="0.3">
      <c r="A25" s="35"/>
      <c r="B25" s="10" t="str">
        <f>CONCATENATE("          ","6114", " - ","STATE UNEMPLOYMENT INSURANCE")</f>
        <v xml:space="preserve">          6114 - STATE UNEMPLOYMENT INSURANCE</v>
      </c>
      <c r="C25" s="14"/>
      <c r="D25" s="2"/>
      <c r="E25" s="2">
        <v>9.9487500000000004</v>
      </c>
      <c r="F25" s="2">
        <v>10.1892</v>
      </c>
      <c r="G25" s="2">
        <v>13.457850000000001</v>
      </c>
      <c r="H25" s="2">
        <v>7.4917499999999997</v>
      </c>
      <c r="I25" s="2">
        <v>4.3522499999999997</v>
      </c>
      <c r="J25" s="2">
        <v>8.0161724999999997</v>
      </c>
      <c r="K25" s="2">
        <v>11.48217</v>
      </c>
      <c r="L25" s="2">
        <v>8.0161724999999997</v>
      </c>
      <c r="M25" s="2">
        <v>13.7887155</v>
      </c>
      <c r="N25" s="2">
        <v>2.8862714999999999</v>
      </c>
      <c r="O25" s="2">
        <v>6.2556479999999999</v>
      </c>
      <c r="P25" s="9"/>
      <c r="Q25" s="2">
        <f>SUM(OSRRefD21_0_3x)+IFERROR(SUM(OSRRefE21_0_3x),0)</f>
        <v>95.884949999999975</v>
      </c>
    </row>
    <row r="26" spans="1:17" s="34" customFormat="1" hidden="1" outlineLevel="1" x14ac:dyDescent="0.3">
      <c r="A26" s="35"/>
      <c r="B26" s="10" t="str">
        <f>CONCATENATE("          ","6115", " - ","P.E.R.S.")</f>
        <v xml:space="preserve">          6115 - P.E.R.S.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9"/>
      <c r="Q26" s="2">
        <f>SUM(OSRRefD21_0_4x)+IFERROR(SUM(OSRRefE21_0_4x),0)</f>
        <v>0</v>
      </c>
    </row>
    <row r="27" spans="1:17" s="34" customFormat="1" hidden="1" outlineLevel="1" x14ac:dyDescent="0.3">
      <c r="A27" s="35"/>
      <c r="B27" s="10" t="str">
        <f>CONCATENATE("          ","6116", " - ","EDUCATIONAL BENEFITS")</f>
        <v xml:space="preserve">          6116 - EDUCATIONAL BENEFITS</v>
      </c>
      <c r="C27" s="14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9"/>
      <c r="Q27" s="2">
        <f>SUM(OSRRefD21_0_5x)+IFERROR(SUM(OSRRefE21_0_5x),0)</f>
        <v>0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SUM(OSRRefD21_0_6x)+IFERROR(SUM(OSRRefE21_0_6x),0)</f>
        <v>0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/>
      <c r="E29" s="2">
        <v>142.125</v>
      </c>
      <c r="F29" s="2">
        <v>145.56</v>
      </c>
      <c r="G29" s="2">
        <v>192.255</v>
      </c>
      <c r="H29" s="2">
        <v>107.02500000000001</v>
      </c>
      <c r="I29" s="2">
        <v>62.174999999999997</v>
      </c>
      <c r="J29" s="2">
        <v>114.51675</v>
      </c>
      <c r="K29" s="2">
        <v>164.03100000000001</v>
      </c>
      <c r="L29" s="2">
        <v>114.51675</v>
      </c>
      <c r="M29" s="2">
        <v>196.98165</v>
      </c>
      <c r="N29" s="2">
        <v>41.23245</v>
      </c>
      <c r="O29" s="2">
        <v>89.366399999999999</v>
      </c>
      <c r="P29" s="9"/>
      <c r="Q29" s="2">
        <f>SUM(OSRRefD21_0_7x)+IFERROR(SUM(OSRRefE21_0_7x),0)</f>
        <v>1369.7849999999999</v>
      </c>
    </row>
    <row r="30" spans="1:17" s="34" customFormat="1" collapsed="1" x14ac:dyDescent="0.3">
      <c r="A30" s="35"/>
      <c r="B30" s="14" t="str">
        <f>CONCATENATE("     ","*Payroll                                          ")</f>
        <v xml:space="preserve">     *Payroll                                          </v>
      </c>
      <c r="C30" s="14"/>
      <c r="D30" s="1">
        <f>SUM(OSRRefD21_1x_0)</f>
        <v>0</v>
      </c>
      <c r="E30" s="1">
        <f>SUM(OSRRefE21_1x_0)</f>
        <v>4595.375</v>
      </c>
      <c r="F30" s="1">
        <f>SUM(OSRRefE21_1x_1)</f>
        <v>4706.4400000000005</v>
      </c>
      <c r="G30" s="1">
        <f>SUM(OSRRefE21_1x_2)</f>
        <v>6216.2449999999999</v>
      </c>
      <c r="H30" s="1">
        <f>SUM(OSRRefE21_1x_3)</f>
        <v>3460.4750000000004</v>
      </c>
      <c r="I30" s="1">
        <f>SUM(OSRRefE21_1x_4)</f>
        <v>2010.3249999999998</v>
      </c>
      <c r="J30" s="1">
        <f>SUM(OSRRefE21_1x_5)</f>
        <v>3702.7082500000001</v>
      </c>
      <c r="K30" s="1">
        <f>SUM(OSRRefE21_1x_6)</f>
        <v>5303.6689999999999</v>
      </c>
      <c r="L30" s="1">
        <f>SUM(OSRRefE21_1x_7)</f>
        <v>3702.7082500000001</v>
      </c>
      <c r="M30" s="1">
        <f>SUM(OSRRefE21_1x_8)</f>
        <v>6369.0733500000006</v>
      </c>
      <c r="N30" s="1">
        <f>SUM(OSRRefE21_1x_9)</f>
        <v>1333.18255</v>
      </c>
      <c r="O30" s="1">
        <f>SUM(OSRRefE21_1x_10)</f>
        <v>2889.5136000000002</v>
      </c>
      <c r="Q30" s="2">
        <f>SUM(OSRRefD20_1x)+IFERROR(SUM(OSRRefE20_1x),0)</f>
        <v>44289.715000000004</v>
      </c>
    </row>
    <row r="31" spans="1:17" s="34" customFormat="1" hidden="1" outlineLevel="1" x14ac:dyDescent="0.3">
      <c r="A31" s="35"/>
      <c r="B31" s="10" t="str">
        <f>CONCATENATE("          ","6001", " - ","ADMINISTRATIVE SALARIES")</f>
        <v xml:space="preserve">          6001 - ADMINISTRATIVE SALARIES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SUM(OSRRefD21_1_0x)+IFERROR(SUM(OSRRefE21_1_0x),0)</f>
        <v>0</v>
      </c>
    </row>
    <row r="32" spans="1:17" s="34" customFormat="1" hidden="1" outlineLevel="1" x14ac:dyDescent="0.3">
      <c r="A32" s="35"/>
      <c r="B32" s="10" t="str">
        <f>CONCATENATE("          ","6002", " - ","STAFF SALARIES")</f>
        <v xml:space="preserve">          6002 - STAFF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SUM(OSRRefD21_1_1x)+IFERROR(SUM(OSRRefE21_1_1x),0)</f>
        <v>0</v>
      </c>
    </row>
    <row r="33" spans="1:17" s="34" customFormat="1" hidden="1" outlineLevel="1" x14ac:dyDescent="0.3">
      <c r="A33" s="35"/>
      <c r="B33" s="10" t="str">
        <f>CONCATENATE("          ","6003", " - ","STAFF HOURLY-9 MONTH")</f>
        <v xml:space="preserve">          6003 - STAFF HOURLY-9 MONTH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SUM(OSRRefD21_1_2x)+IFERROR(SUM(OSRRefE21_1_2x),0)</f>
        <v>0</v>
      </c>
    </row>
    <row r="34" spans="1:17" s="34" customFormat="1" hidden="1" outlineLevel="1" x14ac:dyDescent="0.3">
      <c r="A34" s="35"/>
      <c r="B34" s="10" t="str">
        <f>CONCATENATE("          ","6004", " - ","STAFF HOURLY")</f>
        <v xml:space="preserve">          6004 - STAFF HOURLY</v>
      </c>
      <c r="C34" s="14"/>
      <c r="D34" s="2"/>
      <c r="E34" s="2">
        <v>3135.5250000000001</v>
      </c>
      <c r="F34" s="2">
        <v>1746</v>
      </c>
      <c r="G34" s="2">
        <v>2291.625</v>
      </c>
      <c r="H34" s="2">
        <v>1287.675</v>
      </c>
      <c r="I34" s="2">
        <v>720.22500000000002</v>
      </c>
      <c r="J34" s="2">
        <v>1377.8122499999999</v>
      </c>
      <c r="K34" s="2">
        <v>1961.6310000000001</v>
      </c>
      <c r="L34" s="2">
        <v>1377.8122499999999</v>
      </c>
      <c r="M34" s="2">
        <v>2358.6277500000001</v>
      </c>
      <c r="N34" s="2">
        <v>490.40775000000002</v>
      </c>
      <c r="O34" s="2">
        <v>1494.576</v>
      </c>
      <c r="P34" s="9"/>
      <c r="Q34" s="2">
        <f>SUM(OSRRefD21_1_3x)+IFERROR(SUM(OSRRefE21_1_3x),0)</f>
        <v>18241.916999999998</v>
      </c>
    </row>
    <row r="35" spans="1:17" s="34" customFormat="1" hidden="1" outlineLevel="1" x14ac:dyDescent="0.3">
      <c r="A35" s="35"/>
      <c r="B35" s="10" t="str">
        <f>CONCATENATE("          ","6005", " - ","TEMPORARY WAGES-HOURLY")</f>
        <v xml:space="preserve">          6005 - TEMPORARY WAGES-HOURLY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SUM(OSRRefD21_1_4x)+IFERROR(SUM(OSRRefE21_1_4x),0)</f>
        <v>0</v>
      </c>
    </row>
    <row r="36" spans="1:17" s="34" customFormat="1" hidden="1" outlineLevel="1" x14ac:dyDescent="0.3">
      <c r="A36" s="35"/>
      <c r="B36" s="10" t="str">
        <f>CONCATENATE("          ","6006", " - ","TEMPORARY PART TIME")</f>
        <v xml:space="preserve">          6006 - TEMPORARY PART TIME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SUM(OSRRefD21_1_5x)+IFERROR(SUM(OSRRefE21_1_5x),0)</f>
        <v>0</v>
      </c>
    </row>
    <row r="37" spans="1:17" s="34" customFormat="1" hidden="1" outlineLevel="1" x14ac:dyDescent="0.3">
      <c r="A37" s="35"/>
      <c r="B37" s="10" t="str">
        <f>CONCATENATE("          ","6007", " - ","STUDENT HOURLY")</f>
        <v xml:space="preserve">          6007 - STUDENT HOURLY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SUM(OSRRefD21_1_6x)+IFERROR(SUM(OSRRefE21_1_6x),0)</f>
        <v>0</v>
      </c>
    </row>
    <row r="38" spans="1:17" s="34" customFormat="1" hidden="1" outlineLevel="1" x14ac:dyDescent="0.3">
      <c r="A38" s="35"/>
      <c r="B38" s="10" t="str">
        <f>CONCATENATE("          ","6008", " - ","STUDENT HOURLY-FICA EXEMPT")</f>
        <v xml:space="preserve">          6008 - STUDENT HOURLY-FICA EXEMPT</v>
      </c>
      <c r="C38" s="14"/>
      <c r="D38" s="2"/>
      <c r="E38" s="2">
        <v>1459.85</v>
      </c>
      <c r="F38" s="2">
        <v>2960.44</v>
      </c>
      <c r="G38" s="2">
        <v>3924.62</v>
      </c>
      <c r="H38" s="2">
        <v>2172.8000000000002</v>
      </c>
      <c r="I38" s="2">
        <v>1290.0999999999999</v>
      </c>
      <c r="J38" s="2">
        <v>2324.8960000000002</v>
      </c>
      <c r="K38" s="2">
        <v>3342.038</v>
      </c>
      <c r="L38" s="2">
        <v>2324.8960000000002</v>
      </c>
      <c r="M38" s="2">
        <v>4010.4456</v>
      </c>
      <c r="N38" s="2">
        <v>842.77480000000003</v>
      </c>
      <c r="O38" s="2">
        <v>1394.9376</v>
      </c>
      <c r="P38" s="9"/>
      <c r="Q38" s="2">
        <f>SUM(OSRRefD21_1_7x)+IFERROR(SUM(OSRRefE21_1_7x),0)</f>
        <v>26047.797999999999</v>
      </c>
    </row>
    <row r="39" spans="1:17" s="34" customFormat="1" hidden="1" outlineLevel="1" x14ac:dyDescent="0.3">
      <c r="A39" s="35"/>
      <c r="B39" s="10" t="str">
        <f>CONCATENATE("          ","6009", " - ","TEMPORARY-SEASONAL")</f>
        <v xml:space="preserve">          6009 - TEMPORARY-SEASONAL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SUM(OSRRefD21_1_8x)+IFERROR(SUM(OSRRefE21_1_8x),0)</f>
        <v>0</v>
      </c>
    </row>
    <row r="40" spans="1:17" s="34" customFormat="1" hidden="1" outlineLevel="1" x14ac:dyDescent="0.3">
      <c r="A40" s="35"/>
      <c r="B40" s="10" t="str">
        <f>CONCATENATE("          ","6010", " - ","GRATUITY")</f>
        <v xml:space="preserve">          6010 - GRATUITY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SUM(OSRRefD21_1_9x)+IFERROR(SUM(OSRRefE21_1_9x),0)</f>
        <v>0</v>
      </c>
    </row>
    <row r="41" spans="1:17" s="34" customFormat="1" collapsed="1" x14ac:dyDescent="0.3">
      <c r="A41" s="35"/>
      <c r="B41" s="14" t="str">
        <f>CONCATENATE("     ","Advertising/Promo                                 ")</f>
        <v xml:space="preserve">     Advertising/Promo                                 </v>
      </c>
      <c r="C41" s="14"/>
      <c r="D41" s="1">
        <f>SUM(OSRRefD21_2x_0)</f>
        <v>0</v>
      </c>
      <c r="E41" s="1">
        <f>SUM(OSRRefE21_2x_0)</f>
        <v>0</v>
      </c>
      <c r="F41" s="1">
        <f>SUM(OSRRefE21_2x_1)</f>
        <v>0</v>
      </c>
      <c r="G41" s="1">
        <f>SUM(OSRRefE21_2x_2)</f>
        <v>0</v>
      </c>
      <c r="H41" s="1">
        <f>SUM(OSRRefE21_2x_3)</f>
        <v>0</v>
      </c>
      <c r="I41" s="1">
        <f>SUM(OSRRefE21_2x_4)</f>
        <v>0</v>
      </c>
      <c r="J41" s="1">
        <f>SUM(OSRRefE21_2x_5)</f>
        <v>0</v>
      </c>
      <c r="K41" s="1">
        <f>SUM(OSRRefE21_2x_6)</f>
        <v>0</v>
      </c>
      <c r="L41" s="1">
        <f>SUM(OSRRefE21_2x_7)</f>
        <v>0</v>
      </c>
      <c r="M41" s="1">
        <f>SUM(OSRRefE21_2x_8)</f>
        <v>0</v>
      </c>
      <c r="N41" s="1">
        <f>SUM(OSRRefE21_2x_9)</f>
        <v>0</v>
      </c>
      <c r="O41" s="1">
        <f>SUM(OSRRefE21_2x_10)</f>
        <v>0</v>
      </c>
      <c r="Q41" s="2">
        <f>SUM(OSRRefD20_2x)+IFERROR(SUM(OSRRefE20_2x),0)</f>
        <v>0</v>
      </c>
    </row>
    <row r="42" spans="1:17" s="34" customFormat="1" hidden="1" outlineLevel="1" x14ac:dyDescent="0.3">
      <c r="A42" s="35"/>
      <c r="B42" s="10" t="str">
        <f>CONCATENATE("          ","6362", " - ","ADVERTISING EXPENSE")</f>
        <v xml:space="preserve">          6362 - ADVERTISING EXPENSE</v>
      </c>
      <c r="C42" s="14"/>
      <c r="D42" s="2"/>
      <c r="E42" s="2">
        <v>0</v>
      </c>
      <c r="F42" s="2"/>
      <c r="G42" s="2">
        <v>0</v>
      </c>
      <c r="H42" s="2"/>
      <c r="I42" s="2"/>
      <c r="J42" s="2">
        <v>0</v>
      </c>
      <c r="K42" s="2"/>
      <c r="L42" s="2">
        <v>0</v>
      </c>
      <c r="M42" s="2"/>
      <c r="N42" s="2"/>
      <c r="O42" s="2"/>
      <c r="P42" s="9"/>
      <c r="Q42" s="2">
        <f>SUM(OSRRefD21_2_0x)+IFERROR(SUM(OSRRefE21_2_0x),0)</f>
        <v>0</v>
      </c>
    </row>
    <row r="43" spans="1:17" s="34" customFormat="1" collapsed="1" x14ac:dyDescent="0.3">
      <c r="A43" s="35"/>
      <c r="B43" s="14" t="str">
        <f>CONCATENATE("     ","Bank/card Fees                                    ")</f>
        <v xml:space="preserve">     Bank/card Fees                                    </v>
      </c>
      <c r="C43" s="14"/>
      <c r="D43" s="1">
        <f>SUM(OSRRefD21_3x_0)</f>
        <v>75.12</v>
      </c>
      <c r="E43" s="1">
        <f>SUM(OSRRefE21_3x_0)</f>
        <v>153</v>
      </c>
      <c r="F43" s="1">
        <f>SUM(OSRRefE21_3x_1)</f>
        <v>464</v>
      </c>
      <c r="G43" s="1">
        <f>SUM(OSRRefE21_3x_2)</f>
        <v>524</v>
      </c>
      <c r="H43" s="1">
        <f>SUM(OSRRefE21_3x_3)</f>
        <v>246</v>
      </c>
      <c r="I43" s="1">
        <f>SUM(OSRRefE21_3x_4)</f>
        <v>232</v>
      </c>
      <c r="J43" s="1">
        <f>SUM(OSRRefE21_3x_5)</f>
        <v>359</v>
      </c>
      <c r="K43" s="1">
        <f>SUM(OSRRefE21_3x_6)</f>
        <v>1002</v>
      </c>
      <c r="L43" s="1">
        <f>SUM(OSRRefE21_3x_7)</f>
        <v>946</v>
      </c>
      <c r="M43" s="1">
        <f>SUM(OSRRefE21_3x_8)</f>
        <v>846</v>
      </c>
      <c r="N43" s="1">
        <f>SUM(OSRRefE21_3x_9)</f>
        <v>469</v>
      </c>
      <c r="O43" s="1">
        <f>SUM(OSRRefE21_3x_10)</f>
        <v>127</v>
      </c>
      <c r="Q43" s="2">
        <f>SUM(OSRRefD20_3x)+IFERROR(SUM(OSRRefE20_3x),0)</f>
        <v>5443.12</v>
      </c>
    </row>
    <row r="44" spans="1:17" s="34" customFormat="1" hidden="1" outlineLevel="1" x14ac:dyDescent="0.3">
      <c r="A44" s="35"/>
      <c r="B44" s="10" t="str">
        <f>CONCATENATE("          ","6381", " - ","BANK/CREDIT CARD FEES")</f>
        <v xml:space="preserve">          6381 - BANK/CREDIT CARD FEES</v>
      </c>
      <c r="C44" s="14"/>
      <c r="D44" s="2">
        <v>75.12</v>
      </c>
      <c r="E44" s="2">
        <v>153</v>
      </c>
      <c r="F44" s="2">
        <v>464</v>
      </c>
      <c r="G44" s="2">
        <v>524</v>
      </c>
      <c r="H44" s="2">
        <v>246</v>
      </c>
      <c r="I44" s="2">
        <v>232</v>
      </c>
      <c r="J44" s="2">
        <v>359</v>
      </c>
      <c r="K44" s="2">
        <v>1002</v>
      </c>
      <c r="L44" s="2">
        <v>946</v>
      </c>
      <c r="M44" s="2">
        <v>846</v>
      </c>
      <c r="N44" s="2">
        <v>469</v>
      </c>
      <c r="O44" s="2">
        <v>127</v>
      </c>
      <c r="P44" s="9"/>
      <c r="Q44" s="2">
        <f>SUM(OSRRefD21_3_0x)+IFERROR(SUM(OSRRefE21_3_0x),0)</f>
        <v>5443.12</v>
      </c>
    </row>
    <row r="45" spans="1:17" s="34" customFormat="1" collapsed="1" x14ac:dyDescent="0.3">
      <c r="A45" s="35"/>
      <c r="B45" s="14" t="str">
        <f>CONCATENATE("     ","Depreciation                                      ")</f>
        <v xml:space="preserve">     Depreciation                                      </v>
      </c>
      <c r="C45" s="14"/>
      <c r="D45" s="1">
        <f>SUM(OSRRefD21_4x_0)</f>
        <v>1075.3900000000001</v>
      </c>
      <c r="E45" s="1">
        <f>SUM(OSRRefE21_4x_0)</f>
        <v>1075</v>
      </c>
      <c r="F45" s="1">
        <f>SUM(OSRRefE21_4x_1)</f>
        <v>1075</v>
      </c>
      <c r="G45" s="1">
        <f>SUM(OSRRefE21_4x_2)</f>
        <v>265</v>
      </c>
      <c r="H45" s="1">
        <f>SUM(OSRRefE21_4x_3)</f>
        <v>265</v>
      </c>
      <c r="I45" s="1">
        <f>SUM(OSRRefE21_4x_4)</f>
        <v>265</v>
      </c>
      <c r="J45" s="1">
        <f>SUM(OSRRefE21_4x_5)</f>
        <v>265</v>
      </c>
      <c r="K45" s="1">
        <f>SUM(OSRRefE21_4x_6)</f>
        <v>265</v>
      </c>
      <c r="L45" s="1">
        <f>SUM(OSRRefE21_4x_7)</f>
        <v>265</v>
      </c>
      <c r="M45" s="1">
        <f>SUM(OSRRefE21_4x_8)</f>
        <v>265</v>
      </c>
      <c r="N45" s="1">
        <f>SUM(OSRRefE21_4x_9)</f>
        <v>265</v>
      </c>
      <c r="O45" s="1">
        <f>SUM(OSRRefE21_4x_10)</f>
        <v>107</v>
      </c>
      <c r="Q45" s="2">
        <f>SUM(OSRRefD20_4x)+IFERROR(SUM(OSRRefE20_4x),0)</f>
        <v>5452.39</v>
      </c>
    </row>
    <row r="46" spans="1:17" s="34" customFormat="1" hidden="1" outlineLevel="1" x14ac:dyDescent="0.3">
      <c r="A46" s="35"/>
      <c r="B46" s="10" t="str">
        <f>CONCATENATE("          ","6322", " - ","EQUIPMENT DEPRECIATION EXPENSE")</f>
        <v xml:space="preserve">          6322 - EQUIPMENT DEPRECIATION EXPENSE</v>
      </c>
      <c r="C46" s="14"/>
      <c r="D46" s="2">
        <v>1075.3900000000001</v>
      </c>
      <c r="E46" s="2">
        <v>1075</v>
      </c>
      <c r="F46" s="2">
        <v>1075</v>
      </c>
      <c r="G46" s="2">
        <v>265</v>
      </c>
      <c r="H46" s="2">
        <v>265</v>
      </c>
      <c r="I46" s="2">
        <v>265</v>
      </c>
      <c r="J46" s="2">
        <v>265</v>
      </c>
      <c r="K46" s="2">
        <v>265</v>
      </c>
      <c r="L46" s="2">
        <v>265</v>
      </c>
      <c r="M46" s="2">
        <v>265</v>
      </c>
      <c r="N46" s="2">
        <v>265</v>
      </c>
      <c r="O46" s="2">
        <v>107</v>
      </c>
      <c r="P46" s="9"/>
      <c r="Q46" s="2">
        <f>SUM(OSRRefD21_4_0x)+IFERROR(SUM(OSRRefE21_4_0x),0)</f>
        <v>5452.39</v>
      </c>
    </row>
    <row r="47" spans="1:17" s="34" customFormat="1" collapsed="1" x14ac:dyDescent="0.3">
      <c r="A47" s="35"/>
      <c r="B47" s="14" t="str">
        <f>CONCATENATE("     ","General                                           ")</f>
        <v xml:space="preserve">     General                                           </v>
      </c>
      <c r="C47" s="14"/>
      <c r="D47" s="1">
        <f>SUM(OSRRefD21_5x_0)</f>
        <v>0</v>
      </c>
      <c r="E47" s="1">
        <f>SUM(OSRRefE21_5x_0)</f>
        <v>0</v>
      </c>
      <c r="F47" s="1">
        <f>SUM(OSRRefE21_5x_1)</f>
        <v>300</v>
      </c>
      <c r="G47" s="1">
        <f>SUM(OSRRefE21_5x_2)</f>
        <v>0</v>
      </c>
      <c r="H47" s="1">
        <f>SUM(OSRRefE21_5x_3)</f>
        <v>0</v>
      </c>
      <c r="I47" s="1">
        <f>SUM(OSRRefE21_5x_4)</f>
        <v>455</v>
      </c>
      <c r="J47" s="1">
        <f>SUM(OSRRefE21_5x_5)</f>
        <v>0</v>
      </c>
      <c r="K47" s="1">
        <f>SUM(OSRRefE21_5x_6)</f>
        <v>0</v>
      </c>
      <c r="L47" s="1">
        <f>SUM(OSRRefE21_5x_7)</f>
        <v>0</v>
      </c>
      <c r="M47" s="1">
        <f>SUM(OSRRefE21_5x_8)</f>
        <v>0</v>
      </c>
      <c r="N47" s="1">
        <f>SUM(OSRRefE21_5x_9)</f>
        <v>0</v>
      </c>
      <c r="O47" s="1">
        <f>SUM(OSRRefE21_5x_10)</f>
        <v>0</v>
      </c>
      <c r="Q47" s="2">
        <f>SUM(OSRRefD20_5x)+IFERROR(SUM(OSRRefE20_5x),0)</f>
        <v>755</v>
      </c>
    </row>
    <row r="48" spans="1:17" s="34" customFormat="1" hidden="1" outlineLevel="1" x14ac:dyDescent="0.3">
      <c r="A48" s="35"/>
      <c r="B48" s="10" t="str">
        <f>CONCATENATE("          ","6279", " - ","GENERAL EXPENSE")</f>
        <v xml:space="preserve">          6279 - GENERAL EXPENSE</v>
      </c>
      <c r="C48" s="14"/>
      <c r="D48" s="2"/>
      <c r="E48" s="2"/>
      <c r="F48" s="2">
        <v>300</v>
      </c>
      <c r="G48" s="2"/>
      <c r="H48" s="2"/>
      <c r="I48" s="2">
        <v>455</v>
      </c>
      <c r="J48" s="2"/>
      <c r="K48" s="2"/>
      <c r="L48" s="2"/>
      <c r="M48" s="2"/>
      <c r="N48" s="2"/>
      <c r="O48" s="2"/>
      <c r="P48" s="9"/>
      <c r="Q48" s="2">
        <f>SUM(OSRRefD21_5_0x)+IFERROR(SUM(OSRRefE21_5_0x),0)</f>
        <v>755</v>
      </c>
    </row>
    <row r="49" spans="1:17" s="34" customFormat="1" collapsed="1" x14ac:dyDescent="0.3">
      <c r="A49" s="35"/>
      <c r="B49" s="14" t="str">
        <f>CONCATENATE("     ","Repair and Maintenance                            ")</f>
        <v xml:space="preserve">     Repair and Maintenance                            </v>
      </c>
      <c r="C49" s="14"/>
      <c r="D49" s="1">
        <f>SUM(OSRRefD21_6x_0)</f>
        <v>0</v>
      </c>
      <c r="E49" s="1">
        <f>SUM(OSRRefE21_6x_0)</f>
        <v>115</v>
      </c>
      <c r="F49" s="1">
        <f>SUM(OSRRefE21_6x_1)</f>
        <v>253</v>
      </c>
      <c r="G49" s="1">
        <f>SUM(OSRRefE21_6x_2)</f>
        <v>265</v>
      </c>
      <c r="H49" s="1">
        <f>SUM(OSRRefE21_6x_3)</f>
        <v>115</v>
      </c>
      <c r="I49" s="1">
        <f>SUM(OSRRefE21_6x_4)</f>
        <v>253</v>
      </c>
      <c r="J49" s="1">
        <f>SUM(OSRRefE21_6x_5)</f>
        <v>265</v>
      </c>
      <c r="K49" s="1">
        <f>SUM(OSRRefE21_6x_6)</f>
        <v>115</v>
      </c>
      <c r="L49" s="1">
        <f>SUM(OSRRefE21_6x_7)</f>
        <v>253</v>
      </c>
      <c r="M49" s="1">
        <f>SUM(OSRRefE21_6x_8)</f>
        <v>265</v>
      </c>
      <c r="N49" s="1">
        <f>SUM(OSRRefE21_6x_9)</f>
        <v>115</v>
      </c>
      <c r="O49" s="1">
        <f>SUM(OSRRefE21_6x_10)</f>
        <v>115</v>
      </c>
      <c r="Q49" s="2">
        <f>SUM(OSRRefD20_6x)+IFERROR(SUM(OSRRefE20_6x),0)</f>
        <v>2129</v>
      </c>
    </row>
    <row r="50" spans="1:17" s="34" customFormat="1" hidden="1" outlineLevel="1" x14ac:dyDescent="0.3">
      <c r="A50" s="35"/>
      <c r="B50" s="10" t="str">
        <f>CONCATENATE("          ","6373", " - ","MAINTENANCE CONTRACTS")</f>
        <v xml:space="preserve">          6373 - MAINTENANCE CONTRACTS</v>
      </c>
      <c r="C50" s="14"/>
      <c r="D50" s="2"/>
      <c r="E50" s="2"/>
      <c r="F50" s="2">
        <v>138</v>
      </c>
      <c r="G50" s="2">
        <v>150</v>
      </c>
      <c r="H50" s="2"/>
      <c r="I50" s="2">
        <v>138</v>
      </c>
      <c r="J50" s="2">
        <v>150</v>
      </c>
      <c r="K50" s="2"/>
      <c r="L50" s="2">
        <v>138</v>
      </c>
      <c r="M50" s="2">
        <v>150</v>
      </c>
      <c r="N50" s="2"/>
      <c r="O50" s="2"/>
      <c r="P50" s="9"/>
      <c r="Q50" s="2">
        <f>SUM(OSRRefD21_6_0x)+IFERROR(SUM(OSRRefE21_6_0x),0)</f>
        <v>864</v>
      </c>
    </row>
    <row r="51" spans="1:17" s="34" customFormat="1" hidden="1" outlineLevel="1" x14ac:dyDescent="0.3">
      <c r="A51" s="35"/>
      <c r="B51" s="10" t="str">
        <f>CONCATENATE("          ","6375", " - ","OUTSIDE REPAIRS &amp; MAINTENANCE")</f>
        <v xml:space="preserve">          6375 - OUTSIDE REPAIRS &amp; MAINTENANCE</v>
      </c>
      <c r="C51" s="14"/>
      <c r="D51" s="2"/>
      <c r="E51" s="2">
        <v>115</v>
      </c>
      <c r="F51" s="2">
        <v>115</v>
      </c>
      <c r="G51" s="2">
        <v>115</v>
      </c>
      <c r="H51" s="2">
        <v>115</v>
      </c>
      <c r="I51" s="2">
        <v>115</v>
      </c>
      <c r="J51" s="2">
        <v>115</v>
      </c>
      <c r="K51" s="2">
        <v>115</v>
      </c>
      <c r="L51" s="2">
        <v>115</v>
      </c>
      <c r="M51" s="2">
        <v>115</v>
      </c>
      <c r="N51" s="2">
        <v>115</v>
      </c>
      <c r="O51" s="2">
        <v>115</v>
      </c>
      <c r="P51" s="9"/>
      <c r="Q51" s="2">
        <f>SUM(OSRRefD21_6_1x)+IFERROR(SUM(OSRRefE21_6_1x),0)</f>
        <v>1265</v>
      </c>
    </row>
    <row r="52" spans="1:17" s="34" customFormat="1" collapsed="1" x14ac:dyDescent="0.3">
      <c r="A52" s="35"/>
      <c r="B52" s="14" t="str">
        <f>CONCATENATE("     ","Royalty &amp; Commissions                             ")</f>
        <v xml:space="preserve">     Royalty &amp; Commissions                             </v>
      </c>
      <c r="C52" s="14"/>
      <c r="D52" s="1">
        <f>SUM(OSRRefD21_7x_0)</f>
        <v>0</v>
      </c>
      <c r="E52" s="1">
        <f>SUM(OSRRefE21_7x_0)</f>
        <v>405</v>
      </c>
      <c r="F52" s="1">
        <f>SUM(OSRRefE21_7x_1)</f>
        <v>1224</v>
      </c>
      <c r="G52" s="1">
        <f>SUM(OSRRefE21_7x_2)</f>
        <v>1382</v>
      </c>
      <c r="H52" s="1">
        <f>SUM(OSRRefE21_7x_3)</f>
        <v>649</v>
      </c>
      <c r="I52" s="1">
        <f>SUM(OSRRefE21_7x_4)</f>
        <v>612</v>
      </c>
      <c r="J52" s="1">
        <f>SUM(OSRRefE21_7x_5)</f>
        <v>949</v>
      </c>
      <c r="K52" s="1">
        <f>SUM(OSRRefE21_7x_6)</f>
        <v>2644</v>
      </c>
      <c r="L52" s="1">
        <f>SUM(OSRRefE21_7x_7)</f>
        <v>2496</v>
      </c>
      <c r="M52" s="1">
        <f>SUM(OSRRefE21_7x_8)</f>
        <v>2234</v>
      </c>
      <c r="N52" s="1">
        <f>SUM(OSRRefE21_7x_9)</f>
        <v>1239</v>
      </c>
      <c r="O52" s="1">
        <f>SUM(OSRRefE21_7x_10)</f>
        <v>336</v>
      </c>
      <c r="Q52" s="2">
        <f>SUM(OSRRefD20_7x)+IFERROR(SUM(OSRRefE20_7x),0)</f>
        <v>14170</v>
      </c>
    </row>
    <row r="53" spans="1:17" s="34" customFormat="1" hidden="1" outlineLevel="1" x14ac:dyDescent="0.3">
      <c r="A53" s="35"/>
      <c r="B53" s="10" t="str">
        <f>CONCATENATE("          ","6259", " - ","ROYALTY &amp; COMMISSIONS")</f>
        <v xml:space="preserve">          6259 - ROYALTY &amp; COMMISSIONS</v>
      </c>
      <c r="C53" s="14"/>
      <c r="D53" s="2"/>
      <c r="E53" s="2">
        <v>405</v>
      </c>
      <c r="F53" s="2">
        <v>1224</v>
      </c>
      <c r="G53" s="2">
        <v>1382</v>
      </c>
      <c r="H53" s="2">
        <v>649</v>
      </c>
      <c r="I53" s="2">
        <v>612</v>
      </c>
      <c r="J53" s="2">
        <v>949</v>
      </c>
      <c r="K53" s="2">
        <v>2644</v>
      </c>
      <c r="L53" s="2">
        <v>2496</v>
      </c>
      <c r="M53" s="2">
        <v>2234</v>
      </c>
      <c r="N53" s="2">
        <v>1239</v>
      </c>
      <c r="O53" s="2">
        <v>336</v>
      </c>
      <c r="P53" s="9"/>
      <c r="Q53" s="2">
        <f>SUM(OSRRefD21_7_0x)+IFERROR(SUM(OSRRefE21_7_0x),0)</f>
        <v>14170</v>
      </c>
    </row>
    <row r="54" spans="1:17" s="34" customFormat="1" collapsed="1" x14ac:dyDescent="0.3">
      <c r="A54" s="35"/>
      <c r="B54" s="14" t="str">
        <f>CONCATENATE("     ","Services                                          ")</f>
        <v xml:space="preserve">     Services                                          </v>
      </c>
      <c r="C54" s="14"/>
      <c r="D54" s="1">
        <f>SUM(OSRRefD21_8x_0)</f>
        <v>0</v>
      </c>
      <c r="E54" s="1">
        <f>SUM(OSRRefE21_8x_0)</f>
        <v>100</v>
      </c>
      <c r="F54" s="1">
        <f>SUM(OSRRefE21_8x_1)</f>
        <v>100</v>
      </c>
      <c r="G54" s="1">
        <f>SUM(OSRRefE21_8x_2)</f>
        <v>100</v>
      </c>
      <c r="H54" s="1">
        <f>SUM(OSRRefE21_8x_3)</f>
        <v>100</v>
      </c>
      <c r="I54" s="1">
        <f>SUM(OSRRefE21_8x_4)</f>
        <v>100</v>
      </c>
      <c r="J54" s="1">
        <f>SUM(OSRRefE21_8x_5)</f>
        <v>100</v>
      </c>
      <c r="K54" s="1">
        <f>SUM(OSRRefE21_8x_6)</f>
        <v>100</v>
      </c>
      <c r="L54" s="1">
        <f>SUM(OSRRefE21_8x_7)</f>
        <v>100</v>
      </c>
      <c r="M54" s="1">
        <f>SUM(OSRRefE21_8x_8)</f>
        <v>100</v>
      </c>
      <c r="N54" s="1">
        <f>SUM(OSRRefE21_8x_9)</f>
        <v>100</v>
      </c>
      <c r="O54" s="1">
        <f>SUM(OSRRefE21_8x_10)</f>
        <v>100</v>
      </c>
      <c r="Q54" s="2">
        <f>SUM(OSRRefD20_8x)+IFERROR(SUM(OSRRefE20_8x),0)</f>
        <v>1100</v>
      </c>
    </row>
    <row r="55" spans="1:17" s="34" customFormat="1" hidden="1" outlineLevel="1" x14ac:dyDescent="0.3">
      <c r="A55" s="35"/>
      <c r="B55" s="10" t="str">
        <f>CONCATENATE("          ","6282", " - ","JANITORIAL/EXTERMINATOR EXPENS")</f>
        <v xml:space="preserve">          6282 - JANITORIAL/EXTERMINATOR EXPENS</v>
      </c>
      <c r="C55" s="14"/>
      <c r="D55" s="2"/>
      <c r="E55" s="2">
        <v>100</v>
      </c>
      <c r="F55" s="2">
        <v>100</v>
      </c>
      <c r="G55" s="2">
        <v>100</v>
      </c>
      <c r="H55" s="2">
        <v>100</v>
      </c>
      <c r="I55" s="2">
        <v>100</v>
      </c>
      <c r="J55" s="2">
        <v>100</v>
      </c>
      <c r="K55" s="2">
        <v>100</v>
      </c>
      <c r="L55" s="2">
        <v>100</v>
      </c>
      <c r="M55" s="2">
        <v>100</v>
      </c>
      <c r="N55" s="2">
        <v>100</v>
      </c>
      <c r="O55" s="2">
        <v>100</v>
      </c>
      <c r="P55" s="9"/>
      <c r="Q55" s="2">
        <f>SUM(OSRRefD21_8_0x)+IFERROR(SUM(OSRRefE21_8_0x),0)</f>
        <v>1100</v>
      </c>
    </row>
    <row r="56" spans="1:17" s="34" customFormat="1" collapsed="1" x14ac:dyDescent="0.3">
      <c r="A56" s="35"/>
      <c r="B56" s="14" t="str">
        <f>CONCATENATE("     ","Supplies                                          ")</f>
        <v xml:space="preserve">     Supplies                                          </v>
      </c>
      <c r="C56" s="14"/>
      <c r="D56" s="1">
        <f>SUM(OSRRefD21_9x_0)</f>
        <v>4.5</v>
      </c>
      <c r="E56" s="1">
        <f>SUM(OSRRefE21_9x_0)</f>
        <v>1200</v>
      </c>
      <c r="F56" s="1">
        <f>SUM(OSRRefE21_9x_1)</f>
        <v>800</v>
      </c>
      <c r="G56" s="1">
        <f>SUM(OSRRefE21_9x_2)</f>
        <v>1500</v>
      </c>
      <c r="H56" s="1">
        <f>SUM(OSRRefE21_9x_3)</f>
        <v>700</v>
      </c>
      <c r="I56" s="1">
        <f>SUM(OSRRefE21_9x_4)</f>
        <v>500</v>
      </c>
      <c r="J56" s="1">
        <f>SUM(OSRRefE21_9x_5)</f>
        <v>1300</v>
      </c>
      <c r="K56" s="1">
        <f>SUM(OSRRefE21_9x_6)</f>
        <v>1100</v>
      </c>
      <c r="L56" s="1">
        <f>SUM(OSRRefE21_9x_7)</f>
        <v>700</v>
      </c>
      <c r="M56" s="1">
        <f>SUM(OSRRefE21_9x_8)</f>
        <v>800</v>
      </c>
      <c r="N56" s="1">
        <f>SUM(OSRRefE21_9x_9)</f>
        <v>1100</v>
      </c>
      <c r="O56" s="1">
        <f>SUM(OSRRefE21_9x_10)</f>
        <v>0</v>
      </c>
      <c r="Q56" s="2">
        <f>SUM(OSRRefD20_9x)+IFERROR(SUM(OSRRefE20_9x),0)</f>
        <v>9704.5</v>
      </c>
    </row>
    <row r="57" spans="1:17" s="34" customFormat="1" hidden="1" outlineLevel="1" x14ac:dyDescent="0.3">
      <c r="A57" s="35"/>
      <c r="B57" s="10" t="str">
        <f>CONCATENATE("          ","6241", " - ","OFFICE EXPENSE")</f>
        <v xml:space="preserve">          6241 - OFFICE EXPENSE</v>
      </c>
      <c r="C57" s="14"/>
      <c r="D57" s="2">
        <v>4.5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2">
        <f>SUM(OSRRefD21_9_0x)+IFERROR(SUM(OSRRefE21_9_0x),0)</f>
        <v>4.5</v>
      </c>
    </row>
    <row r="58" spans="1:17" s="34" customFormat="1" hidden="1" outlineLevel="1" x14ac:dyDescent="0.3">
      <c r="A58" s="35"/>
      <c r="B58" s="10" t="str">
        <f>CONCATENATE("          ","6247", " - ","STORE SUPPLIES")</f>
        <v xml:space="preserve">          6247 - STORE SUPPLIES</v>
      </c>
      <c r="C58" s="14"/>
      <c r="D58" s="2"/>
      <c r="E58" s="2">
        <v>1200</v>
      </c>
      <c r="F58" s="2">
        <v>800</v>
      </c>
      <c r="G58" s="2">
        <v>1500</v>
      </c>
      <c r="H58" s="2">
        <v>700</v>
      </c>
      <c r="I58" s="2">
        <v>500</v>
      </c>
      <c r="J58" s="2">
        <v>1300</v>
      </c>
      <c r="K58" s="2">
        <v>1100</v>
      </c>
      <c r="L58" s="2">
        <v>700</v>
      </c>
      <c r="M58" s="2">
        <v>800</v>
      </c>
      <c r="N58" s="2">
        <v>1100</v>
      </c>
      <c r="O58" s="2">
        <v>0</v>
      </c>
      <c r="P58" s="9"/>
      <c r="Q58" s="2">
        <f>SUM(OSRRefD21_9_1x)+IFERROR(SUM(OSRRefE21_9_1x),0)</f>
        <v>9700</v>
      </c>
    </row>
    <row r="59" spans="1:17" s="34" customFormat="1" collapsed="1" x14ac:dyDescent="0.3">
      <c r="A59" s="35"/>
      <c r="B59" s="14" t="str">
        <f>CONCATENATE("     ","Telephone/Data Lines                              ")</f>
        <v xml:space="preserve">     Telephone/Data Lines                              </v>
      </c>
      <c r="C59" s="14"/>
      <c r="D59" s="1">
        <f>SUM(OSRRefD21_10x_0)</f>
        <v>29.5</v>
      </c>
      <c r="E59" s="1">
        <f>SUM(OSRRefE21_10x_0)</f>
        <v>53</v>
      </c>
      <c r="F59" s="1">
        <f>SUM(OSRRefE21_10x_1)</f>
        <v>53</v>
      </c>
      <c r="G59" s="1">
        <f>SUM(OSRRefE21_10x_2)</f>
        <v>53</v>
      </c>
      <c r="H59" s="1">
        <f>SUM(OSRRefE21_10x_3)</f>
        <v>53</v>
      </c>
      <c r="I59" s="1">
        <f>SUM(OSRRefE21_10x_4)</f>
        <v>53</v>
      </c>
      <c r="J59" s="1">
        <f>SUM(OSRRefE21_10x_5)</f>
        <v>53</v>
      </c>
      <c r="K59" s="1">
        <f>SUM(OSRRefE21_10x_6)</f>
        <v>53</v>
      </c>
      <c r="L59" s="1">
        <f>SUM(OSRRefE21_10x_7)</f>
        <v>53</v>
      </c>
      <c r="M59" s="1">
        <f>SUM(OSRRefE21_10x_8)</f>
        <v>53</v>
      </c>
      <c r="N59" s="1">
        <f>SUM(OSRRefE21_10x_9)</f>
        <v>53</v>
      </c>
      <c r="O59" s="1">
        <f>SUM(OSRRefE21_10x_10)</f>
        <v>53</v>
      </c>
      <c r="Q59" s="2">
        <f>SUM(OSRRefD20_10x)+IFERROR(SUM(OSRRefE20_10x),0)</f>
        <v>612.5</v>
      </c>
    </row>
    <row r="60" spans="1:17" s="34" customFormat="1" hidden="1" outlineLevel="1" x14ac:dyDescent="0.3">
      <c r="A60" s="35"/>
      <c r="B60" s="10" t="str">
        <f>CONCATENATE("          ","6309", " - ","TELEPHONE")</f>
        <v xml:space="preserve">          6309 - TELEPHONE</v>
      </c>
      <c r="C60" s="14"/>
      <c r="D60" s="2">
        <v>29.5</v>
      </c>
      <c r="E60" s="2">
        <v>53</v>
      </c>
      <c r="F60" s="2">
        <v>53</v>
      </c>
      <c r="G60" s="2">
        <v>53</v>
      </c>
      <c r="H60" s="2">
        <v>53</v>
      </c>
      <c r="I60" s="2">
        <v>53</v>
      </c>
      <c r="J60" s="2">
        <v>53</v>
      </c>
      <c r="K60" s="2">
        <v>53</v>
      </c>
      <c r="L60" s="2">
        <v>53</v>
      </c>
      <c r="M60" s="2">
        <v>53</v>
      </c>
      <c r="N60" s="2">
        <v>53</v>
      </c>
      <c r="O60" s="2">
        <v>53</v>
      </c>
      <c r="P60" s="9"/>
      <c r="Q60" s="2">
        <f>SUM(OSRRefD21_10_0x)+IFERROR(SUM(OSRRefE21_10_0x),0)</f>
        <v>612.5</v>
      </c>
    </row>
    <row r="61" spans="1:17" s="34" customFormat="1" collapsed="1" x14ac:dyDescent="0.3">
      <c r="A61" s="35"/>
      <c r="B61" s="14" t="str">
        <f>CONCATENATE("     ","Training                                          ")</f>
        <v xml:space="preserve">     Training                                          </v>
      </c>
      <c r="C61" s="14"/>
      <c r="D61" s="1">
        <f>SUM(OSRRefD21_11x_0)</f>
        <v>0</v>
      </c>
      <c r="E61" s="1">
        <f>SUM(OSRRefE21_11x_0)</f>
        <v>75</v>
      </c>
      <c r="F61" s="1">
        <f>SUM(OSRRefE21_11x_1)</f>
        <v>0</v>
      </c>
      <c r="G61" s="1">
        <f>SUM(OSRRefE21_11x_2)</f>
        <v>0</v>
      </c>
      <c r="H61" s="1">
        <f>SUM(OSRRefE21_11x_3)</f>
        <v>0</v>
      </c>
      <c r="I61" s="1">
        <f>SUM(OSRRefE21_11x_4)</f>
        <v>0</v>
      </c>
      <c r="J61" s="1">
        <f>SUM(OSRRefE21_11x_5)</f>
        <v>75</v>
      </c>
      <c r="K61" s="1">
        <f>SUM(OSRRefE21_11x_6)</f>
        <v>0</v>
      </c>
      <c r="L61" s="1">
        <f>SUM(OSRRefE21_11x_7)</f>
        <v>0</v>
      </c>
      <c r="M61" s="1">
        <f>SUM(OSRRefE21_11x_8)</f>
        <v>0</v>
      </c>
      <c r="N61" s="1">
        <f>SUM(OSRRefE21_11x_9)</f>
        <v>0</v>
      </c>
      <c r="O61" s="1">
        <f>SUM(OSRRefE21_11x_10)</f>
        <v>0</v>
      </c>
      <c r="Q61" s="2">
        <f>SUM(OSRRefD20_11x)+IFERROR(SUM(OSRRefE20_11x),0)</f>
        <v>150</v>
      </c>
    </row>
    <row r="62" spans="1:17" s="34" customFormat="1" hidden="1" outlineLevel="1" x14ac:dyDescent="0.3">
      <c r="A62" s="35"/>
      <c r="B62" s="10" t="str">
        <f>CONCATENATE("          ","6376", " - ","TRAINING")</f>
        <v xml:space="preserve">          6376 - TRAINING</v>
      </c>
      <c r="C62" s="14"/>
      <c r="D62" s="2"/>
      <c r="E62" s="2">
        <v>75</v>
      </c>
      <c r="F62" s="2"/>
      <c r="G62" s="2"/>
      <c r="H62" s="2"/>
      <c r="I62" s="2"/>
      <c r="J62" s="2">
        <v>75</v>
      </c>
      <c r="K62" s="2"/>
      <c r="L62" s="2">
        <v>0</v>
      </c>
      <c r="M62" s="2"/>
      <c r="N62" s="2"/>
      <c r="O62" s="2"/>
      <c r="P62" s="9"/>
      <c r="Q62" s="2">
        <f>SUM(OSRRefD21_11_0x)+IFERROR(SUM(OSRRefE21_11_0x),0)</f>
        <v>150</v>
      </c>
    </row>
    <row r="63" spans="1:17" s="28" customFormat="1" x14ac:dyDescent="0.3">
      <c r="A63" s="21"/>
      <c r="B63" s="21"/>
      <c r="C63" s="2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</row>
    <row r="64" spans="1:17" s="9" customFormat="1" x14ac:dyDescent="0.3">
      <c r="A64" s="22"/>
      <c r="B64" s="16" t="s">
        <v>293</v>
      </c>
      <c r="C64" s="23"/>
      <c r="D64" s="3">
        <f>0</f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2">
        <f>SUM(OSRRefD23_0x)+IFERROR(SUM(OSRRefE23_0x),0)</f>
        <v>0</v>
      </c>
    </row>
    <row r="65" spans="1:17" x14ac:dyDescent="0.3">
      <c r="A65" s="5"/>
      <c r="B65" s="6"/>
      <c r="C65" s="6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</row>
    <row r="66" spans="1:17" s="15" customFormat="1" x14ac:dyDescent="0.3">
      <c r="A66" s="6"/>
      <c r="B66" s="17" t="s">
        <v>276</v>
      </c>
      <c r="C66" s="17"/>
      <c r="D66" s="8">
        <f t="shared" ref="D66:O66" si="3">IFERROR(+D17-D20+D64, 0)</f>
        <v>-1184.5100000000002</v>
      </c>
      <c r="E66" s="8">
        <f t="shared" si="3"/>
        <v>-6058.3832249999996</v>
      </c>
      <c r="F66" s="8">
        <f t="shared" si="3"/>
        <v>-2517.8340000000007</v>
      </c>
      <c r="G66" s="8">
        <f t="shared" si="3"/>
        <v>-3100.6421250000003</v>
      </c>
      <c r="H66" s="8">
        <f t="shared" si="3"/>
        <v>-2262.7935750000006</v>
      </c>
      <c r="I66" s="8">
        <f t="shared" si="3"/>
        <v>-1214.2235249999994</v>
      </c>
      <c r="J66" s="8">
        <f t="shared" si="3"/>
        <v>-2069.6191252500003</v>
      </c>
      <c r="K66" s="8">
        <f t="shared" si="3"/>
        <v>3862.8253810000006</v>
      </c>
      <c r="L66" s="8">
        <f t="shared" si="3"/>
        <v>5250.3808747500007</v>
      </c>
      <c r="M66" s="8">
        <f t="shared" si="3"/>
        <v>1080.2143652499999</v>
      </c>
      <c r="N66" s="8">
        <f t="shared" si="3"/>
        <v>2212.9167452500005</v>
      </c>
      <c r="O66" s="8">
        <f t="shared" si="3"/>
        <v>-2149.9526240000005</v>
      </c>
      <c r="Q66" s="8">
        <f>IFERROR(+Q17-Q20+Q64, 0)</f>
        <v>-8151.6208330000081</v>
      </c>
    </row>
    <row r="67" spans="1:17" s="6" customFormat="1" x14ac:dyDescent="0.3">
      <c r="B67" s="16"/>
      <c r="C67" s="16"/>
      <c r="D67" s="4">
        <f t="shared" ref="D67:O67" si="4">IFERROR(D66/D10, 0)</f>
        <v>0</v>
      </c>
      <c r="E67" s="4">
        <f t="shared" si="4"/>
        <v>-1.3478049443826472</v>
      </c>
      <c r="F67" s="4">
        <f t="shared" si="4"/>
        <v>-0.18517570052217405</v>
      </c>
      <c r="G67" s="4">
        <f t="shared" si="4"/>
        <v>-0.2018515803007617</v>
      </c>
      <c r="H67" s="4">
        <f t="shared" si="4"/>
        <v>-0.31388452975447367</v>
      </c>
      <c r="I67" s="4">
        <f t="shared" si="4"/>
        <v>-0.17856228308823521</v>
      </c>
      <c r="J67" s="4">
        <f t="shared" si="4"/>
        <v>-0.19637718239396529</v>
      </c>
      <c r="K67" s="4">
        <f t="shared" si="4"/>
        <v>0.13148701004152769</v>
      </c>
      <c r="L67" s="4">
        <f t="shared" si="4"/>
        <v>0.18934620342421293</v>
      </c>
      <c r="M67" s="4">
        <f t="shared" si="4"/>
        <v>4.352368609734477E-2</v>
      </c>
      <c r="N67" s="4">
        <f t="shared" si="4"/>
        <v>0.16072899079386987</v>
      </c>
      <c r="O67" s="4">
        <f t="shared" si="4"/>
        <v>-0.57577734975897177</v>
      </c>
      <c r="P67" s="18"/>
      <c r="Q67" s="4">
        <f>IFERROR(Q66/Q10, 0)</f>
        <v>-5.1779664693290359E-2</v>
      </c>
    </row>
    <row r="68" spans="1:17" x14ac:dyDescent="0.3">
      <c r="A68" s="5"/>
      <c r="B68" s="6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</row>
    <row r="69" spans="1:17" s="15" customFormat="1" x14ac:dyDescent="0.3">
      <c r="A69" s="25"/>
      <c r="B69" s="6" t="s">
        <v>125</v>
      </c>
      <c r="C69" s="6"/>
      <c r="D69" s="3"/>
      <c r="E69" s="3">
        <v>503</v>
      </c>
      <c r="F69" s="3">
        <v>1461</v>
      </c>
      <c r="G69" s="3">
        <v>1882</v>
      </c>
      <c r="H69" s="3">
        <v>1236</v>
      </c>
      <c r="I69" s="3">
        <v>1062</v>
      </c>
      <c r="J69" s="3">
        <v>1122</v>
      </c>
      <c r="K69" s="3">
        <v>3415</v>
      </c>
      <c r="L69" s="3">
        <v>3336</v>
      </c>
      <c r="M69" s="3">
        <v>3195</v>
      </c>
      <c r="N69" s="3">
        <v>1839</v>
      </c>
      <c r="O69" s="3">
        <v>-1201</v>
      </c>
      <c r="Q69" s="2">
        <f>SUM(OSRRefD28_0x)+IFERROR(SUM(OSRRefE28_0x),0)</f>
        <v>17850</v>
      </c>
    </row>
    <row r="70" spans="1:17" x14ac:dyDescent="0.3">
      <c r="A70" s="5"/>
      <c r="B70" s="6"/>
      <c r="C70" s="6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1:17" s="15" customFormat="1" ht="15" thickBot="1" x14ac:dyDescent="0.35">
      <c r="A71" s="6"/>
      <c r="B71" s="17" t="s">
        <v>124</v>
      </c>
      <c r="C71" s="17"/>
      <c r="D71" s="7">
        <f t="shared" ref="D71:O71" si="5">IFERROR(+D66-D69, 0)</f>
        <v>-1184.5100000000002</v>
      </c>
      <c r="E71" s="7">
        <f t="shared" si="5"/>
        <v>-6561.3832249999996</v>
      </c>
      <c r="F71" s="7">
        <f t="shared" si="5"/>
        <v>-3978.8340000000007</v>
      </c>
      <c r="G71" s="7">
        <f t="shared" si="5"/>
        <v>-4982.6421250000003</v>
      </c>
      <c r="H71" s="7">
        <f t="shared" si="5"/>
        <v>-3498.7935750000006</v>
      </c>
      <c r="I71" s="7">
        <f t="shared" si="5"/>
        <v>-2276.2235249999994</v>
      </c>
      <c r="J71" s="7">
        <f t="shared" si="5"/>
        <v>-3191.6191252500003</v>
      </c>
      <c r="K71" s="7">
        <f t="shared" si="5"/>
        <v>447.82538100000056</v>
      </c>
      <c r="L71" s="7">
        <f t="shared" si="5"/>
        <v>1914.3808747500007</v>
      </c>
      <c r="M71" s="7">
        <f t="shared" si="5"/>
        <v>-2114.7856347500001</v>
      </c>
      <c r="N71" s="7">
        <f t="shared" si="5"/>
        <v>373.91674525000053</v>
      </c>
      <c r="O71" s="7">
        <f t="shared" si="5"/>
        <v>-948.95262400000047</v>
      </c>
      <c r="Q71" s="7">
        <f>IFERROR(+Q66-Q69, 0)</f>
        <v>-26001.620833000008</v>
      </c>
    </row>
    <row r="72" spans="1:17" ht="15" thickTop="1" x14ac:dyDescent="0.3">
      <c r="A72" s="5"/>
      <c r="B72" s="5"/>
      <c r="C72" s="5"/>
      <c r="D72" s="4">
        <f t="shared" ref="D72:O72" si="6">IFERROR(D71/D10, 0)</f>
        <v>0</v>
      </c>
      <c r="E72" s="4">
        <f t="shared" si="6"/>
        <v>-1.4597070578420466</v>
      </c>
      <c r="F72" s="4">
        <f t="shared" si="6"/>
        <v>-0.29262587335441648</v>
      </c>
      <c r="G72" s="4">
        <f t="shared" si="6"/>
        <v>-0.32436964553088993</v>
      </c>
      <c r="H72" s="4">
        <f t="shared" si="6"/>
        <v>-0.48533688098210581</v>
      </c>
      <c r="I72" s="4">
        <f t="shared" si="6"/>
        <v>-0.33473875367647049</v>
      </c>
      <c r="J72" s="4">
        <f t="shared" si="6"/>
        <v>-0.30283889602903502</v>
      </c>
      <c r="K72" s="4">
        <f t="shared" si="6"/>
        <v>1.5243562563823289E-2</v>
      </c>
      <c r="L72" s="4">
        <f t="shared" si="6"/>
        <v>6.9038943876447059E-2</v>
      </c>
      <c r="M72" s="4">
        <f t="shared" si="6"/>
        <v>-8.5208333726177532E-2</v>
      </c>
      <c r="N72" s="4">
        <f t="shared" si="6"/>
        <v>2.7158392304619444E-2</v>
      </c>
      <c r="O72" s="4">
        <f t="shared" si="6"/>
        <v>-0.25413835672201407</v>
      </c>
      <c r="P72" s="18"/>
      <c r="Q72" s="4">
        <f>IFERROR(Q71/Q10, 0)</f>
        <v>-0.16516411101512432</v>
      </c>
    </row>
    <row r="73" spans="1:17" x14ac:dyDescent="0.3">
      <c r="A73" s="5"/>
      <c r="B73" s="5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</row>
    <row r="74" spans="1:17" x14ac:dyDescent="0.3">
      <c r="A74" s="5"/>
      <c r="B74" s="5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</row>
    <row r="75" spans="1:17" s="15" customFormat="1" ht="15" thickBot="1" x14ac:dyDescent="0.35">
      <c r="A75" s="6"/>
      <c r="B75" s="17" t="s">
        <v>294</v>
      </c>
      <c r="C75" s="17"/>
      <c r="D75" s="7">
        <f t="shared" ref="D75:O75" si="7">IFERROR(SUM(D71:D74), 0)</f>
        <v>-1184.5100000000002</v>
      </c>
      <c r="E75" s="7">
        <f t="shared" si="7"/>
        <v>-6562.8429320578416</v>
      </c>
      <c r="F75" s="7">
        <f t="shared" si="7"/>
        <v>-3979.1266258733554</v>
      </c>
      <c r="G75" s="7">
        <f t="shared" si="7"/>
        <v>-4982.9664946455314</v>
      </c>
      <c r="H75" s="7">
        <f t="shared" si="7"/>
        <v>-3499.2789118809828</v>
      </c>
      <c r="I75" s="7">
        <f t="shared" si="7"/>
        <v>-2276.5582637536759</v>
      </c>
      <c r="J75" s="7">
        <f t="shared" si="7"/>
        <v>-3191.9219641460295</v>
      </c>
      <c r="K75" s="7">
        <f t="shared" si="7"/>
        <v>447.84062456256436</v>
      </c>
      <c r="L75" s="7">
        <f t="shared" si="7"/>
        <v>1914.4499136938771</v>
      </c>
      <c r="M75" s="7">
        <f t="shared" si="7"/>
        <v>-2114.8708430837264</v>
      </c>
      <c r="N75" s="7">
        <f t="shared" si="7"/>
        <v>373.94390364230514</v>
      </c>
      <c r="O75" s="7">
        <f t="shared" si="7"/>
        <v>-949.20676235672249</v>
      </c>
      <c r="Q75" s="7">
        <f>IFERROR(SUM(Q71:Q74), 0)</f>
        <v>-26001.785997111023</v>
      </c>
    </row>
    <row r="76" spans="1:17" ht="15" thickTop="1" x14ac:dyDescent="0.3">
      <c r="A76" s="5"/>
      <c r="C76" s="5"/>
      <c r="D76" s="4">
        <f t="shared" ref="D76:O76" si="8">IFERROR(D75/D10, 0)</f>
        <v>0</v>
      </c>
      <c r="E76" s="4">
        <f t="shared" si="8"/>
        <v>-1.4600317980106432</v>
      </c>
      <c r="F76" s="4">
        <f t="shared" si="8"/>
        <v>-0.29264739471010925</v>
      </c>
      <c r="G76" s="4">
        <f t="shared" si="8"/>
        <v>-0.32439076197158595</v>
      </c>
      <c r="H76" s="4">
        <f t="shared" si="8"/>
        <v>-0.48540420472756041</v>
      </c>
      <c r="I76" s="4">
        <f t="shared" si="8"/>
        <v>-0.33478797996377585</v>
      </c>
      <c r="J76" s="4">
        <f t="shared" si="8"/>
        <v>-0.3028676310983992</v>
      </c>
      <c r="K76" s="4">
        <f t="shared" si="8"/>
        <v>1.5244081440621022E-2</v>
      </c>
      <c r="L76" s="4">
        <f t="shared" si="8"/>
        <v>6.9041433650469802E-2</v>
      </c>
      <c r="M76" s="4">
        <f t="shared" si="8"/>
        <v>-8.5211766915819595E-2</v>
      </c>
      <c r="N76" s="4">
        <f t="shared" si="8"/>
        <v>2.7160364878145347E-2</v>
      </c>
      <c r="O76" s="4">
        <f t="shared" si="8"/>
        <v>-0.25420641734245381</v>
      </c>
      <c r="P76" s="18"/>
      <c r="Q76" s="4">
        <f>IFERROR(Q75/Q10, 0)</f>
        <v>-0.16516516014908958</v>
      </c>
    </row>
    <row r="77" spans="1:17" x14ac:dyDescent="0.3">
      <c r="A77" s="5"/>
      <c r="B77" s="30">
        <v>44462.678423958336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Q77" s="11"/>
    </row>
    <row r="78" spans="1:17" x14ac:dyDescent="0.3">
      <c r="A78" s="5"/>
      <c r="B78" s="31" t="s">
        <v>54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 s="11"/>
    </row>
    <row r="79" spans="1:17" x14ac:dyDescent="0.3">
      <c r="A79" s="5"/>
      <c r="B79" s="2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1"/>
    </row>
    <row r="80" spans="1:17" x14ac:dyDescent="0.3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92D050"/>
    <outlinePr summaryBelow="0" summaryRight="0"/>
    <pageSetUpPr fitToPage="1"/>
  </sheetPr>
  <dimension ref="A2:R93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","325", " - ", "Outpost C-Store")</f>
        <v>Department 325 - Outpost C-Store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7994</v>
      </c>
      <c r="F10" s="3">
        <f>SUM(OSRRefE11x_1)</f>
        <v>27854</v>
      </c>
      <c r="G10" s="3">
        <f>SUM(OSRRefE11x_2)</f>
        <v>36343</v>
      </c>
      <c r="H10" s="3">
        <f>SUM(OSRRefE11x_3)</f>
        <v>17617</v>
      </c>
      <c r="I10" s="3">
        <f>SUM(OSRRefE11x_4)</f>
        <v>16028</v>
      </c>
      <c r="J10" s="3">
        <f>SUM(OSRRefE11x_5)</f>
        <v>24837</v>
      </c>
      <c r="K10" s="3">
        <f>SUM(OSRRefE11x_6)</f>
        <v>67104</v>
      </c>
      <c r="L10" s="3">
        <f>SUM(OSRRefE11x_7)</f>
        <v>64600</v>
      </c>
      <c r="M10" s="3">
        <f>SUM(OSRRefE11x_8)</f>
        <v>59135</v>
      </c>
      <c r="N10" s="3">
        <f>SUM(OSRRefE11x_9)</f>
        <v>28802</v>
      </c>
      <c r="O10" s="3">
        <f>SUM(OSRRefE11x_10)</f>
        <v>9241</v>
      </c>
      <c r="P10" s="24"/>
      <c r="Q10" s="3">
        <f>SUM(OSRRefG11x)</f>
        <v>359555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1417</v>
      </c>
      <c r="F11" s="2">
        <v>4937</v>
      </c>
      <c r="G11" s="2">
        <v>6442</v>
      </c>
      <c r="H11" s="2">
        <v>3123</v>
      </c>
      <c r="I11" s="2">
        <v>2841</v>
      </c>
      <c r="J11" s="2">
        <v>4402</v>
      </c>
      <c r="K11" s="2">
        <v>11954</v>
      </c>
      <c r="L11" s="2">
        <v>11450</v>
      </c>
      <c r="M11" s="2">
        <v>10481</v>
      </c>
      <c r="N11" s="2">
        <v>5105</v>
      </c>
      <c r="O11" s="2">
        <v>1638</v>
      </c>
      <c r="Q11" s="2">
        <f>SUM(OSRRefD11_0x)+IFERROR(SUM(OSRRefE11_0x),0)</f>
        <v>63790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6577</v>
      </c>
      <c r="F12" s="2">
        <v>22917</v>
      </c>
      <c r="G12" s="2">
        <v>29901</v>
      </c>
      <c r="H12" s="2">
        <v>14494</v>
      </c>
      <c r="I12" s="2">
        <v>13187</v>
      </c>
      <c r="J12" s="2">
        <v>20435</v>
      </c>
      <c r="K12" s="2">
        <v>55150</v>
      </c>
      <c r="L12" s="2">
        <v>53150</v>
      </c>
      <c r="M12" s="2">
        <v>48654</v>
      </c>
      <c r="N12" s="2">
        <v>23697</v>
      </c>
      <c r="O12" s="2">
        <v>7603</v>
      </c>
      <c r="Q12" s="2">
        <f>SUM(OSRRefD11_1x)+IFERROR(SUM(OSRRefE11_1x),0)</f>
        <v>295765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3917</v>
      </c>
      <c r="F14" s="3">
        <f>SUM(OSRRefE14x_1)</f>
        <v>13649</v>
      </c>
      <c r="G14" s="3">
        <f>SUM(OSRRefE14x_2)</f>
        <v>17808</v>
      </c>
      <c r="H14" s="3">
        <f>SUM(OSRRefE14x_3)</f>
        <v>8632</v>
      </c>
      <c r="I14" s="3">
        <f>SUM(OSRRefE14x_4)</f>
        <v>7854</v>
      </c>
      <c r="J14" s="3">
        <f>SUM(OSRRefE14x_5)</f>
        <v>12170</v>
      </c>
      <c r="K14" s="3">
        <f>SUM(OSRRefE14x_6)</f>
        <v>33047</v>
      </c>
      <c r="L14" s="3">
        <f>SUM(OSRRefE14x_7)</f>
        <v>31654</v>
      </c>
      <c r="M14" s="3">
        <f>SUM(OSRRefE14x_8)</f>
        <v>28976</v>
      </c>
      <c r="N14" s="3">
        <f>SUM(OSRRefE14x_9)</f>
        <v>14113</v>
      </c>
      <c r="O14" s="3">
        <f>SUM(OSRRefE14x_10)</f>
        <v>4528</v>
      </c>
      <c r="Q14" s="3">
        <f>SUM(OSRRefG14x)</f>
        <v>176348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3917</v>
      </c>
      <c r="F15" s="2">
        <v>13649</v>
      </c>
      <c r="G15" s="2">
        <v>17808</v>
      </c>
      <c r="H15" s="2">
        <v>8632</v>
      </c>
      <c r="I15" s="2">
        <v>7854</v>
      </c>
      <c r="J15" s="2">
        <v>12170</v>
      </c>
      <c r="K15" s="2">
        <v>33047</v>
      </c>
      <c r="L15" s="2">
        <v>31654</v>
      </c>
      <c r="M15" s="2">
        <v>28976</v>
      </c>
      <c r="N15" s="2">
        <v>14113</v>
      </c>
      <c r="O15" s="2">
        <v>4528</v>
      </c>
      <c r="Q15" s="2">
        <f>SUM(OSRRefD14_0x)+IFERROR(SUM(OSRRefE14_0x),0)</f>
        <v>176348</v>
      </c>
    </row>
    <row r="16" spans="1:18" s="9" customFormat="1" hidden="1" outlineLevel="1" x14ac:dyDescent="0.3">
      <c r="A16" s="22"/>
      <c r="B16" s="10" t="str">
        <f>CONCATENATE("          ","5053", " - ","PURCHASES @ COST-FOOD")</f>
        <v xml:space="preserve">          5053 - PURCHASES @ COST-FOOD</v>
      </c>
      <c r="C16" s="23"/>
      <c r="D16" s="2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>
        <f>SUM(OSRRefD14_1x)+IFERROR(SUM(OSRRefE14_1x),0)</f>
        <v>0</v>
      </c>
    </row>
    <row r="17" spans="1:17" x14ac:dyDescent="0.3">
      <c r="A17" s="5"/>
      <c r="B17" s="6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</row>
    <row r="18" spans="1:17" s="15" customFormat="1" x14ac:dyDescent="0.3">
      <c r="A18" s="6"/>
      <c r="B18" s="17" t="s">
        <v>105</v>
      </c>
      <c r="C18" s="17"/>
      <c r="D18" s="8">
        <f t="shared" ref="D18:O18" si="1">IFERROR(+D10-D14, 0)</f>
        <v>0</v>
      </c>
      <c r="E18" s="8">
        <f t="shared" si="1"/>
        <v>4077</v>
      </c>
      <c r="F18" s="8">
        <f t="shared" si="1"/>
        <v>14205</v>
      </c>
      <c r="G18" s="8">
        <f t="shared" si="1"/>
        <v>18535</v>
      </c>
      <c r="H18" s="8">
        <f t="shared" si="1"/>
        <v>8985</v>
      </c>
      <c r="I18" s="8">
        <f t="shared" si="1"/>
        <v>8174</v>
      </c>
      <c r="J18" s="8">
        <f t="shared" si="1"/>
        <v>12667</v>
      </c>
      <c r="K18" s="8">
        <f t="shared" si="1"/>
        <v>34057</v>
      </c>
      <c r="L18" s="8">
        <f t="shared" si="1"/>
        <v>32946</v>
      </c>
      <c r="M18" s="8">
        <f t="shared" si="1"/>
        <v>30159</v>
      </c>
      <c r="N18" s="8">
        <f t="shared" si="1"/>
        <v>14689</v>
      </c>
      <c r="O18" s="8">
        <f t="shared" si="1"/>
        <v>4713</v>
      </c>
      <c r="Q18" s="8">
        <f>IFERROR(+Q10-Q14, 0)</f>
        <v>183207</v>
      </c>
    </row>
    <row r="19" spans="1:17" s="6" customFormat="1" x14ac:dyDescent="0.3">
      <c r="B19" s="16"/>
      <c r="C19" s="16"/>
      <c r="D19" s="4">
        <f t="shared" ref="D19:O19" si="2">IFERROR(D18/D10, 0)</f>
        <v>0</v>
      </c>
      <c r="E19" s="4">
        <f t="shared" si="2"/>
        <v>0.51000750562922192</v>
      </c>
      <c r="F19" s="4">
        <f t="shared" si="2"/>
        <v>0.50998061319738641</v>
      </c>
      <c r="G19" s="4">
        <f t="shared" si="2"/>
        <v>0.51000192609305783</v>
      </c>
      <c r="H19" s="4">
        <f t="shared" si="2"/>
        <v>0.51001873190668101</v>
      </c>
      <c r="I19" s="4">
        <f t="shared" si="2"/>
        <v>0.50998253057149989</v>
      </c>
      <c r="J19" s="4">
        <f t="shared" si="2"/>
        <v>0.51000523412650478</v>
      </c>
      <c r="K19" s="4">
        <f t="shared" si="2"/>
        <v>0.50752563185503097</v>
      </c>
      <c r="L19" s="4">
        <f t="shared" si="2"/>
        <v>0.51</v>
      </c>
      <c r="M19" s="4">
        <f t="shared" si="2"/>
        <v>0.51000253656886785</v>
      </c>
      <c r="N19" s="4">
        <f t="shared" si="2"/>
        <v>0.50999930560377749</v>
      </c>
      <c r="O19" s="4">
        <f t="shared" si="2"/>
        <v>0.51000973920571369</v>
      </c>
      <c r="P19" s="18"/>
      <c r="Q19" s="4">
        <f>IFERROR(Q18/Q10, 0)</f>
        <v>0.50953817913810129</v>
      </c>
    </row>
    <row r="20" spans="1:17" x14ac:dyDescent="0.3">
      <c r="A20" s="5"/>
      <c r="B20" s="6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15" customFormat="1" x14ac:dyDescent="0.3">
      <c r="A21" s="6"/>
      <c r="B21" s="16" t="s">
        <v>255</v>
      </c>
      <c r="C21" s="6"/>
      <c r="D21" s="13">
        <f>SUM(OSRRefD20x_0)</f>
        <v>10022.300000000001</v>
      </c>
      <c r="E21" s="13">
        <f>SUM(OSRRefE20x_0)</f>
        <v>24093.04736230769</v>
      </c>
      <c r="F21" s="13">
        <f>SUM(OSRRefE20x_1)</f>
        <v>32249.49741230769</v>
      </c>
      <c r="G21" s="13">
        <f>SUM(OSRRefE20x_2)</f>
        <v>34195.285365384618</v>
      </c>
      <c r="H21" s="13">
        <f>SUM(OSRRefE20x_3)</f>
        <v>25916.67481230769</v>
      </c>
      <c r="I21" s="13">
        <f>SUM(OSRRefE20x_4)</f>
        <v>26776.282512307691</v>
      </c>
      <c r="J21" s="13">
        <f>SUM(OSRRefE20x_5)</f>
        <v>26698.689544384615</v>
      </c>
      <c r="K21" s="13">
        <f>SUM(OSRRefE20x_6)</f>
        <v>33598.065348307689</v>
      </c>
      <c r="L21" s="13">
        <f>SUM(OSRRefE20x_7)</f>
        <v>31608.40856380769</v>
      </c>
      <c r="M21" s="13">
        <f>SUM(OSRRefE20x_8)</f>
        <v>34166.942968384617</v>
      </c>
      <c r="N21" s="13">
        <f>SUM(OSRRefE20x_9)</f>
        <v>27538.611335057692</v>
      </c>
      <c r="O21" s="13">
        <f>SUM(OSRRefE20x_10)</f>
        <v>23660.092781807689</v>
      </c>
      <c r="Q21" s="13">
        <f>SUM(OSRRefG20x)</f>
        <v>330523.89800636534</v>
      </c>
    </row>
    <row r="22" spans="1:17" s="34" customFormat="1" collapsed="1" x14ac:dyDescent="0.3">
      <c r="A22" s="35"/>
      <c r="B22" s="14" t="str">
        <f>CONCATENATE("     ","*Benefits                                         ")</f>
        <v xml:space="preserve">     *Benefits                                         </v>
      </c>
      <c r="C22" s="14"/>
      <c r="D22" s="1">
        <f>SUM(OSRRefD21_0x_0)</f>
        <v>0</v>
      </c>
      <c r="E22" s="1">
        <f>SUM(OSRRefE21_0x_0)</f>
        <v>3728.408131538461</v>
      </c>
      <c r="F22" s="1">
        <f>SUM(OSRRefE21_0x_1)</f>
        <v>4071.8681815384607</v>
      </c>
      <c r="G22" s="1">
        <f>SUM(OSRRefE21_0x_2)</f>
        <v>4646.7338269230768</v>
      </c>
      <c r="H22" s="1">
        <f>SUM(OSRRefE21_0x_3)</f>
        <v>3889.7855815384605</v>
      </c>
      <c r="I22" s="1">
        <f>SUM(OSRRefE21_0x_4)</f>
        <v>3929.433281538461</v>
      </c>
      <c r="J22" s="1">
        <f>SUM(OSRRefE21_0x_5)</f>
        <v>4169.3226059230765</v>
      </c>
      <c r="K22" s="1">
        <f>SUM(OSRRefE21_0x_6)</f>
        <v>4262.8589175384604</v>
      </c>
      <c r="L22" s="1">
        <f>SUM(OSRRefE21_0x_7)</f>
        <v>4196.6330330384617</v>
      </c>
      <c r="M22" s="1">
        <f>SUM(OSRRefE21_0x_8)</f>
        <v>4652.0030299230775</v>
      </c>
      <c r="N22" s="1">
        <f>SUM(OSRRefE21_0x_9)</f>
        <v>3959.9879542884605</v>
      </c>
      <c r="O22" s="1">
        <f>SUM(OSRRefE21_0x_10)</f>
        <v>3825.6398510384606</v>
      </c>
      <c r="Q22" s="2">
        <f>SUM(OSRRefD20_0x)+IFERROR(SUM(OSRRefE20_0x),0)</f>
        <v>45332.674394826914</v>
      </c>
    </row>
    <row r="23" spans="1:17" s="34" customFormat="1" hidden="1" outlineLevel="1" x14ac:dyDescent="0.3">
      <c r="A23" s="35"/>
      <c r="B23" s="10" t="str">
        <f>CONCATENATE("          ","6111", " - ","F.I.C.A.")</f>
        <v xml:space="preserve">          6111 - F.I.C.A.</v>
      </c>
      <c r="C23" s="14"/>
      <c r="D23" s="2"/>
      <c r="E23" s="2">
        <v>433.31874692307701</v>
      </c>
      <c r="F23" s="2">
        <v>478.08879692307698</v>
      </c>
      <c r="G23" s="2">
        <v>606.79459615384599</v>
      </c>
      <c r="H23" s="2">
        <v>445.94619692307703</v>
      </c>
      <c r="I23" s="2">
        <v>452.83389692307702</v>
      </c>
      <c r="J23" s="2">
        <v>523.705975153846</v>
      </c>
      <c r="K23" s="2">
        <v>530.98633292307704</v>
      </c>
      <c r="L23" s="2">
        <v>515.01834842307699</v>
      </c>
      <c r="M23" s="2">
        <v>641.62339915384598</v>
      </c>
      <c r="N23" s="2">
        <v>481.239919673077</v>
      </c>
      <c r="O23" s="2">
        <v>480.62576642307698</v>
      </c>
      <c r="P23" s="9"/>
      <c r="Q23" s="2">
        <f>SUM(OSRRefD21_0_0x)+IFERROR(SUM(OSRRefE21_0_0x),0)</f>
        <v>5590.1819755961533</v>
      </c>
    </row>
    <row r="24" spans="1:17" s="34" customFormat="1" hidden="1" outlineLevel="1" x14ac:dyDescent="0.3">
      <c r="A24" s="35"/>
      <c r="B24" s="10" t="str">
        <f>CONCATENATE("          ","6112", " - ","COMPENSATION INSURANCE")</f>
        <v xml:space="preserve">          6112 - COMPENSATION INSURANCE</v>
      </c>
      <c r="C24" s="14"/>
      <c r="D24" s="2"/>
      <c r="E24" s="2">
        <v>322.83511538461499</v>
      </c>
      <c r="F24" s="2">
        <v>484.55441538461503</v>
      </c>
      <c r="G24" s="2">
        <v>628.41406923076897</v>
      </c>
      <c r="H24" s="2">
        <v>403.37261538461502</v>
      </c>
      <c r="I24" s="2">
        <v>421.10981538461499</v>
      </c>
      <c r="J24" s="2">
        <v>414.91654723076903</v>
      </c>
      <c r="K24" s="2">
        <v>559.32201938461503</v>
      </c>
      <c r="L24" s="2">
        <v>532.11095638461597</v>
      </c>
      <c r="M24" s="2">
        <v>612.40965723076897</v>
      </c>
      <c r="N24" s="2">
        <v>422.27315588461499</v>
      </c>
      <c r="O24" s="2">
        <v>349.86577438461501</v>
      </c>
      <c r="P24" s="9"/>
      <c r="Q24" s="2">
        <f>SUM(OSRRefD21_0_1x)+IFERROR(SUM(OSRRefE21_0_1x),0)</f>
        <v>5151.1841412692283</v>
      </c>
    </row>
    <row r="25" spans="1:17" s="34" customFormat="1" hidden="1" outlineLevel="1" x14ac:dyDescent="0.3">
      <c r="A25" s="35"/>
      <c r="B25" s="10" t="str">
        <f>CONCATENATE("          ","6113", " - ","GROUP INSURANCE")</f>
        <v xml:space="preserve">          6113 - GROUP INSURANCE</v>
      </c>
      <c r="C25" s="14"/>
      <c r="D25" s="2"/>
      <c r="E25" s="2">
        <v>1977</v>
      </c>
      <c r="F25" s="2">
        <v>1977</v>
      </c>
      <c r="G25" s="2">
        <v>1977</v>
      </c>
      <c r="H25" s="2">
        <v>1977</v>
      </c>
      <c r="I25" s="2">
        <v>1977</v>
      </c>
      <c r="J25" s="2">
        <v>1977</v>
      </c>
      <c r="K25" s="2">
        <v>1977</v>
      </c>
      <c r="L25" s="2">
        <v>1977</v>
      </c>
      <c r="M25" s="2">
        <v>1977</v>
      </c>
      <c r="N25" s="2">
        <v>1977</v>
      </c>
      <c r="O25" s="2">
        <v>1977</v>
      </c>
      <c r="P25" s="9"/>
      <c r="Q25" s="2">
        <f>SUM(OSRRefD21_0_2x)+IFERROR(SUM(OSRRefE21_0_2x),0)</f>
        <v>21747</v>
      </c>
    </row>
    <row r="26" spans="1:17" s="34" customFormat="1" hidden="1" outlineLevel="1" x14ac:dyDescent="0.3">
      <c r="A26" s="35"/>
      <c r="B26" s="10" t="str">
        <f>CONCATENATE("          ","6114", " - ","STATE UNEMPLOYMENT INSURANCE")</f>
        <v xml:space="preserve">          6114 - STATE UNEMPLOYMENT INSURANCE</v>
      </c>
      <c r="C26" s="14"/>
      <c r="D26" s="2"/>
      <c r="E26" s="2">
        <v>17.8879615384615</v>
      </c>
      <c r="F26" s="2">
        <v>26.848661538461499</v>
      </c>
      <c r="G26" s="2">
        <v>34.819776923076901</v>
      </c>
      <c r="H26" s="2">
        <v>22.350461538461499</v>
      </c>
      <c r="I26" s="2">
        <v>23.3332615384615</v>
      </c>
      <c r="J26" s="2">
        <v>22.9900989230769</v>
      </c>
      <c r="K26" s="2">
        <v>30.9914575384615</v>
      </c>
      <c r="L26" s="2">
        <v>29.483720538461501</v>
      </c>
      <c r="M26" s="2">
        <v>33.932988923076898</v>
      </c>
      <c r="N26" s="2">
        <v>23.397721038461501</v>
      </c>
      <c r="O26" s="2">
        <v>19.385702538461501</v>
      </c>
      <c r="P26" s="9"/>
      <c r="Q26" s="2">
        <f>SUM(OSRRefD21_0_3x)+IFERROR(SUM(OSRRefE21_0_3x),0)</f>
        <v>285.42181257692272</v>
      </c>
    </row>
    <row r="27" spans="1:17" s="34" customFormat="1" hidden="1" outlineLevel="1" x14ac:dyDescent="0.3">
      <c r="A27" s="35"/>
      <c r="B27" s="10" t="str">
        <f>CONCATENATE("          ","6115", " - ","P.E.R.S.")</f>
        <v xml:space="preserve">          6115 - P.E.R.S.</v>
      </c>
      <c r="C27" s="14"/>
      <c r="D27" s="2"/>
      <c r="E27" s="2">
        <v>397.928615384615</v>
      </c>
      <c r="F27" s="2">
        <v>397.928615384615</v>
      </c>
      <c r="G27" s="2">
        <v>497.41076923076901</v>
      </c>
      <c r="H27" s="2">
        <v>397.928615384615</v>
      </c>
      <c r="I27" s="2">
        <v>397.928615384615</v>
      </c>
      <c r="J27" s="2">
        <v>497.41076923076901</v>
      </c>
      <c r="K27" s="2">
        <v>397.928615384615</v>
      </c>
      <c r="L27" s="2">
        <v>397.928615384615</v>
      </c>
      <c r="M27" s="2">
        <v>497.41076923076901</v>
      </c>
      <c r="N27" s="2">
        <v>397.928615384615</v>
      </c>
      <c r="O27" s="2">
        <v>397.928615384615</v>
      </c>
      <c r="P27" s="9"/>
      <c r="Q27" s="2">
        <f>SUM(OSRRefD21_0_4x)+IFERROR(SUM(OSRRefE21_0_4x),0)</f>
        <v>4675.6612307692276</v>
      </c>
    </row>
    <row r="28" spans="1:17" s="34" customFormat="1" hidden="1" outlineLevel="1" x14ac:dyDescent="0.3">
      <c r="A28" s="35"/>
      <c r="B28" s="10" t="str">
        <f>CONCATENATE("          ","6116", " - ","EDUCATIONAL BENEFITS")</f>
        <v xml:space="preserve">          6116 - EDUCATIONAL BENEFITS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SUM(OSRRefD21_0_5x)+IFERROR(SUM(OSRRefE21_0_5x),0)</f>
        <v>0</v>
      </c>
    </row>
    <row r="29" spans="1:17" s="34" customFormat="1" hidden="1" outlineLevel="1" x14ac:dyDescent="0.3">
      <c r="A29" s="35"/>
      <c r="B29" s="10" t="str">
        <f>CONCATENATE("          ","6118", " - ","VACATION")</f>
        <v xml:space="preserve">          6118 - VACATION</v>
      </c>
      <c r="C29" s="14"/>
      <c r="D29" s="2"/>
      <c r="E29" s="2">
        <v>231.35384615384601</v>
      </c>
      <c r="F29" s="2">
        <v>231.35384615384601</v>
      </c>
      <c r="G29" s="2">
        <v>289.19230769230802</v>
      </c>
      <c r="H29" s="2">
        <v>231.35384615384601</v>
      </c>
      <c r="I29" s="2">
        <v>231.35384615384601</v>
      </c>
      <c r="J29" s="2">
        <v>289.19230769230802</v>
      </c>
      <c r="K29" s="2">
        <v>231.35384615384601</v>
      </c>
      <c r="L29" s="2">
        <v>231.35384615384601</v>
      </c>
      <c r="M29" s="2">
        <v>289.19230769230802</v>
      </c>
      <c r="N29" s="2">
        <v>231.35384615384601</v>
      </c>
      <c r="O29" s="2">
        <v>231.35384615384601</v>
      </c>
      <c r="P29" s="9"/>
      <c r="Q29" s="2">
        <f>SUM(OSRRefD21_0_6x)+IFERROR(SUM(OSRRefE21_0_6x),0)</f>
        <v>2718.4076923076923</v>
      </c>
    </row>
    <row r="30" spans="1:17" s="34" customFormat="1" hidden="1" outlineLevel="1" x14ac:dyDescent="0.3">
      <c r="A30" s="35"/>
      <c r="B30" s="10" t="str">
        <f>CONCATENATE("          ","6119", " - ","SICK LEAVE")</f>
        <v xml:space="preserve">          6119 - SICK LEAVE</v>
      </c>
      <c r="C30" s="14"/>
      <c r="D30" s="2"/>
      <c r="E30" s="2">
        <v>348.08384615384603</v>
      </c>
      <c r="F30" s="2">
        <v>476.09384615384602</v>
      </c>
      <c r="G30" s="2">
        <v>613.10230769230805</v>
      </c>
      <c r="H30" s="2">
        <v>411.83384615384603</v>
      </c>
      <c r="I30" s="2">
        <v>425.87384615384599</v>
      </c>
      <c r="J30" s="2">
        <v>444.10690769230803</v>
      </c>
      <c r="K30" s="2">
        <v>535.27664615384595</v>
      </c>
      <c r="L30" s="2">
        <v>513.73754615384598</v>
      </c>
      <c r="M30" s="2">
        <v>600.43390769230803</v>
      </c>
      <c r="N30" s="2">
        <v>426.79469615384602</v>
      </c>
      <c r="O30" s="2">
        <v>369.48014615384602</v>
      </c>
      <c r="P30" s="9"/>
      <c r="Q30" s="2">
        <f>SUM(OSRRefD21_0_7x)+IFERROR(SUM(OSRRefE21_0_7x),0)</f>
        <v>5164.8175423076927</v>
      </c>
    </row>
    <row r="31" spans="1:17" s="34" customFormat="1" collapsed="1" x14ac:dyDescent="0.3">
      <c r="A31" s="35"/>
      <c r="B31" s="14" t="str">
        <f>CONCATENATE("     ","*Payroll                                          ")</f>
        <v xml:space="preserve">     *Payroll                                          </v>
      </c>
      <c r="C31" s="14"/>
      <c r="D31" s="1">
        <f>SUM(OSRRefD21_1x_0)</f>
        <v>0</v>
      </c>
      <c r="E31" s="1">
        <f>SUM(OSRRefE21_1x_0)</f>
        <v>7938.6392307692295</v>
      </c>
      <c r="F31" s="1">
        <f>SUM(OSRRefE21_1x_1)</f>
        <v>12077.629230769231</v>
      </c>
      <c r="G31" s="1">
        <f>SUM(OSRRefE21_1x_2)</f>
        <v>15678.551538461541</v>
      </c>
      <c r="H31" s="1">
        <f>SUM(OSRRefE21_1x_3)</f>
        <v>9999.8892307692295</v>
      </c>
      <c r="I31" s="1">
        <f>SUM(OSRRefE21_1x_4)</f>
        <v>10453.84923076923</v>
      </c>
      <c r="J31" s="1">
        <f>SUM(OSRRefE21_1x_5)</f>
        <v>10214.366938461539</v>
      </c>
      <c r="K31" s="1">
        <f>SUM(OSRRefE21_1x_6)</f>
        <v>13991.206430769231</v>
      </c>
      <c r="L31" s="1">
        <f>SUM(OSRRefE21_1x_7)</f>
        <v>13294.77553076923</v>
      </c>
      <c r="M31" s="1">
        <f>SUM(OSRRefE21_1x_8)</f>
        <v>15268.939938461541</v>
      </c>
      <c r="N31" s="1">
        <f>SUM(OSRRefE21_1x_9)</f>
        <v>10483.62338076923</v>
      </c>
      <c r="O31" s="1">
        <f>SUM(OSRRefE21_1x_10)</f>
        <v>8630.4529307692301</v>
      </c>
      <c r="Q31" s="2">
        <f>SUM(OSRRefD20_1x)+IFERROR(SUM(OSRRefE20_1x),0)</f>
        <v>128031.92361153846</v>
      </c>
    </row>
    <row r="32" spans="1:17" s="34" customFormat="1" hidden="1" outlineLevel="1" x14ac:dyDescent="0.3">
      <c r="A32" s="35"/>
      <c r="B32" s="10" t="str">
        <f>CONCATENATE("          ","6001", " - ","ADMINISTRATIVE SALARIES")</f>
        <v xml:space="preserve">          6001 - ADMINISTRATIVE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SUM(OSRRefD21_1_0x)+IFERROR(SUM(OSRRefE21_1_0x),0)</f>
        <v>0</v>
      </c>
    </row>
    <row r="33" spans="1:17" s="34" customFormat="1" hidden="1" outlineLevel="1" x14ac:dyDescent="0.3">
      <c r="A33" s="35"/>
      <c r="B33" s="10" t="str">
        <f>CONCATENATE("          ","6002", " - ","STAFF SALARIES")</f>
        <v xml:space="preserve">          6002 - STAFF SALARIES</v>
      </c>
      <c r="C33" s="14"/>
      <c r="D33" s="2"/>
      <c r="E33" s="2">
        <v>4164.3692307692299</v>
      </c>
      <c r="F33" s="2">
        <v>4164.3692307692299</v>
      </c>
      <c r="G33" s="2">
        <v>5205.4615384615399</v>
      </c>
      <c r="H33" s="2">
        <v>4164.3692307692299</v>
      </c>
      <c r="I33" s="2">
        <v>4164.3692307692299</v>
      </c>
      <c r="J33" s="2">
        <v>5205.4615384615399</v>
      </c>
      <c r="K33" s="2">
        <v>4164.3692307692299</v>
      </c>
      <c r="L33" s="2">
        <v>4164.3692307692299</v>
      </c>
      <c r="M33" s="2">
        <v>5205.4615384615399</v>
      </c>
      <c r="N33" s="2">
        <v>4164.3692307692299</v>
      </c>
      <c r="O33" s="2">
        <v>4164.3692307692299</v>
      </c>
      <c r="P33" s="9"/>
      <c r="Q33" s="2">
        <f>SUM(OSRRefD21_1_1x)+IFERROR(SUM(OSRRefE21_1_1x),0)</f>
        <v>48931.338461538464</v>
      </c>
    </row>
    <row r="34" spans="1:17" s="34" customFormat="1" hidden="1" outlineLevel="1" x14ac:dyDescent="0.3">
      <c r="A34" s="35"/>
      <c r="B34" s="10" t="str">
        <f>CONCATENATE("          ","6003", " - ","STAFF HOURLY-9 MONTH")</f>
        <v xml:space="preserve">          6003 - STAFF HOURLY-9 MONTH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SUM(OSRRefD21_1_2x)+IFERROR(SUM(OSRRefE21_1_2x),0)</f>
        <v>0</v>
      </c>
    </row>
    <row r="35" spans="1:17" s="34" customFormat="1" hidden="1" outlineLevel="1" x14ac:dyDescent="0.3">
      <c r="A35" s="35"/>
      <c r="B35" s="10" t="str">
        <f>CONCATENATE("          ","6004", " - ","STAFF HOURLY")</f>
        <v xml:space="preserve">          6004 - STAFF HOURLY</v>
      </c>
      <c r="C35" s="14"/>
      <c r="D35" s="2"/>
      <c r="E35" s="2">
        <v>1003.95</v>
      </c>
      <c r="F35" s="2">
        <v>1571.4</v>
      </c>
      <c r="G35" s="2">
        <v>2080.65</v>
      </c>
      <c r="H35" s="2">
        <v>1164</v>
      </c>
      <c r="I35" s="2">
        <v>1251.3</v>
      </c>
      <c r="J35" s="2">
        <v>1027.521</v>
      </c>
      <c r="K35" s="2">
        <v>2241.864</v>
      </c>
      <c r="L35" s="2">
        <v>2039.4735000000001</v>
      </c>
      <c r="M35" s="2">
        <v>2522.0970000000002</v>
      </c>
      <c r="N35" s="2">
        <v>1611.3397500000001</v>
      </c>
      <c r="O35" s="2">
        <v>1603.5554999999999</v>
      </c>
      <c r="P35" s="9"/>
      <c r="Q35" s="2">
        <f>SUM(OSRRefD21_1_3x)+IFERROR(SUM(OSRRefE21_1_3x),0)</f>
        <v>18117.150749999997</v>
      </c>
    </row>
    <row r="36" spans="1:17" s="34" customFormat="1" hidden="1" outlineLevel="1" x14ac:dyDescent="0.3">
      <c r="A36" s="35"/>
      <c r="B36" s="10" t="str">
        <f>CONCATENATE("          ","6005", " - ","TEMPORARY WAGES-HOURLY")</f>
        <v xml:space="preserve">          6005 - TEMPORARY WAGES-HOURLY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SUM(OSRRefD21_1_4x)+IFERROR(SUM(OSRRefE21_1_4x),0)</f>
        <v>0</v>
      </c>
    </row>
    <row r="37" spans="1:17" s="34" customFormat="1" hidden="1" outlineLevel="1" x14ac:dyDescent="0.3">
      <c r="A37" s="35"/>
      <c r="B37" s="10" t="str">
        <f>CONCATENATE("          ","6006", " - ","TEMPORARY PART TIME")</f>
        <v xml:space="preserve">          6006 - TEMPORARY PART TIME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SUM(OSRRefD21_1_5x)+IFERROR(SUM(OSRRefE21_1_5x),0)</f>
        <v>0</v>
      </c>
    </row>
    <row r="38" spans="1:17" s="34" customFormat="1" hidden="1" outlineLevel="1" x14ac:dyDescent="0.3">
      <c r="A38" s="35"/>
      <c r="B38" s="10" t="str">
        <f>CONCATENATE("          ","6007", " - ","STUDENT HOURLY")</f>
        <v xml:space="preserve">          6007 - STUDENT HOURLY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SUM(OSRRefD21_1_6x)+IFERROR(SUM(OSRRefE21_1_6x),0)</f>
        <v>0</v>
      </c>
    </row>
    <row r="39" spans="1:17" s="34" customFormat="1" hidden="1" outlineLevel="1" x14ac:dyDescent="0.3">
      <c r="A39" s="35"/>
      <c r="B39" s="10" t="str">
        <f>CONCATENATE("          ","6008", " - ","STUDENT HOURLY-FICA EXEMPT")</f>
        <v xml:space="preserve">          6008 - STUDENT HOURLY-FICA EXEMPT</v>
      </c>
      <c r="C39" s="14"/>
      <c r="D39" s="2"/>
      <c r="E39" s="2">
        <v>2770.32</v>
      </c>
      <c r="F39" s="2">
        <v>6341.86</v>
      </c>
      <c r="G39" s="2">
        <v>8392.44</v>
      </c>
      <c r="H39" s="2">
        <v>4671.5200000000004</v>
      </c>
      <c r="I39" s="2">
        <v>5038.18</v>
      </c>
      <c r="J39" s="2">
        <v>3981.3843999999999</v>
      </c>
      <c r="K39" s="2">
        <v>7584.9732000000004</v>
      </c>
      <c r="L39" s="2">
        <v>7090.9327999999996</v>
      </c>
      <c r="M39" s="2">
        <v>7541.3814000000002</v>
      </c>
      <c r="N39" s="2">
        <v>4707.9143999999997</v>
      </c>
      <c r="O39" s="2">
        <v>2862.5282000000002</v>
      </c>
      <c r="P39" s="9"/>
      <c r="Q39" s="2">
        <f>SUM(OSRRefD21_1_7x)+IFERROR(SUM(OSRRefE21_1_7x),0)</f>
        <v>60983.434400000006</v>
      </c>
    </row>
    <row r="40" spans="1:17" s="34" customFormat="1" hidden="1" outlineLevel="1" x14ac:dyDescent="0.3">
      <c r="A40" s="35"/>
      <c r="B40" s="10" t="str">
        <f>CONCATENATE("          ","6009", " - ","TEMPORARY-SEASONAL")</f>
        <v xml:space="preserve">          6009 - TEMPORARY-SEASONAL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SUM(OSRRefD21_1_8x)+IFERROR(SUM(OSRRefE21_1_8x),0)</f>
        <v>0</v>
      </c>
    </row>
    <row r="41" spans="1:17" s="34" customFormat="1" hidden="1" outlineLevel="1" x14ac:dyDescent="0.3">
      <c r="A41" s="35"/>
      <c r="B41" s="10" t="str">
        <f>CONCATENATE("          ","6010", " - ","GRATUITY")</f>
        <v xml:space="preserve">          6010 - GRATUITY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SUM(OSRRefD21_1_9x)+IFERROR(SUM(OSRRefE21_1_9x),0)</f>
        <v>0</v>
      </c>
    </row>
    <row r="42" spans="1:17" s="34" customFormat="1" collapsed="1" x14ac:dyDescent="0.3">
      <c r="A42" s="35"/>
      <c r="B42" s="14" t="str">
        <f>CONCATENATE("     ","Bad Debts/Over/Short                              ")</f>
        <v xml:space="preserve">     Bad Debts/Over/Short                              </v>
      </c>
      <c r="C42" s="14"/>
      <c r="D42" s="1">
        <f>SUM(OSRRefD21_2x_0)</f>
        <v>0</v>
      </c>
      <c r="E42" s="1">
        <f>SUM(OSRRefE21_2x_0)</f>
        <v>0</v>
      </c>
      <c r="F42" s="1">
        <f>SUM(OSRRefE21_2x_1)</f>
        <v>0</v>
      </c>
      <c r="G42" s="1">
        <f>SUM(OSRRefE21_2x_2)</f>
        <v>0</v>
      </c>
      <c r="H42" s="1">
        <f>SUM(OSRRefE21_2x_3)</f>
        <v>0</v>
      </c>
      <c r="I42" s="1">
        <f>SUM(OSRRefE21_2x_4)</f>
        <v>0</v>
      </c>
      <c r="J42" s="1">
        <f>SUM(OSRRefE21_2x_5)</f>
        <v>0</v>
      </c>
      <c r="K42" s="1">
        <f>SUM(OSRRefE21_2x_6)</f>
        <v>0</v>
      </c>
      <c r="L42" s="1">
        <f>SUM(OSRRefE21_2x_7)</f>
        <v>0</v>
      </c>
      <c r="M42" s="1">
        <f>SUM(OSRRefE21_2x_8)</f>
        <v>0</v>
      </c>
      <c r="N42" s="1">
        <f>SUM(OSRRefE21_2x_9)</f>
        <v>0</v>
      </c>
      <c r="O42" s="1">
        <f>SUM(OSRRefE21_2x_10)</f>
        <v>0</v>
      </c>
      <c r="Q42" s="2">
        <f>SUM(OSRRefD20_2x)+IFERROR(SUM(OSRRefE20_2x),0)</f>
        <v>0</v>
      </c>
    </row>
    <row r="43" spans="1:17" s="34" customFormat="1" hidden="1" outlineLevel="1" x14ac:dyDescent="0.3">
      <c r="A43" s="35"/>
      <c r="B43" s="10" t="str">
        <f>CONCATENATE("          ","6272", " - ","CASH (OVER/SHORT)")</f>
        <v xml:space="preserve">          6272 - CASH (OVER/SHORT)</v>
      </c>
      <c r="C43" s="14"/>
      <c r="D43" s="2"/>
      <c r="E43" s="2">
        <v>0</v>
      </c>
      <c r="F43" s="2"/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/>
      <c r="P43" s="9"/>
      <c r="Q43" s="2">
        <f>SUM(OSRRefD21_2_0x)+IFERROR(SUM(OSRRefE21_2_0x),0)</f>
        <v>0</v>
      </c>
    </row>
    <row r="44" spans="1:17" s="34" customFormat="1" collapsed="1" x14ac:dyDescent="0.3">
      <c r="A44" s="35"/>
      <c r="B44" s="14" t="str">
        <f>CONCATENATE("     ","Bank/card Fees                                    ")</f>
        <v xml:space="preserve">     Bank/card Fees                                    </v>
      </c>
      <c r="C44" s="14"/>
      <c r="D44" s="1">
        <f>SUM(OSRRefD21_3x_0)</f>
        <v>0.34</v>
      </c>
      <c r="E44" s="1">
        <f>SUM(OSRRefE21_3x_0)</f>
        <v>307</v>
      </c>
      <c r="F44" s="1">
        <f>SUM(OSRRefE21_3x_1)</f>
        <v>1196</v>
      </c>
      <c r="G44" s="1">
        <f>SUM(OSRRefE21_3x_2)</f>
        <v>1671</v>
      </c>
      <c r="H44" s="1">
        <f>SUM(OSRRefE21_3x_3)</f>
        <v>928</v>
      </c>
      <c r="I44" s="1">
        <f>SUM(OSRRefE21_3x_4)</f>
        <v>1139</v>
      </c>
      <c r="J44" s="1">
        <f>SUM(OSRRefE21_3x_5)</f>
        <v>1166</v>
      </c>
      <c r="K44" s="1">
        <f>SUM(OSRRefE21_3x_6)</f>
        <v>3345</v>
      </c>
      <c r="L44" s="1">
        <f>SUM(OSRRefE21_3x_7)</f>
        <v>3218</v>
      </c>
      <c r="M44" s="1">
        <f>SUM(OSRRefE21_3x_8)</f>
        <v>3197</v>
      </c>
      <c r="N44" s="1">
        <f>SUM(OSRRefE21_3x_9)</f>
        <v>2291</v>
      </c>
      <c r="O44" s="1">
        <f>SUM(OSRRefE21_3x_10)</f>
        <v>550</v>
      </c>
      <c r="Q44" s="2">
        <f>SUM(OSRRefD20_3x)+IFERROR(SUM(OSRRefE20_3x),0)</f>
        <v>19008.34</v>
      </c>
    </row>
    <row r="45" spans="1:17" s="34" customFormat="1" hidden="1" outlineLevel="1" x14ac:dyDescent="0.3">
      <c r="A45" s="35"/>
      <c r="B45" s="10" t="str">
        <f>CONCATENATE("          ","6381", " - ","BANK/CREDIT CARD FEES")</f>
        <v xml:space="preserve">          6381 - BANK/CREDIT CARD FEES</v>
      </c>
      <c r="C45" s="14"/>
      <c r="D45" s="2">
        <v>0.34</v>
      </c>
      <c r="E45" s="2">
        <v>307</v>
      </c>
      <c r="F45" s="2">
        <v>1196</v>
      </c>
      <c r="G45" s="2">
        <v>1671</v>
      </c>
      <c r="H45" s="2">
        <v>928</v>
      </c>
      <c r="I45" s="2">
        <v>1139</v>
      </c>
      <c r="J45" s="2">
        <v>1166</v>
      </c>
      <c r="K45" s="2">
        <v>3345</v>
      </c>
      <c r="L45" s="2">
        <v>3218</v>
      </c>
      <c r="M45" s="2">
        <v>3197</v>
      </c>
      <c r="N45" s="2">
        <v>2291</v>
      </c>
      <c r="O45" s="2">
        <v>550</v>
      </c>
      <c r="P45" s="9"/>
      <c r="Q45" s="2">
        <f>SUM(OSRRefD21_3_0x)+IFERROR(SUM(OSRRefE21_3_0x),0)</f>
        <v>19008.34</v>
      </c>
    </row>
    <row r="46" spans="1:17" s="34" customFormat="1" collapsed="1" x14ac:dyDescent="0.3">
      <c r="A46" s="35"/>
      <c r="B46" s="14" t="str">
        <f>CONCATENATE("     ","Depreciation                                      ")</f>
        <v xml:space="preserve">     Depreciation                                      </v>
      </c>
      <c r="C46" s="14"/>
      <c r="D46" s="1">
        <f>SUM(OSRRefD21_4x_0)</f>
        <v>5471.21</v>
      </c>
      <c r="E46" s="1">
        <f>SUM(OSRRefE21_4x_0)</f>
        <v>5471</v>
      </c>
      <c r="F46" s="1">
        <f>SUM(OSRRefE21_4x_1)</f>
        <v>5471</v>
      </c>
      <c r="G46" s="1">
        <f>SUM(OSRRefE21_4x_2)</f>
        <v>5471</v>
      </c>
      <c r="H46" s="1">
        <f>SUM(OSRRefE21_4x_3)</f>
        <v>5471</v>
      </c>
      <c r="I46" s="1">
        <f>SUM(OSRRefE21_4x_4)</f>
        <v>5471</v>
      </c>
      <c r="J46" s="1">
        <f>SUM(OSRRefE21_4x_5)</f>
        <v>5471</v>
      </c>
      <c r="K46" s="1">
        <f>SUM(OSRRefE21_4x_6)</f>
        <v>5471</v>
      </c>
      <c r="L46" s="1">
        <f>SUM(OSRRefE21_4x_7)</f>
        <v>5471</v>
      </c>
      <c r="M46" s="1">
        <f>SUM(OSRRefE21_4x_8)</f>
        <v>5471</v>
      </c>
      <c r="N46" s="1">
        <f>SUM(OSRRefE21_4x_9)</f>
        <v>5471</v>
      </c>
      <c r="O46" s="1">
        <f>SUM(OSRRefE21_4x_10)</f>
        <v>5471</v>
      </c>
      <c r="Q46" s="2">
        <f>SUM(OSRRefD20_4x)+IFERROR(SUM(OSRRefE20_4x),0)</f>
        <v>65652.210000000006</v>
      </c>
    </row>
    <row r="47" spans="1:17" s="34" customFormat="1" hidden="1" outlineLevel="1" x14ac:dyDescent="0.3">
      <c r="A47" s="35"/>
      <c r="B47" s="10" t="str">
        <f>CONCATENATE("          ","6321", " - ","BUILDING DEPRECIATION")</f>
        <v xml:space="preserve">          6321 - BUILDING DEPRECIATION</v>
      </c>
      <c r="C47" s="14"/>
      <c r="D47" s="2">
        <v>5080.51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2">
        <f>SUM(OSRRefD21_4_0x)+IFERROR(SUM(OSRRefE21_4_0x),0)</f>
        <v>5080.51</v>
      </c>
    </row>
    <row r="48" spans="1:17" s="34" customFormat="1" hidden="1" outlineLevel="1" x14ac:dyDescent="0.3">
      <c r="A48" s="35"/>
      <c r="B48" s="10" t="str">
        <f>CONCATENATE("          ","6322", " - ","EQUIPMENT DEPRECIATION EXPENSE")</f>
        <v xml:space="preserve">          6322 - EQUIPMENT DEPRECIATION EXPENSE</v>
      </c>
      <c r="C48" s="14"/>
      <c r="D48" s="2">
        <v>390.7</v>
      </c>
      <c r="E48" s="2">
        <v>5471</v>
      </c>
      <c r="F48" s="2">
        <v>5471</v>
      </c>
      <c r="G48" s="2">
        <v>5471</v>
      </c>
      <c r="H48" s="2">
        <v>5471</v>
      </c>
      <c r="I48" s="2">
        <v>5471</v>
      </c>
      <c r="J48" s="2">
        <v>5471</v>
      </c>
      <c r="K48" s="2">
        <v>5471</v>
      </c>
      <c r="L48" s="2">
        <v>5471</v>
      </c>
      <c r="M48" s="2">
        <v>5471</v>
      </c>
      <c r="N48" s="2">
        <v>5471</v>
      </c>
      <c r="O48" s="2">
        <v>5471</v>
      </c>
      <c r="P48" s="9"/>
      <c r="Q48" s="2">
        <f>SUM(OSRRefD21_4_1x)+IFERROR(SUM(OSRRefE21_4_1x),0)</f>
        <v>60571.7</v>
      </c>
    </row>
    <row r="49" spans="1:17" s="34" customFormat="1" collapsed="1" x14ac:dyDescent="0.3">
      <c r="A49" s="35"/>
      <c r="B49" s="14" t="str">
        <f>CONCATENATE("     ","Employees' Appreciation                           ")</f>
        <v xml:space="preserve">     Employees' Appreciation                           </v>
      </c>
      <c r="C49" s="14"/>
      <c r="D49" s="1">
        <f>SUM(OSRRefD21_5x_0)</f>
        <v>0</v>
      </c>
      <c r="E49" s="1">
        <f>SUM(OSRRefE21_5x_0)</f>
        <v>0</v>
      </c>
      <c r="F49" s="1">
        <f>SUM(OSRRefE21_5x_1)</f>
        <v>0</v>
      </c>
      <c r="G49" s="1">
        <f>SUM(OSRRefE21_5x_2)</f>
        <v>0</v>
      </c>
      <c r="H49" s="1">
        <f>SUM(OSRRefE21_5x_3)</f>
        <v>0</v>
      </c>
      <c r="I49" s="1">
        <f>SUM(OSRRefE21_5x_4)</f>
        <v>50</v>
      </c>
      <c r="J49" s="1">
        <f>SUM(OSRRefE21_5x_5)</f>
        <v>0</v>
      </c>
      <c r="K49" s="1">
        <f>SUM(OSRRefE21_5x_6)</f>
        <v>0</v>
      </c>
      <c r="L49" s="1">
        <f>SUM(OSRRefE21_5x_7)</f>
        <v>0</v>
      </c>
      <c r="M49" s="1">
        <f>SUM(OSRRefE21_5x_8)</f>
        <v>0</v>
      </c>
      <c r="N49" s="1">
        <f>SUM(OSRRefE21_5x_9)</f>
        <v>50</v>
      </c>
      <c r="O49" s="1">
        <f>SUM(OSRRefE21_5x_10)</f>
        <v>0</v>
      </c>
      <c r="Q49" s="2">
        <f>SUM(OSRRefD20_5x)+IFERROR(SUM(OSRRefE20_5x),0)</f>
        <v>100</v>
      </c>
    </row>
    <row r="50" spans="1:17" s="34" customFormat="1" hidden="1" outlineLevel="1" x14ac:dyDescent="0.3">
      <c r="A50" s="35"/>
      <c r="B50" s="10" t="str">
        <f>CONCATENATE("          ","6277", " - ","EMPLOYEE APPRECIATION")</f>
        <v xml:space="preserve">          6277 - EMPLOYEE APPRECIATION</v>
      </c>
      <c r="C50" s="14"/>
      <c r="D50" s="2"/>
      <c r="E50" s="2"/>
      <c r="F50" s="2"/>
      <c r="G50" s="2"/>
      <c r="H50" s="2"/>
      <c r="I50" s="2">
        <v>50</v>
      </c>
      <c r="J50" s="2"/>
      <c r="K50" s="2"/>
      <c r="L50" s="2"/>
      <c r="M50" s="2"/>
      <c r="N50" s="2">
        <v>50</v>
      </c>
      <c r="O50" s="2"/>
      <c r="P50" s="9"/>
      <c r="Q50" s="2">
        <f>SUM(OSRRefD21_5_0x)+IFERROR(SUM(OSRRefE21_5_0x),0)</f>
        <v>100</v>
      </c>
    </row>
    <row r="51" spans="1:17" s="34" customFormat="1" collapsed="1" x14ac:dyDescent="0.3">
      <c r="A51" s="35"/>
      <c r="B51" s="14" t="str">
        <f>CONCATENATE("     ","Equipment Rental                                  ")</f>
        <v xml:space="preserve">     Equipment Rental                                  </v>
      </c>
      <c r="C51" s="14"/>
      <c r="D51" s="1">
        <f>SUM(OSRRefD21_6x_0)</f>
        <v>0</v>
      </c>
      <c r="E51" s="1">
        <f>SUM(OSRRefE21_6x_0)</f>
        <v>176</v>
      </c>
      <c r="F51" s="1">
        <f>SUM(OSRRefE21_6x_1)</f>
        <v>176</v>
      </c>
      <c r="G51" s="1">
        <f>SUM(OSRRefE21_6x_2)</f>
        <v>176</v>
      </c>
      <c r="H51" s="1">
        <f>SUM(OSRRefE21_6x_3)</f>
        <v>176</v>
      </c>
      <c r="I51" s="1">
        <f>SUM(OSRRefE21_6x_4)</f>
        <v>176</v>
      </c>
      <c r="J51" s="1">
        <f>SUM(OSRRefE21_6x_5)</f>
        <v>176</v>
      </c>
      <c r="K51" s="1">
        <f>SUM(OSRRefE21_6x_6)</f>
        <v>176</v>
      </c>
      <c r="L51" s="1">
        <f>SUM(OSRRefE21_6x_7)</f>
        <v>176</v>
      </c>
      <c r="M51" s="1">
        <f>SUM(OSRRefE21_6x_8)</f>
        <v>176</v>
      </c>
      <c r="N51" s="1">
        <f>SUM(OSRRefE21_6x_9)</f>
        <v>176</v>
      </c>
      <c r="O51" s="1">
        <f>SUM(OSRRefE21_6x_10)</f>
        <v>176</v>
      </c>
      <c r="Q51" s="2">
        <f>SUM(OSRRefD20_6x)+IFERROR(SUM(OSRRefE20_6x),0)</f>
        <v>1936</v>
      </c>
    </row>
    <row r="52" spans="1:17" s="34" customFormat="1" hidden="1" outlineLevel="1" x14ac:dyDescent="0.3">
      <c r="A52" s="35"/>
      <c r="B52" s="10" t="str">
        <f>CONCATENATE("          ","6351", " - ","EQUIPMENT RENTAL")</f>
        <v xml:space="preserve">          6351 - EQUIPMENT RENTAL</v>
      </c>
      <c r="C52" s="14"/>
      <c r="D52" s="2"/>
      <c r="E52" s="2">
        <v>176</v>
      </c>
      <c r="F52" s="2">
        <v>176</v>
      </c>
      <c r="G52" s="2">
        <v>176</v>
      </c>
      <c r="H52" s="2">
        <v>176</v>
      </c>
      <c r="I52" s="2">
        <v>176</v>
      </c>
      <c r="J52" s="2">
        <v>176</v>
      </c>
      <c r="K52" s="2">
        <v>176</v>
      </c>
      <c r="L52" s="2">
        <v>176</v>
      </c>
      <c r="M52" s="2">
        <v>176</v>
      </c>
      <c r="N52" s="2">
        <v>176</v>
      </c>
      <c r="O52" s="2">
        <v>176</v>
      </c>
      <c r="P52" s="9"/>
      <c r="Q52" s="2">
        <f>SUM(OSRRefD21_6_0x)+IFERROR(SUM(OSRRefE21_6_0x),0)</f>
        <v>1936</v>
      </c>
    </row>
    <row r="53" spans="1:17" s="34" customFormat="1" collapsed="1" x14ac:dyDescent="0.3">
      <c r="A53" s="35"/>
      <c r="B53" s="14" t="str">
        <f>CONCATENATE("     ","General                                           ")</f>
        <v xml:space="preserve">     General                                           </v>
      </c>
      <c r="C53" s="14"/>
      <c r="D53" s="1">
        <f>SUM(OSRRefD21_7x_0)</f>
        <v>0</v>
      </c>
      <c r="E53" s="1">
        <f>SUM(OSRRefE21_7x_0)</f>
        <v>0</v>
      </c>
      <c r="F53" s="1">
        <f>SUM(OSRRefE21_7x_1)</f>
        <v>0</v>
      </c>
      <c r="G53" s="1">
        <f>SUM(OSRRefE21_7x_2)</f>
        <v>0</v>
      </c>
      <c r="H53" s="1">
        <f>SUM(OSRRefE21_7x_3)</f>
        <v>0</v>
      </c>
      <c r="I53" s="1">
        <f>SUM(OSRRefE21_7x_4)</f>
        <v>455</v>
      </c>
      <c r="J53" s="1">
        <f>SUM(OSRRefE21_7x_5)</f>
        <v>0</v>
      </c>
      <c r="K53" s="1">
        <f>SUM(OSRRefE21_7x_6)</f>
        <v>0</v>
      </c>
      <c r="L53" s="1">
        <f>SUM(OSRRefE21_7x_7)</f>
        <v>0</v>
      </c>
      <c r="M53" s="1">
        <f>SUM(OSRRefE21_7x_8)</f>
        <v>0</v>
      </c>
      <c r="N53" s="1">
        <f>SUM(OSRRefE21_7x_9)</f>
        <v>0</v>
      </c>
      <c r="O53" s="1">
        <f>SUM(OSRRefE21_7x_10)</f>
        <v>0</v>
      </c>
      <c r="Q53" s="2">
        <f>SUM(OSRRefD20_7x)+IFERROR(SUM(OSRRefE20_7x),0)</f>
        <v>455</v>
      </c>
    </row>
    <row r="54" spans="1:17" s="34" customFormat="1" hidden="1" outlineLevel="1" x14ac:dyDescent="0.3">
      <c r="A54" s="35"/>
      <c r="B54" s="10" t="str">
        <f>CONCATENATE("          ","6279", " - ","GENERAL EXPENSE")</f>
        <v xml:space="preserve">          6279 - GENERAL EXPENSE</v>
      </c>
      <c r="C54" s="14"/>
      <c r="D54" s="2"/>
      <c r="E54" s="2"/>
      <c r="F54" s="2"/>
      <c r="G54" s="2"/>
      <c r="H54" s="2"/>
      <c r="I54" s="2">
        <v>455</v>
      </c>
      <c r="J54" s="2"/>
      <c r="K54" s="2"/>
      <c r="L54" s="2"/>
      <c r="M54" s="2"/>
      <c r="N54" s="2"/>
      <c r="O54" s="2"/>
      <c r="P54" s="9"/>
      <c r="Q54" s="2">
        <f>SUM(OSRRefD21_7_0x)+IFERROR(SUM(OSRRefE21_7_0x),0)</f>
        <v>455</v>
      </c>
    </row>
    <row r="55" spans="1:17" s="34" customFormat="1" collapsed="1" x14ac:dyDescent="0.3">
      <c r="A55" s="35"/>
      <c r="B55" s="14" t="str">
        <f>CONCATENATE("     ","Insurance                                         ")</f>
        <v xml:space="preserve">     Insurance                                         </v>
      </c>
      <c r="C55" s="14"/>
      <c r="D55" s="1">
        <f>SUM(OSRRefD21_8x_0)</f>
        <v>331.01</v>
      </c>
      <c r="E55" s="1">
        <f>SUM(OSRRefE21_8x_0)</f>
        <v>330</v>
      </c>
      <c r="F55" s="1">
        <f>SUM(OSRRefE21_8x_1)</f>
        <v>330</v>
      </c>
      <c r="G55" s="1">
        <f>SUM(OSRRefE21_8x_2)</f>
        <v>330</v>
      </c>
      <c r="H55" s="1">
        <f>SUM(OSRRefE21_8x_3)</f>
        <v>330</v>
      </c>
      <c r="I55" s="1">
        <f>SUM(OSRRefE21_8x_4)</f>
        <v>330</v>
      </c>
      <c r="J55" s="1">
        <f>SUM(OSRRefE21_8x_5)</f>
        <v>330</v>
      </c>
      <c r="K55" s="1">
        <f>SUM(OSRRefE21_8x_6)</f>
        <v>330</v>
      </c>
      <c r="L55" s="1">
        <f>SUM(OSRRefE21_8x_7)</f>
        <v>330</v>
      </c>
      <c r="M55" s="1">
        <f>SUM(OSRRefE21_8x_8)</f>
        <v>330</v>
      </c>
      <c r="N55" s="1">
        <f>SUM(OSRRefE21_8x_9)</f>
        <v>330</v>
      </c>
      <c r="O55" s="1">
        <f>SUM(OSRRefE21_8x_10)</f>
        <v>330</v>
      </c>
      <c r="Q55" s="2">
        <f>SUM(OSRRefD20_8x)+IFERROR(SUM(OSRRefE20_8x),0)</f>
        <v>3961.01</v>
      </c>
    </row>
    <row r="56" spans="1:17" s="34" customFormat="1" hidden="1" outlineLevel="1" x14ac:dyDescent="0.3">
      <c r="A56" s="35"/>
      <c r="B56" s="10" t="str">
        <f>CONCATENATE("          ","6314", " - ","LIABILITY INSURANCE")</f>
        <v xml:space="preserve">          6314 - LIABILITY INSURANCE</v>
      </c>
      <c r="C56" s="14"/>
      <c r="D56" s="2">
        <v>331.01</v>
      </c>
      <c r="E56" s="2">
        <v>330</v>
      </c>
      <c r="F56" s="2">
        <v>330</v>
      </c>
      <c r="G56" s="2">
        <v>330</v>
      </c>
      <c r="H56" s="2">
        <v>330</v>
      </c>
      <c r="I56" s="2">
        <v>330</v>
      </c>
      <c r="J56" s="2">
        <v>330</v>
      </c>
      <c r="K56" s="2">
        <v>330</v>
      </c>
      <c r="L56" s="2">
        <v>330</v>
      </c>
      <c r="M56" s="2">
        <v>330</v>
      </c>
      <c r="N56" s="2">
        <v>330</v>
      </c>
      <c r="O56" s="2">
        <v>330</v>
      </c>
      <c r="P56" s="9"/>
      <c r="Q56" s="2">
        <f>SUM(OSRRefD21_8_0x)+IFERROR(SUM(OSRRefE21_8_0x),0)</f>
        <v>3961.01</v>
      </c>
    </row>
    <row r="57" spans="1:17" s="34" customFormat="1" collapsed="1" x14ac:dyDescent="0.3">
      <c r="A57" s="35"/>
      <c r="B57" s="14" t="str">
        <f>CONCATENATE("     ","Interest                                          ")</f>
        <v xml:space="preserve">     Interest                                          </v>
      </c>
      <c r="C57" s="14"/>
      <c r="D57" s="1">
        <f>SUM(OSRRefD21_9x_0)</f>
        <v>3905</v>
      </c>
      <c r="E57" s="1">
        <f>SUM(OSRRefE21_9x_0)</f>
        <v>3905</v>
      </c>
      <c r="F57" s="1">
        <f>SUM(OSRRefE21_9x_1)</f>
        <v>3905</v>
      </c>
      <c r="G57" s="1">
        <f>SUM(OSRRefE21_9x_2)</f>
        <v>3905</v>
      </c>
      <c r="H57" s="1">
        <f>SUM(OSRRefE21_9x_3)</f>
        <v>3905</v>
      </c>
      <c r="I57" s="1">
        <f>SUM(OSRRefE21_9x_4)</f>
        <v>3905</v>
      </c>
      <c r="J57" s="1">
        <f>SUM(OSRRefE21_9x_5)</f>
        <v>3905</v>
      </c>
      <c r="K57" s="1">
        <f>SUM(OSRRefE21_9x_6)</f>
        <v>3905</v>
      </c>
      <c r="L57" s="1">
        <f>SUM(OSRRefE21_9x_7)</f>
        <v>3905</v>
      </c>
      <c r="M57" s="1">
        <f>SUM(OSRRefE21_9x_8)</f>
        <v>3905</v>
      </c>
      <c r="N57" s="1">
        <f>SUM(OSRRefE21_9x_9)</f>
        <v>3760</v>
      </c>
      <c r="O57" s="1">
        <f>SUM(OSRRefE21_9x_10)</f>
        <v>3760</v>
      </c>
      <c r="Q57" s="2">
        <f>SUM(OSRRefD20_9x)+IFERROR(SUM(OSRRefE20_9x),0)</f>
        <v>46570</v>
      </c>
    </row>
    <row r="58" spans="1:17" s="34" customFormat="1" hidden="1" outlineLevel="1" x14ac:dyDescent="0.3">
      <c r="A58" s="35"/>
      <c r="B58" s="10" t="str">
        <f>CONCATENATE("          ","6401", " - ","INTEREST EXPENSE")</f>
        <v xml:space="preserve">          6401 - INTEREST EXPENSE</v>
      </c>
      <c r="C58" s="14"/>
      <c r="D58" s="2">
        <v>3905</v>
      </c>
      <c r="E58" s="2">
        <v>3905</v>
      </c>
      <c r="F58" s="2">
        <v>3905</v>
      </c>
      <c r="G58" s="2">
        <v>3905</v>
      </c>
      <c r="H58" s="2">
        <v>3905</v>
      </c>
      <c r="I58" s="2">
        <v>3905</v>
      </c>
      <c r="J58" s="2">
        <v>3905</v>
      </c>
      <c r="K58" s="2">
        <v>3905</v>
      </c>
      <c r="L58" s="2">
        <v>3905</v>
      </c>
      <c r="M58" s="2">
        <v>3905</v>
      </c>
      <c r="N58" s="2">
        <v>3760</v>
      </c>
      <c r="O58" s="2">
        <v>3760</v>
      </c>
      <c r="P58" s="9"/>
      <c r="Q58" s="2">
        <f>SUM(OSRRefD21_9_0x)+IFERROR(SUM(OSRRefE21_9_0x),0)</f>
        <v>46570</v>
      </c>
    </row>
    <row r="59" spans="1:17" s="34" customFormat="1" collapsed="1" x14ac:dyDescent="0.3">
      <c r="A59" s="35"/>
      <c r="B59" s="14" t="str">
        <f>CONCATENATE("     ","Repair and Maintenance                            ")</f>
        <v xml:space="preserve">     Repair and Maintenance                            </v>
      </c>
      <c r="C59" s="14"/>
      <c r="D59" s="1">
        <f>SUM(OSRRefD21_10x_0)</f>
        <v>0</v>
      </c>
      <c r="E59" s="1">
        <f>SUM(OSRRefE21_10x_0)</f>
        <v>661</v>
      </c>
      <c r="F59" s="1">
        <f>SUM(OSRRefE21_10x_1)</f>
        <v>2955</v>
      </c>
      <c r="G59" s="1">
        <f>SUM(OSRRefE21_10x_2)</f>
        <v>100</v>
      </c>
      <c r="H59" s="1">
        <f>SUM(OSRRefE21_10x_3)</f>
        <v>100</v>
      </c>
      <c r="I59" s="1">
        <f>SUM(OSRRefE21_10x_4)</f>
        <v>100</v>
      </c>
      <c r="J59" s="1">
        <f>SUM(OSRRefE21_10x_5)</f>
        <v>100</v>
      </c>
      <c r="K59" s="1">
        <f>SUM(OSRRefE21_10x_6)</f>
        <v>100</v>
      </c>
      <c r="L59" s="1">
        <f>SUM(OSRRefE21_10x_7)</f>
        <v>100</v>
      </c>
      <c r="M59" s="1">
        <f>SUM(OSRRefE21_10x_8)</f>
        <v>100</v>
      </c>
      <c r="N59" s="1">
        <f>SUM(OSRRefE21_10x_9)</f>
        <v>100</v>
      </c>
      <c r="O59" s="1">
        <f>SUM(OSRRefE21_10x_10)</f>
        <v>100</v>
      </c>
      <c r="Q59" s="2">
        <f>SUM(OSRRefD20_10x)+IFERROR(SUM(OSRRefE20_10x),0)</f>
        <v>4516</v>
      </c>
    </row>
    <row r="60" spans="1:17" s="34" customFormat="1" hidden="1" outlineLevel="1" x14ac:dyDescent="0.3">
      <c r="A60" s="35"/>
      <c r="B60" s="10" t="str">
        <f>CONCATENATE("          ","6371", " - ","COMPUTER SOFTWARE MAINTENANCE")</f>
        <v xml:space="preserve">          6371 - COMPUTER SOFTWARE MAINTENANCE</v>
      </c>
      <c r="C60" s="14"/>
      <c r="D60" s="2"/>
      <c r="E60" s="2"/>
      <c r="F60" s="2">
        <v>2623</v>
      </c>
      <c r="G60" s="2"/>
      <c r="H60" s="2"/>
      <c r="I60" s="2"/>
      <c r="J60" s="2"/>
      <c r="K60" s="2"/>
      <c r="L60" s="2"/>
      <c r="M60" s="2"/>
      <c r="N60" s="2"/>
      <c r="O60" s="2"/>
      <c r="P60" s="9"/>
      <c r="Q60" s="2">
        <f>SUM(OSRRefD21_10_0x)+IFERROR(SUM(OSRRefE21_10_0x),0)</f>
        <v>2623</v>
      </c>
    </row>
    <row r="61" spans="1:17" s="34" customFormat="1" hidden="1" outlineLevel="1" x14ac:dyDescent="0.3">
      <c r="A61" s="35"/>
      <c r="B61" s="10" t="str">
        <f>CONCATENATE("          ","6375", " - ","OUTSIDE REPAIRS &amp; MAINTENANCE")</f>
        <v xml:space="preserve">          6375 - OUTSIDE REPAIRS &amp; MAINTENANCE</v>
      </c>
      <c r="C61" s="14"/>
      <c r="D61" s="2"/>
      <c r="E61" s="2">
        <v>661</v>
      </c>
      <c r="F61" s="2">
        <v>332</v>
      </c>
      <c r="G61" s="2">
        <v>100</v>
      </c>
      <c r="H61" s="2">
        <v>100</v>
      </c>
      <c r="I61" s="2">
        <v>100</v>
      </c>
      <c r="J61" s="2">
        <v>100</v>
      </c>
      <c r="K61" s="2">
        <v>100</v>
      </c>
      <c r="L61" s="2">
        <v>100</v>
      </c>
      <c r="M61" s="2">
        <v>100</v>
      </c>
      <c r="N61" s="2">
        <v>100</v>
      </c>
      <c r="O61" s="2">
        <v>100</v>
      </c>
      <c r="P61" s="9"/>
      <c r="Q61" s="2">
        <f>SUM(OSRRefD21_10_1x)+IFERROR(SUM(OSRRefE21_10_1x),0)</f>
        <v>1893</v>
      </c>
    </row>
    <row r="62" spans="1:17" s="34" customFormat="1" collapsed="1" x14ac:dyDescent="0.3">
      <c r="A62" s="35"/>
      <c r="B62" s="14" t="str">
        <f>CONCATENATE("     ","Services                                          ")</f>
        <v xml:space="preserve">     Services                                          </v>
      </c>
      <c r="C62" s="14"/>
      <c r="D62" s="1">
        <f>SUM(OSRRefD21_11x_0)</f>
        <v>0</v>
      </c>
      <c r="E62" s="1">
        <f>SUM(OSRRefE21_11x_0)</f>
        <v>201</v>
      </c>
      <c r="F62" s="1">
        <f>SUM(OSRRefE21_11x_1)</f>
        <v>192</v>
      </c>
      <c r="G62" s="1">
        <f>SUM(OSRRefE21_11x_2)</f>
        <v>192</v>
      </c>
      <c r="H62" s="1">
        <f>SUM(OSRRefE21_11x_3)</f>
        <v>192</v>
      </c>
      <c r="I62" s="1">
        <f>SUM(OSRRefE21_11x_4)</f>
        <v>192</v>
      </c>
      <c r="J62" s="1">
        <f>SUM(OSRRefE21_11x_5)</f>
        <v>192</v>
      </c>
      <c r="K62" s="1">
        <f>SUM(OSRRefE21_11x_6)</f>
        <v>192</v>
      </c>
      <c r="L62" s="1">
        <f>SUM(OSRRefE21_11x_7)</f>
        <v>192</v>
      </c>
      <c r="M62" s="1">
        <f>SUM(OSRRefE21_11x_8)</f>
        <v>192</v>
      </c>
      <c r="N62" s="1">
        <f>SUM(OSRRefE21_11x_9)</f>
        <v>192</v>
      </c>
      <c r="O62" s="1">
        <f>SUM(OSRRefE21_11x_10)</f>
        <v>192</v>
      </c>
      <c r="Q62" s="2">
        <f>SUM(OSRRefD20_11x)+IFERROR(SUM(OSRRefE20_11x),0)</f>
        <v>2121</v>
      </c>
    </row>
    <row r="63" spans="1:17" s="34" customFormat="1" hidden="1" outlineLevel="1" x14ac:dyDescent="0.3">
      <c r="A63" s="35"/>
      <c r="B63" s="10" t="str">
        <f>CONCATENATE("          ","6282", " - ","JANITORIAL/EXTERMINATOR EXPENS")</f>
        <v xml:space="preserve">          6282 - JANITORIAL/EXTERMINATOR EXPENS</v>
      </c>
      <c r="C63" s="14"/>
      <c r="D63" s="2"/>
      <c r="E63" s="2">
        <v>158</v>
      </c>
      <c r="F63" s="2">
        <v>158</v>
      </c>
      <c r="G63" s="2">
        <v>158</v>
      </c>
      <c r="H63" s="2">
        <v>158</v>
      </c>
      <c r="I63" s="2">
        <v>158</v>
      </c>
      <c r="J63" s="2">
        <v>158</v>
      </c>
      <c r="K63" s="2">
        <v>158</v>
      </c>
      <c r="L63" s="2">
        <v>158</v>
      </c>
      <c r="M63" s="2">
        <v>158</v>
      </c>
      <c r="N63" s="2">
        <v>158</v>
      </c>
      <c r="O63" s="2">
        <v>158</v>
      </c>
      <c r="P63" s="9"/>
      <c r="Q63" s="2">
        <f>SUM(OSRRefD21_11_0x)+IFERROR(SUM(OSRRefE21_11_0x),0)</f>
        <v>1738</v>
      </c>
    </row>
    <row r="64" spans="1:17" s="34" customFormat="1" hidden="1" outlineLevel="1" x14ac:dyDescent="0.3">
      <c r="A64" s="35"/>
      <c r="B64" s="10" t="str">
        <f>CONCATENATE("          ","6286", " - ","LAUNDRY EXPENSE")</f>
        <v xml:space="preserve">          6286 - LAUNDRY EXPENSE</v>
      </c>
      <c r="C64" s="14"/>
      <c r="D64" s="2"/>
      <c r="E64" s="2">
        <v>43</v>
      </c>
      <c r="F64" s="2">
        <v>34</v>
      </c>
      <c r="G64" s="2">
        <v>34</v>
      </c>
      <c r="H64" s="2">
        <v>34</v>
      </c>
      <c r="I64" s="2">
        <v>34</v>
      </c>
      <c r="J64" s="2">
        <v>34</v>
      </c>
      <c r="K64" s="2">
        <v>34</v>
      </c>
      <c r="L64" s="2">
        <v>34</v>
      </c>
      <c r="M64" s="2">
        <v>34</v>
      </c>
      <c r="N64" s="2">
        <v>34</v>
      </c>
      <c r="O64" s="2">
        <v>34</v>
      </c>
      <c r="P64" s="9"/>
      <c r="Q64" s="2">
        <f>SUM(OSRRefD21_11_1x)+IFERROR(SUM(OSRRefE21_11_1x),0)</f>
        <v>383</v>
      </c>
    </row>
    <row r="65" spans="1:17" s="34" customFormat="1" collapsed="1" x14ac:dyDescent="0.3">
      <c r="A65" s="35"/>
      <c r="B65" s="14" t="str">
        <f>CONCATENATE("     ","Supplies                                          ")</f>
        <v xml:space="preserve">     Supplies                                          </v>
      </c>
      <c r="C65" s="14"/>
      <c r="D65" s="1">
        <f>SUM(OSRRefD21_12x_0)</f>
        <v>107.74</v>
      </c>
      <c r="E65" s="1">
        <f>SUM(OSRRefE21_12x_0)</f>
        <v>1250</v>
      </c>
      <c r="F65" s="1">
        <f>SUM(OSRRefE21_12x_1)</f>
        <v>1750</v>
      </c>
      <c r="G65" s="1">
        <f>SUM(OSRRefE21_12x_2)</f>
        <v>1900</v>
      </c>
      <c r="H65" s="1">
        <f>SUM(OSRRefE21_12x_3)</f>
        <v>800</v>
      </c>
      <c r="I65" s="1">
        <f>SUM(OSRRefE21_12x_4)</f>
        <v>450</v>
      </c>
      <c r="J65" s="1">
        <f>SUM(OSRRefE21_12x_5)</f>
        <v>850</v>
      </c>
      <c r="K65" s="1">
        <f>SUM(OSRRefE21_12x_6)</f>
        <v>1700</v>
      </c>
      <c r="L65" s="1">
        <f>SUM(OSRRefE21_12x_7)</f>
        <v>600</v>
      </c>
      <c r="M65" s="1">
        <f>SUM(OSRRefE21_12x_8)</f>
        <v>750</v>
      </c>
      <c r="N65" s="1">
        <f>SUM(OSRRefE21_12x_9)</f>
        <v>600</v>
      </c>
      <c r="O65" s="1">
        <f>SUM(OSRRefE21_12x_10)</f>
        <v>500</v>
      </c>
      <c r="Q65" s="2">
        <f>SUM(OSRRefD20_12x)+IFERROR(SUM(OSRRefE20_12x),0)</f>
        <v>11257.74</v>
      </c>
    </row>
    <row r="66" spans="1:17" s="34" customFormat="1" hidden="1" outlineLevel="1" x14ac:dyDescent="0.3">
      <c r="A66" s="35"/>
      <c r="B66" s="10" t="str">
        <f>CONCATENATE("          ","6234", " - ","EXPENDABLE SUPPLIES &amp; EQUIPMEN")</f>
        <v xml:space="preserve">          6234 - EXPENDABLE SUPPLIES &amp; EQUIPMEN</v>
      </c>
      <c r="C66" s="14"/>
      <c r="D66" s="2"/>
      <c r="E66" s="2">
        <v>200</v>
      </c>
      <c r="F66" s="2">
        <v>50</v>
      </c>
      <c r="G66" s="2">
        <v>50</v>
      </c>
      <c r="H66" s="2">
        <v>50</v>
      </c>
      <c r="I66" s="2">
        <v>50</v>
      </c>
      <c r="J66" s="2">
        <v>200</v>
      </c>
      <c r="K66" s="2">
        <v>50</v>
      </c>
      <c r="L66" s="2">
        <v>50</v>
      </c>
      <c r="M66" s="2">
        <v>50</v>
      </c>
      <c r="N66" s="2">
        <v>50</v>
      </c>
      <c r="O66" s="2">
        <v>50</v>
      </c>
      <c r="P66" s="9"/>
      <c r="Q66" s="2">
        <f>SUM(OSRRefD21_12_0x)+IFERROR(SUM(OSRRefE21_12_0x),0)</f>
        <v>850</v>
      </c>
    </row>
    <row r="67" spans="1:17" s="34" customFormat="1" hidden="1" outlineLevel="1" x14ac:dyDescent="0.3">
      <c r="A67" s="35"/>
      <c r="B67" s="10" t="str">
        <f>CONCATENATE("          ","6237", " - ","JANITORIAL SUPPLIES")</f>
        <v xml:space="preserve">          6237 - JANITORIAL SUPPLIES</v>
      </c>
      <c r="C67" s="14"/>
      <c r="D67" s="2"/>
      <c r="E67" s="2">
        <v>50</v>
      </c>
      <c r="F67" s="2">
        <v>0</v>
      </c>
      <c r="G67" s="2">
        <v>50</v>
      </c>
      <c r="H67" s="2">
        <v>0</v>
      </c>
      <c r="I67" s="2">
        <v>0</v>
      </c>
      <c r="J67" s="2">
        <v>50</v>
      </c>
      <c r="K67" s="2">
        <v>50</v>
      </c>
      <c r="L67" s="2">
        <v>0</v>
      </c>
      <c r="M67" s="2">
        <v>50</v>
      </c>
      <c r="N67" s="2">
        <v>0</v>
      </c>
      <c r="O67" s="2">
        <v>0</v>
      </c>
      <c r="P67" s="9"/>
      <c r="Q67" s="2">
        <f>SUM(OSRRefD21_12_1x)+IFERROR(SUM(OSRRefE21_12_1x),0)</f>
        <v>250</v>
      </c>
    </row>
    <row r="68" spans="1:17" s="34" customFormat="1" hidden="1" outlineLevel="1" x14ac:dyDescent="0.3">
      <c r="A68" s="35"/>
      <c r="B68" s="10" t="str">
        <f>CONCATENATE("          ","6241", " - ","OFFICE EXPENSE")</f>
        <v xml:space="preserve">          6241 - OFFICE EXPENSE</v>
      </c>
      <c r="C68" s="14"/>
      <c r="D68" s="2">
        <v>107.74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2">
        <f>SUM(OSRRefD21_12_2x)+IFERROR(SUM(OSRRefE21_12_2x),0)</f>
        <v>107.74</v>
      </c>
    </row>
    <row r="69" spans="1:17" s="34" customFormat="1" hidden="1" outlineLevel="1" x14ac:dyDescent="0.3">
      <c r="A69" s="35"/>
      <c r="B69" s="10" t="str">
        <f>CONCATENATE("          ","6243", " - ","PAPER SUPPLIES")</f>
        <v xml:space="preserve">          6243 - PAPER SUPPLIES</v>
      </c>
      <c r="C69" s="14"/>
      <c r="D69" s="2"/>
      <c r="E69" s="2">
        <v>200</v>
      </c>
      <c r="F69" s="2">
        <v>200</v>
      </c>
      <c r="G69" s="2">
        <v>200</v>
      </c>
      <c r="H69" s="2">
        <v>200</v>
      </c>
      <c r="I69" s="2">
        <v>200</v>
      </c>
      <c r="J69" s="2">
        <v>200</v>
      </c>
      <c r="K69" s="2">
        <v>200</v>
      </c>
      <c r="L69" s="2">
        <v>200</v>
      </c>
      <c r="M69" s="2">
        <v>200</v>
      </c>
      <c r="N69" s="2">
        <v>200</v>
      </c>
      <c r="O69" s="2">
        <v>200</v>
      </c>
      <c r="P69" s="9"/>
      <c r="Q69" s="2">
        <f>SUM(OSRRefD21_12_3x)+IFERROR(SUM(OSRRefE21_12_3x),0)</f>
        <v>2200</v>
      </c>
    </row>
    <row r="70" spans="1:17" s="34" customFormat="1" hidden="1" outlineLevel="1" x14ac:dyDescent="0.3">
      <c r="A70" s="35"/>
      <c r="B70" s="10" t="str">
        <f>CONCATENATE("          ","6247", " - ","STORE SUPPLIES")</f>
        <v xml:space="preserve">          6247 - STORE SUPPLIES</v>
      </c>
      <c r="C70" s="14"/>
      <c r="D70" s="2"/>
      <c r="E70" s="2">
        <v>800</v>
      </c>
      <c r="F70" s="2">
        <v>1500</v>
      </c>
      <c r="G70" s="2">
        <v>1600</v>
      </c>
      <c r="H70" s="2">
        <v>550</v>
      </c>
      <c r="I70" s="2">
        <v>200</v>
      </c>
      <c r="J70" s="2">
        <v>400</v>
      </c>
      <c r="K70" s="2">
        <v>1400</v>
      </c>
      <c r="L70" s="2">
        <v>350</v>
      </c>
      <c r="M70" s="2">
        <v>450</v>
      </c>
      <c r="N70" s="2">
        <v>350</v>
      </c>
      <c r="O70" s="2">
        <v>250</v>
      </c>
      <c r="P70" s="9"/>
      <c r="Q70" s="2">
        <f>SUM(OSRRefD21_12_4x)+IFERROR(SUM(OSRRefE21_12_4x),0)</f>
        <v>7850</v>
      </c>
    </row>
    <row r="71" spans="1:17" s="34" customFormat="1" collapsed="1" x14ac:dyDescent="0.3">
      <c r="A71" s="35"/>
      <c r="B71" s="14" t="str">
        <f>CONCATENATE("     ","Telephone/Data Lines                              ")</f>
        <v xml:space="preserve">     Telephone/Data Lines                              </v>
      </c>
      <c r="C71" s="14"/>
      <c r="D71" s="1">
        <f>SUM(OSRRefD21_13x_0)</f>
        <v>107</v>
      </c>
      <c r="E71" s="1">
        <f>SUM(OSRRefE21_13x_0)</f>
        <v>125</v>
      </c>
      <c r="F71" s="1">
        <f>SUM(OSRRefE21_13x_1)</f>
        <v>125</v>
      </c>
      <c r="G71" s="1">
        <f>SUM(OSRRefE21_13x_2)</f>
        <v>125</v>
      </c>
      <c r="H71" s="1">
        <f>SUM(OSRRefE21_13x_3)</f>
        <v>125</v>
      </c>
      <c r="I71" s="1">
        <f>SUM(OSRRefE21_13x_4)</f>
        <v>125</v>
      </c>
      <c r="J71" s="1">
        <f>SUM(OSRRefE21_13x_5)</f>
        <v>125</v>
      </c>
      <c r="K71" s="1">
        <f>SUM(OSRRefE21_13x_6)</f>
        <v>125</v>
      </c>
      <c r="L71" s="1">
        <f>SUM(OSRRefE21_13x_7)</f>
        <v>125</v>
      </c>
      <c r="M71" s="1">
        <f>SUM(OSRRefE21_13x_8)</f>
        <v>125</v>
      </c>
      <c r="N71" s="1">
        <f>SUM(OSRRefE21_13x_9)</f>
        <v>125</v>
      </c>
      <c r="O71" s="1">
        <f>SUM(OSRRefE21_13x_10)</f>
        <v>125</v>
      </c>
      <c r="Q71" s="2">
        <f>SUM(OSRRefD20_13x)+IFERROR(SUM(OSRRefE20_13x),0)</f>
        <v>1482</v>
      </c>
    </row>
    <row r="72" spans="1:17" s="34" customFormat="1" hidden="1" outlineLevel="1" x14ac:dyDescent="0.3">
      <c r="A72" s="35"/>
      <c r="B72" s="10" t="str">
        <f>CONCATENATE("          ","6303", " - ","DATA PHONE LINES")</f>
        <v xml:space="preserve">          6303 - DATA PHONE LINES</v>
      </c>
      <c r="C72" s="14"/>
      <c r="D72" s="2"/>
      <c r="E72" s="2">
        <v>50</v>
      </c>
      <c r="F72" s="2">
        <v>50</v>
      </c>
      <c r="G72" s="2">
        <v>50</v>
      </c>
      <c r="H72" s="2">
        <v>50</v>
      </c>
      <c r="I72" s="2">
        <v>50</v>
      </c>
      <c r="J72" s="2">
        <v>50</v>
      </c>
      <c r="K72" s="2">
        <v>50</v>
      </c>
      <c r="L72" s="2">
        <v>50</v>
      </c>
      <c r="M72" s="2">
        <v>50</v>
      </c>
      <c r="N72" s="2">
        <v>50</v>
      </c>
      <c r="O72" s="2">
        <v>50</v>
      </c>
      <c r="P72" s="9"/>
      <c r="Q72" s="2">
        <f>SUM(OSRRefD21_13_0x)+IFERROR(SUM(OSRRefE21_13_0x),0)</f>
        <v>550</v>
      </c>
    </row>
    <row r="73" spans="1:17" s="34" customFormat="1" hidden="1" outlineLevel="1" x14ac:dyDescent="0.3">
      <c r="A73" s="35"/>
      <c r="B73" s="10" t="str">
        <f>CONCATENATE("          ","6309", " - ","TELEPHONE")</f>
        <v xml:space="preserve">          6309 - TELEPHONE</v>
      </c>
      <c r="C73" s="14"/>
      <c r="D73" s="2">
        <v>107</v>
      </c>
      <c r="E73" s="2">
        <v>75</v>
      </c>
      <c r="F73" s="2">
        <v>75</v>
      </c>
      <c r="G73" s="2">
        <v>75</v>
      </c>
      <c r="H73" s="2">
        <v>75</v>
      </c>
      <c r="I73" s="2">
        <v>75</v>
      </c>
      <c r="J73" s="2">
        <v>75</v>
      </c>
      <c r="K73" s="2">
        <v>75</v>
      </c>
      <c r="L73" s="2">
        <v>75</v>
      </c>
      <c r="M73" s="2">
        <v>75</v>
      </c>
      <c r="N73" s="2">
        <v>75</v>
      </c>
      <c r="O73" s="2">
        <v>75</v>
      </c>
      <c r="P73" s="9"/>
      <c r="Q73" s="2">
        <f>SUM(OSRRefD21_13_1x)+IFERROR(SUM(OSRRefE21_13_1x),0)</f>
        <v>932</v>
      </c>
    </row>
    <row r="74" spans="1:17" s="34" customFormat="1" collapsed="1" x14ac:dyDescent="0.3">
      <c r="A74" s="35"/>
      <c r="B74" s="14" t="str">
        <f>CONCATENATE("     ","Utilities                                         ")</f>
        <v xml:space="preserve">     Utilities                                         </v>
      </c>
      <c r="C74" s="14"/>
      <c r="D74" s="1">
        <f>SUM(OSRRefD21_14x_0)</f>
        <v>100</v>
      </c>
      <c r="E74" s="1">
        <f>SUM(OSRRefE21_14x_0)</f>
        <v>0</v>
      </c>
      <c r="F74" s="1">
        <f>SUM(OSRRefE21_14x_1)</f>
        <v>0</v>
      </c>
      <c r="G74" s="1">
        <f>SUM(OSRRefE21_14x_2)</f>
        <v>0</v>
      </c>
      <c r="H74" s="1">
        <f>SUM(OSRRefE21_14x_3)</f>
        <v>0</v>
      </c>
      <c r="I74" s="1">
        <f>SUM(OSRRefE21_14x_4)</f>
        <v>0</v>
      </c>
      <c r="J74" s="1">
        <f>SUM(OSRRefE21_14x_5)</f>
        <v>0</v>
      </c>
      <c r="K74" s="1">
        <f>SUM(OSRRefE21_14x_6)</f>
        <v>0</v>
      </c>
      <c r="L74" s="1">
        <f>SUM(OSRRefE21_14x_7)</f>
        <v>0</v>
      </c>
      <c r="M74" s="1">
        <f>SUM(OSRRefE21_14x_8)</f>
        <v>0</v>
      </c>
      <c r="N74" s="1">
        <f>SUM(OSRRefE21_14x_9)</f>
        <v>0</v>
      </c>
      <c r="O74" s="1">
        <f>SUM(OSRRefE21_14x_10)</f>
        <v>0</v>
      </c>
      <c r="Q74" s="2">
        <f>SUM(OSRRefD20_14x)+IFERROR(SUM(OSRRefE20_14x),0)</f>
        <v>100</v>
      </c>
    </row>
    <row r="75" spans="1:17" s="34" customFormat="1" hidden="1" outlineLevel="1" x14ac:dyDescent="0.3">
      <c r="A75" s="35"/>
      <c r="B75" s="10" t="str">
        <f>CONCATENATE("          ","6274", " - ","UTILITIES")</f>
        <v xml:space="preserve">          6274 - UTILITIES</v>
      </c>
      <c r="C75" s="14"/>
      <c r="D75" s="2">
        <v>100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9"/>
      <c r="Q75" s="2">
        <f>SUM(OSRRefD21_14_0x)+IFERROR(SUM(OSRRefE21_14_0x),0)</f>
        <v>100</v>
      </c>
    </row>
    <row r="76" spans="1:17" s="28" customFormat="1" x14ac:dyDescent="0.3">
      <c r="A76" s="21"/>
      <c r="B76" s="21"/>
      <c r="C76" s="2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1"/>
    </row>
    <row r="77" spans="1:17" s="9" customFormat="1" x14ac:dyDescent="0.3">
      <c r="A77" s="22"/>
      <c r="B77" s="16" t="s">
        <v>293</v>
      </c>
      <c r="C77" s="23"/>
      <c r="D77" s="3">
        <f>0</f>
        <v>0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2">
        <f>SUM(OSRRefD23_0x)+IFERROR(SUM(OSRRefE23_0x),0)</f>
        <v>0</v>
      </c>
    </row>
    <row r="78" spans="1:17" x14ac:dyDescent="0.3">
      <c r="A78" s="5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</row>
    <row r="79" spans="1:17" s="15" customFormat="1" x14ac:dyDescent="0.3">
      <c r="A79" s="6"/>
      <c r="B79" s="17" t="s">
        <v>276</v>
      </c>
      <c r="C79" s="17"/>
      <c r="D79" s="8">
        <f t="shared" ref="D79:O79" si="3">IFERROR(+D18-D21+D77, 0)</f>
        <v>-10022.300000000001</v>
      </c>
      <c r="E79" s="8">
        <f t="shared" si="3"/>
        <v>-20016.04736230769</v>
      </c>
      <c r="F79" s="8">
        <f t="shared" si="3"/>
        <v>-18044.49741230769</v>
      </c>
      <c r="G79" s="8">
        <f t="shared" si="3"/>
        <v>-15660.285365384618</v>
      </c>
      <c r="H79" s="8">
        <f t="shared" si="3"/>
        <v>-16931.67481230769</v>
      </c>
      <c r="I79" s="8">
        <f t="shared" si="3"/>
        <v>-18602.282512307691</v>
      </c>
      <c r="J79" s="8">
        <f t="shared" si="3"/>
        <v>-14031.689544384615</v>
      </c>
      <c r="K79" s="8">
        <f t="shared" si="3"/>
        <v>458.93465169231058</v>
      </c>
      <c r="L79" s="8">
        <f t="shared" si="3"/>
        <v>1337.5914361923096</v>
      </c>
      <c r="M79" s="8">
        <f t="shared" si="3"/>
        <v>-4007.9429683846174</v>
      </c>
      <c r="N79" s="8">
        <f t="shared" si="3"/>
        <v>-12849.611335057692</v>
      </c>
      <c r="O79" s="8">
        <f t="shared" si="3"/>
        <v>-18947.092781807689</v>
      </c>
      <c r="Q79" s="8">
        <f>IFERROR(+Q18-Q21+Q77, 0)</f>
        <v>-147316.89800636534</v>
      </c>
    </row>
    <row r="80" spans="1:17" s="6" customFormat="1" x14ac:dyDescent="0.3">
      <c r="B80" s="16"/>
      <c r="C80" s="16"/>
      <c r="D80" s="4">
        <f t="shared" ref="D80:O80" si="4">IFERROR(D79/D10, 0)</f>
        <v>0</v>
      </c>
      <c r="E80" s="4">
        <f t="shared" si="4"/>
        <v>-2.503883833163334</v>
      </c>
      <c r="F80" s="4">
        <f t="shared" si="4"/>
        <v>-0.64782427702691503</v>
      </c>
      <c r="G80" s="4">
        <f t="shared" si="4"/>
        <v>-0.43090238465136665</v>
      </c>
      <c r="H80" s="4">
        <f t="shared" si="4"/>
        <v>-0.9610986440544752</v>
      </c>
      <c r="I80" s="4">
        <f t="shared" si="4"/>
        <v>-1.1606115867424314</v>
      </c>
      <c r="J80" s="4">
        <f t="shared" si="4"/>
        <v>-0.56495106270421613</v>
      </c>
      <c r="K80" s="4">
        <f t="shared" si="4"/>
        <v>6.8391549191152623E-3</v>
      </c>
      <c r="L80" s="4">
        <f t="shared" si="4"/>
        <v>2.0705749786258661E-2</v>
      </c>
      <c r="M80" s="4">
        <f t="shared" si="4"/>
        <v>-6.7776155718011627E-2</v>
      </c>
      <c r="N80" s="4">
        <f t="shared" si="4"/>
        <v>-0.44613607857293563</v>
      </c>
      <c r="O80" s="4">
        <f t="shared" si="4"/>
        <v>-2.0503292697551876</v>
      </c>
      <c r="P80" s="18"/>
      <c r="Q80" s="4">
        <f>IFERROR(Q79/Q10, 0)</f>
        <v>-0.40972006509815007</v>
      </c>
    </row>
    <row r="81" spans="1:17" x14ac:dyDescent="0.3">
      <c r="A81" s="5"/>
      <c r="B81" s="6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</row>
    <row r="82" spans="1:17" s="15" customFormat="1" x14ac:dyDescent="0.3">
      <c r="A82" s="25"/>
      <c r="B82" s="6" t="s">
        <v>125</v>
      </c>
      <c r="C82" s="6"/>
      <c r="D82" s="3"/>
      <c r="E82" s="3">
        <v>895</v>
      </c>
      <c r="F82" s="3">
        <v>2997</v>
      </c>
      <c r="G82" s="3">
        <v>4409</v>
      </c>
      <c r="H82" s="3">
        <v>2926</v>
      </c>
      <c r="I82" s="3">
        <v>2476</v>
      </c>
      <c r="J82" s="3">
        <v>2670</v>
      </c>
      <c r="K82" s="3">
        <v>7805</v>
      </c>
      <c r="L82" s="3">
        <v>7775</v>
      </c>
      <c r="M82" s="3">
        <v>7598</v>
      </c>
      <c r="N82" s="3">
        <v>3875</v>
      </c>
      <c r="O82" s="3">
        <v>-2654</v>
      </c>
      <c r="Q82" s="2">
        <f>SUM(OSRRefD28_0x)+IFERROR(SUM(OSRRefE28_0x),0)</f>
        <v>40772</v>
      </c>
    </row>
    <row r="83" spans="1:17" x14ac:dyDescent="0.3">
      <c r="A83" s="5"/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3"/>
    </row>
    <row r="84" spans="1:17" s="15" customFormat="1" ht="15" thickBot="1" x14ac:dyDescent="0.35">
      <c r="A84" s="6"/>
      <c r="B84" s="17" t="s">
        <v>124</v>
      </c>
      <c r="C84" s="17"/>
      <c r="D84" s="7">
        <f t="shared" ref="D84:O84" si="5">IFERROR(+D79-D82, 0)</f>
        <v>-10022.300000000001</v>
      </c>
      <c r="E84" s="7">
        <f t="shared" si="5"/>
        <v>-20911.04736230769</v>
      </c>
      <c r="F84" s="7">
        <f t="shared" si="5"/>
        <v>-21041.49741230769</v>
      </c>
      <c r="G84" s="7">
        <f t="shared" si="5"/>
        <v>-20069.285365384618</v>
      </c>
      <c r="H84" s="7">
        <f t="shared" si="5"/>
        <v>-19857.67481230769</v>
      </c>
      <c r="I84" s="7">
        <f t="shared" si="5"/>
        <v>-21078.282512307691</v>
      </c>
      <c r="J84" s="7">
        <f t="shared" si="5"/>
        <v>-16701.689544384615</v>
      </c>
      <c r="K84" s="7">
        <f t="shared" si="5"/>
        <v>-7346.0653483076894</v>
      </c>
      <c r="L84" s="7">
        <f t="shared" si="5"/>
        <v>-6437.4085638076904</v>
      </c>
      <c r="M84" s="7">
        <f t="shared" si="5"/>
        <v>-11605.942968384617</v>
      </c>
      <c r="N84" s="7">
        <f t="shared" si="5"/>
        <v>-16724.611335057692</v>
      </c>
      <c r="O84" s="7">
        <f t="shared" si="5"/>
        <v>-16293.092781807689</v>
      </c>
      <c r="Q84" s="7">
        <f>IFERROR(+Q79-Q82, 0)</f>
        <v>-188088.89800636534</v>
      </c>
    </row>
    <row r="85" spans="1:17" ht="15" thickTop="1" x14ac:dyDescent="0.3">
      <c r="A85" s="5"/>
      <c r="B85" s="5"/>
      <c r="C85" s="5"/>
      <c r="D85" s="4">
        <f t="shared" ref="D85:O85" si="6">IFERROR(D84/D10, 0)</f>
        <v>0</v>
      </c>
      <c r="E85" s="4">
        <f t="shared" si="6"/>
        <v>-2.615842802390254</v>
      </c>
      <c r="F85" s="4">
        <f t="shared" si="6"/>
        <v>-0.75542103153255147</v>
      </c>
      <c r="G85" s="4">
        <f t="shared" si="6"/>
        <v>-0.55221873167830438</v>
      </c>
      <c r="H85" s="4">
        <f t="shared" si="6"/>
        <v>-1.1271882166264229</v>
      </c>
      <c r="I85" s="4">
        <f t="shared" si="6"/>
        <v>-1.315091247336392</v>
      </c>
      <c r="J85" s="4">
        <f t="shared" si="6"/>
        <v>-0.67245196861072654</v>
      </c>
      <c r="K85" s="4">
        <f t="shared" si="6"/>
        <v>-0.10947283840468064</v>
      </c>
      <c r="L85" s="4">
        <f t="shared" si="6"/>
        <v>-9.9650287365444123E-2</v>
      </c>
      <c r="M85" s="4">
        <f t="shared" si="6"/>
        <v>-0.1962618241039083</v>
      </c>
      <c r="N85" s="4">
        <f t="shared" si="6"/>
        <v>-0.58067534667931719</v>
      </c>
      <c r="O85" s="4">
        <f t="shared" si="6"/>
        <v>-1.7631309145988192</v>
      </c>
      <c r="P85" s="18"/>
      <c r="Q85" s="4">
        <f>IFERROR(Q84/Q10, 0)</f>
        <v>-0.52311579036966627</v>
      </c>
    </row>
    <row r="86" spans="1:17" x14ac:dyDescent="0.3">
      <c r="A86" s="5"/>
      <c r="B86" s="5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</row>
    <row r="87" spans="1:17" x14ac:dyDescent="0.3">
      <c r="A87" s="5"/>
      <c r="B87" s="5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</row>
    <row r="88" spans="1:17" s="15" customFormat="1" ht="15" thickBot="1" x14ac:dyDescent="0.35">
      <c r="A88" s="6"/>
      <c r="B88" s="17" t="s">
        <v>294</v>
      </c>
      <c r="C88" s="17"/>
      <c r="D88" s="7">
        <f t="shared" ref="D88:O88" si="7">IFERROR(SUM(D84:D87), 0)</f>
        <v>-10022.300000000001</v>
      </c>
      <c r="E88" s="7">
        <f t="shared" si="7"/>
        <v>-20913.663205110082</v>
      </c>
      <c r="F88" s="7">
        <f t="shared" si="7"/>
        <v>-21042.252833339222</v>
      </c>
      <c r="G88" s="7">
        <f t="shared" si="7"/>
        <v>-20069.837584116296</v>
      </c>
      <c r="H88" s="7">
        <f t="shared" si="7"/>
        <v>-19858.802000524316</v>
      </c>
      <c r="I88" s="7">
        <f t="shared" si="7"/>
        <v>-21079.597603555027</v>
      </c>
      <c r="J88" s="7">
        <f t="shared" si="7"/>
        <v>-16702.361996353226</v>
      </c>
      <c r="K88" s="7">
        <f t="shared" si="7"/>
        <v>-7346.1748211460945</v>
      </c>
      <c r="L88" s="7">
        <f t="shared" si="7"/>
        <v>-6437.5082140950562</v>
      </c>
      <c r="M88" s="7">
        <f t="shared" si="7"/>
        <v>-11606.139230208721</v>
      </c>
      <c r="N88" s="7">
        <f t="shared" si="7"/>
        <v>-16725.192010404371</v>
      </c>
      <c r="O88" s="7">
        <f t="shared" si="7"/>
        <v>-16294.855912722287</v>
      </c>
      <c r="Q88" s="7">
        <f>IFERROR(SUM(Q84:Q87), 0)</f>
        <v>-188089.42112215571</v>
      </c>
    </row>
    <row r="89" spans="1:17" ht="15" thickTop="1" x14ac:dyDescent="0.3">
      <c r="A89" s="5"/>
      <c r="C89" s="5"/>
      <c r="D89" s="4">
        <f t="shared" ref="D89:O89" si="8">IFERROR(D88/D10, 0)</f>
        <v>0</v>
      </c>
      <c r="E89" s="4">
        <f t="shared" si="8"/>
        <v>-2.6161700281598801</v>
      </c>
      <c r="F89" s="4">
        <f t="shared" si="8"/>
        <v>-0.75544815227038209</v>
      </c>
      <c r="G89" s="4">
        <f t="shared" si="8"/>
        <v>-0.55223392631638268</v>
      </c>
      <c r="H89" s="4">
        <f t="shared" si="8"/>
        <v>-1.1272521996097131</v>
      </c>
      <c r="I89" s="4">
        <f t="shared" si="8"/>
        <v>-1.3151732969525223</v>
      </c>
      <c r="J89" s="4">
        <f t="shared" si="8"/>
        <v>-0.67247904321589669</v>
      </c>
      <c r="K89" s="4">
        <f t="shared" si="8"/>
        <v>-0.10947446979533403</v>
      </c>
      <c r="L89" s="4">
        <f t="shared" si="8"/>
        <v>-9.9651829939551947E-2</v>
      </c>
      <c r="M89" s="4">
        <f t="shared" si="8"/>
        <v>-0.19626514298146142</v>
      </c>
      <c r="N89" s="4">
        <f t="shared" si="8"/>
        <v>-0.5806955076176783</v>
      </c>
      <c r="O89" s="4">
        <f t="shared" si="8"/>
        <v>-1.7633217089841238</v>
      </c>
      <c r="P89" s="18"/>
      <c r="Q89" s="4">
        <f>IFERROR(Q88/Q10, 0)</f>
        <v>-0.52311724526749925</v>
      </c>
    </row>
    <row r="90" spans="1:17" x14ac:dyDescent="0.3">
      <c r="A90" s="5"/>
      <c r="B90" s="30">
        <v>44462.678423958336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Q90" s="11"/>
    </row>
    <row r="91" spans="1:17" x14ac:dyDescent="0.3">
      <c r="A91" s="5"/>
      <c r="B91" s="31" t="s">
        <v>54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Q91" s="11"/>
    </row>
    <row r="92" spans="1:17" x14ac:dyDescent="0.3">
      <c r="A92" s="5"/>
      <c r="B92" s="2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Q92" s="11"/>
    </row>
    <row r="93" spans="1:17" x14ac:dyDescent="0.3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Q93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92D050"/>
    <outlinePr summaryBelow="0" summaryRight="0"/>
    <pageSetUpPr fitToPage="1"/>
  </sheetPr>
  <dimension ref="A2:R39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","327", " - ", "C-Store Vending Machine(s)")</f>
        <v>Department 327 - C-Store Vending Machine(s)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25</v>
      </c>
      <c r="F10" s="3">
        <f>SUM(OSRRefE11x_1)</f>
        <v>50</v>
      </c>
      <c r="G10" s="3">
        <f>SUM(OSRRefE11x_2)</f>
        <v>50</v>
      </c>
      <c r="H10" s="3">
        <f>SUM(OSRRefE11x_3)</f>
        <v>50</v>
      </c>
      <c r="I10" s="3">
        <f>SUM(OSRRefE11x_4)</f>
        <v>100</v>
      </c>
      <c r="J10" s="3">
        <f>SUM(OSRRefE11x_5)</f>
        <v>50</v>
      </c>
      <c r="K10" s="3">
        <f>SUM(OSRRefE11x_6)</f>
        <v>100</v>
      </c>
      <c r="L10" s="3">
        <f>SUM(OSRRefE11x_7)</f>
        <v>125</v>
      </c>
      <c r="M10" s="3">
        <f>SUM(OSRRefE11x_8)</f>
        <v>125</v>
      </c>
      <c r="N10" s="3">
        <f>SUM(OSRRefE11x_9)</f>
        <v>200</v>
      </c>
      <c r="O10" s="3">
        <f>SUM(OSRRefE11x_10)</f>
        <v>50</v>
      </c>
      <c r="P10" s="24"/>
      <c r="Q10" s="3">
        <f>SUM(OSRRefG11x)</f>
        <v>925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0</f>
        <v>0</v>
      </c>
      <c r="E11" s="2">
        <v>25</v>
      </c>
      <c r="F11" s="2">
        <v>50</v>
      </c>
      <c r="G11" s="2">
        <v>50</v>
      </c>
      <c r="H11" s="2">
        <v>50</v>
      </c>
      <c r="I11" s="2">
        <v>100</v>
      </c>
      <c r="J11" s="2">
        <v>50</v>
      </c>
      <c r="K11" s="2">
        <v>100</v>
      </c>
      <c r="L11" s="2">
        <v>125</v>
      </c>
      <c r="M11" s="2">
        <v>125</v>
      </c>
      <c r="N11" s="2">
        <v>200</v>
      </c>
      <c r="O11" s="2">
        <v>50</v>
      </c>
      <c r="Q11" s="2">
        <f>SUM(OSRRefD11_0x)+IFERROR(SUM(OSRRefE11_0x),0)</f>
        <v>925</v>
      </c>
    </row>
    <row r="12" spans="1:18" x14ac:dyDescent="0.3">
      <c r="A12" s="5"/>
      <c r="B12" s="6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</row>
    <row r="13" spans="1:18" s="9" customFormat="1" collapsed="1" x14ac:dyDescent="0.3">
      <c r="A13" s="22"/>
      <c r="B13" s="16" t="s">
        <v>218</v>
      </c>
      <c r="C13" s="23"/>
      <c r="D13" s="3">
        <f>SUM(OSRRefD14x_0)</f>
        <v>0</v>
      </c>
      <c r="E13" s="3">
        <f>SUM(OSRRefE14x_0)</f>
        <v>13</v>
      </c>
      <c r="F13" s="3">
        <f>SUM(OSRRefE14x_1)</f>
        <v>25</v>
      </c>
      <c r="G13" s="3">
        <f>SUM(OSRRefE14x_2)</f>
        <v>25</v>
      </c>
      <c r="H13" s="3">
        <f>SUM(OSRRefE14x_3)</f>
        <v>25</v>
      </c>
      <c r="I13" s="3">
        <f>SUM(OSRRefE14x_4)</f>
        <v>50</v>
      </c>
      <c r="J13" s="3">
        <f>SUM(OSRRefE14x_5)</f>
        <v>25</v>
      </c>
      <c r="K13" s="3">
        <f>SUM(OSRRefE14x_6)</f>
        <v>50</v>
      </c>
      <c r="L13" s="3">
        <f>SUM(OSRRefE14x_7)</f>
        <v>63</v>
      </c>
      <c r="M13" s="3">
        <f>SUM(OSRRefE14x_8)</f>
        <v>63</v>
      </c>
      <c r="N13" s="3">
        <f>SUM(OSRRefE14x_9)</f>
        <v>100</v>
      </c>
      <c r="O13" s="3">
        <f>SUM(OSRRefE14x_10)</f>
        <v>25</v>
      </c>
      <c r="Q13" s="3">
        <f>SUM(OSRRefG14x)</f>
        <v>464</v>
      </c>
    </row>
    <row r="14" spans="1:18" s="9" customFormat="1" hidden="1" outlineLevel="1" x14ac:dyDescent="0.3">
      <c r="A14" s="22"/>
      <c r="B14" s="10" t="str">
        <f>CONCATENATE("          ","5000", " - ","PURCHASES @ COST")</f>
        <v xml:space="preserve">          5000 - PURCHASES @ COST</v>
      </c>
      <c r="C14" s="23"/>
      <c r="D14" s="2"/>
      <c r="E14" s="2">
        <v>13</v>
      </c>
      <c r="F14" s="2">
        <v>25</v>
      </c>
      <c r="G14" s="2">
        <v>25</v>
      </c>
      <c r="H14" s="2">
        <v>25</v>
      </c>
      <c r="I14" s="2">
        <v>50</v>
      </c>
      <c r="J14" s="2">
        <v>25</v>
      </c>
      <c r="K14" s="2">
        <v>50</v>
      </c>
      <c r="L14" s="2">
        <v>63</v>
      </c>
      <c r="M14" s="2">
        <v>63</v>
      </c>
      <c r="N14" s="2">
        <v>100</v>
      </c>
      <c r="O14" s="2">
        <v>25</v>
      </c>
      <c r="Q14" s="2">
        <f>SUM(OSRRefD14_0x)+IFERROR(SUM(OSRRefE14_0x),0)</f>
        <v>464</v>
      </c>
    </row>
    <row r="15" spans="1:18" x14ac:dyDescent="0.3">
      <c r="A15" s="5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15" customFormat="1" x14ac:dyDescent="0.3">
      <c r="A16" s="6"/>
      <c r="B16" s="17" t="s">
        <v>105</v>
      </c>
      <c r="C16" s="17"/>
      <c r="D16" s="8">
        <f t="shared" ref="D16:O16" si="0">IFERROR(+D10-D13, 0)</f>
        <v>0</v>
      </c>
      <c r="E16" s="8">
        <f t="shared" si="0"/>
        <v>12</v>
      </c>
      <c r="F16" s="8">
        <f t="shared" si="0"/>
        <v>25</v>
      </c>
      <c r="G16" s="8">
        <f t="shared" si="0"/>
        <v>25</v>
      </c>
      <c r="H16" s="8">
        <f t="shared" si="0"/>
        <v>25</v>
      </c>
      <c r="I16" s="8">
        <f t="shared" si="0"/>
        <v>50</v>
      </c>
      <c r="J16" s="8">
        <f t="shared" si="0"/>
        <v>25</v>
      </c>
      <c r="K16" s="8">
        <f t="shared" si="0"/>
        <v>50</v>
      </c>
      <c r="L16" s="8">
        <f t="shared" si="0"/>
        <v>62</v>
      </c>
      <c r="M16" s="8">
        <f t="shared" si="0"/>
        <v>62</v>
      </c>
      <c r="N16" s="8">
        <f t="shared" si="0"/>
        <v>100</v>
      </c>
      <c r="O16" s="8">
        <f t="shared" si="0"/>
        <v>25</v>
      </c>
      <c r="Q16" s="8">
        <f>IFERROR(+Q10-Q13, 0)</f>
        <v>461</v>
      </c>
    </row>
    <row r="17" spans="1:17" s="6" customFormat="1" x14ac:dyDescent="0.3">
      <c r="B17" s="16"/>
      <c r="C17" s="16"/>
      <c r="D17" s="4">
        <f t="shared" ref="D17:O17" si="1">IFERROR(D16/D10, 0)</f>
        <v>0</v>
      </c>
      <c r="E17" s="4">
        <f t="shared" si="1"/>
        <v>0.48</v>
      </c>
      <c r="F17" s="4">
        <f t="shared" si="1"/>
        <v>0.5</v>
      </c>
      <c r="G17" s="4">
        <f t="shared" si="1"/>
        <v>0.5</v>
      </c>
      <c r="H17" s="4">
        <f t="shared" si="1"/>
        <v>0.5</v>
      </c>
      <c r="I17" s="4">
        <f t="shared" si="1"/>
        <v>0.5</v>
      </c>
      <c r="J17" s="4">
        <f t="shared" si="1"/>
        <v>0.5</v>
      </c>
      <c r="K17" s="4">
        <f t="shared" si="1"/>
        <v>0.5</v>
      </c>
      <c r="L17" s="4">
        <f t="shared" si="1"/>
        <v>0.496</v>
      </c>
      <c r="M17" s="4">
        <f t="shared" si="1"/>
        <v>0.496</v>
      </c>
      <c r="N17" s="4">
        <f t="shared" si="1"/>
        <v>0.5</v>
      </c>
      <c r="O17" s="4">
        <f t="shared" si="1"/>
        <v>0.5</v>
      </c>
      <c r="P17" s="18"/>
      <c r="Q17" s="4">
        <f>IFERROR(Q16/Q10, 0)</f>
        <v>0.49837837837837839</v>
      </c>
    </row>
    <row r="18" spans="1:17" x14ac:dyDescent="0.3">
      <c r="A18" s="5"/>
      <c r="B18" s="6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</row>
    <row r="19" spans="1:17" s="15" customFormat="1" x14ac:dyDescent="0.3">
      <c r="A19" s="6"/>
      <c r="B19" s="16" t="s">
        <v>255</v>
      </c>
      <c r="C19" s="6"/>
      <c r="D19" s="13">
        <f>SUM(OSRRefD20x_0)</f>
        <v>0</v>
      </c>
      <c r="E19" s="13">
        <f>SUM(OSRRefE20x_0)</f>
        <v>2.25</v>
      </c>
      <c r="F19" s="13">
        <f>SUM(OSRRefE20x_1)</f>
        <v>4.5</v>
      </c>
      <c r="G19" s="13">
        <f>SUM(OSRRefE20x_2)</f>
        <v>4.5</v>
      </c>
      <c r="H19" s="13">
        <f>SUM(OSRRefE20x_3)</f>
        <v>4.5</v>
      </c>
      <c r="I19" s="13">
        <f>SUM(OSRRefE20x_4)</f>
        <v>9</v>
      </c>
      <c r="J19" s="13">
        <f>SUM(OSRRefE20x_5)</f>
        <v>4.5</v>
      </c>
      <c r="K19" s="13">
        <f>SUM(OSRRefE20x_6)</f>
        <v>9</v>
      </c>
      <c r="L19" s="13">
        <f>SUM(OSRRefE20x_7)</f>
        <v>11.25</v>
      </c>
      <c r="M19" s="13">
        <f>SUM(OSRRefE20x_8)</f>
        <v>11.25</v>
      </c>
      <c r="N19" s="13">
        <f>SUM(OSRRefE20x_9)</f>
        <v>18</v>
      </c>
      <c r="O19" s="13">
        <f>SUM(OSRRefE20x_10)</f>
        <v>4.5</v>
      </c>
      <c r="Q19" s="13">
        <f>SUM(OSRRefG20x)</f>
        <v>83.25</v>
      </c>
    </row>
    <row r="20" spans="1:17" s="34" customFormat="1" collapsed="1" x14ac:dyDescent="0.3">
      <c r="A20" s="35"/>
      <c r="B20" s="14" t="str">
        <f>CONCATENATE("     ","Bank/card Fees                                    ")</f>
        <v xml:space="preserve">     Bank/card Fees                                    </v>
      </c>
      <c r="C20" s="14"/>
      <c r="D20" s="1">
        <f>SUM(OSRRefD21_0x_0)</f>
        <v>0</v>
      </c>
      <c r="E20" s="1">
        <f>SUM(OSRRefE21_0x_0)</f>
        <v>2.25</v>
      </c>
      <c r="F20" s="1">
        <f>SUM(OSRRefE21_0x_1)</f>
        <v>4.5</v>
      </c>
      <c r="G20" s="1">
        <f>SUM(OSRRefE21_0x_2)</f>
        <v>4.5</v>
      </c>
      <c r="H20" s="1">
        <f>SUM(OSRRefE21_0x_3)</f>
        <v>4.5</v>
      </c>
      <c r="I20" s="1">
        <f>SUM(OSRRefE21_0x_4)</f>
        <v>9</v>
      </c>
      <c r="J20" s="1">
        <f>SUM(OSRRefE21_0x_5)</f>
        <v>4.5</v>
      </c>
      <c r="K20" s="1">
        <f>SUM(OSRRefE21_0x_6)</f>
        <v>9</v>
      </c>
      <c r="L20" s="1">
        <f>SUM(OSRRefE21_0x_7)</f>
        <v>11.25</v>
      </c>
      <c r="M20" s="1">
        <f>SUM(OSRRefE21_0x_8)</f>
        <v>11.25</v>
      </c>
      <c r="N20" s="1">
        <f>SUM(OSRRefE21_0x_9)</f>
        <v>18</v>
      </c>
      <c r="O20" s="1">
        <f>SUM(OSRRefE21_0x_10)</f>
        <v>4.5</v>
      </c>
      <c r="Q20" s="2">
        <f>SUM(OSRRefD20_0x)+IFERROR(SUM(OSRRefE20_0x),0)</f>
        <v>83.25</v>
      </c>
    </row>
    <row r="21" spans="1:17" s="34" customFormat="1" hidden="1" outlineLevel="1" x14ac:dyDescent="0.3">
      <c r="A21" s="35"/>
      <c r="B21" s="10" t="str">
        <f>CONCATENATE("          ","6381", " - ","BANK/CREDIT CARD FEES")</f>
        <v xml:space="preserve">          6381 - BANK/CREDIT CARD FEES</v>
      </c>
      <c r="C21" s="14"/>
      <c r="D21" s="2"/>
      <c r="E21" s="2">
        <v>2.25</v>
      </c>
      <c r="F21" s="2">
        <v>4.5</v>
      </c>
      <c r="G21" s="2">
        <v>4.5</v>
      </c>
      <c r="H21" s="2">
        <v>4.5</v>
      </c>
      <c r="I21" s="2">
        <v>9</v>
      </c>
      <c r="J21" s="2">
        <v>4.5</v>
      </c>
      <c r="K21" s="2">
        <v>9</v>
      </c>
      <c r="L21" s="2">
        <v>11.25</v>
      </c>
      <c r="M21" s="2">
        <v>11.25</v>
      </c>
      <c r="N21" s="2">
        <v>18</v>
      </c>
      <c r="O21" s="2">
        <v>4.5</v>
      </c>
      <c r="P21" s="9"/>
      <c r="Q21" s="2">
        <f>SUM(OSRRefD21_0_0x)+IFERROR(SUM(OSRRefE21_0_0x),0)</f>
        <v>83.25</v>
      </c>
    </row>
    <row r="22" spans="1:17" s="28" customFormat="1" x14ac:dyDescent="0.3">
      <c r="A22" s="21"/>
      <c r="B22" s="21"/>
      <c r="C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s="1"/>
    </row>
    <row r="23" spans="1:17" s="9" customFormat="1" x14ac:dyDescent="0.3">
      <c r="A23" s="22"/>
      <c r="B23" s="16" t="s">
        <v>293</v>
      </c>
      <c r="C23" s="23"/>
      <c r="D23" s="3">
        <f>0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2">
        <f>SUM(OSRRefD23_0x)+IFERROR(SUM(OSRRefE23_0x),0)</f>
        <v>0</v>
      </c>
    </row>
    <row r="24" spans="1:17" x14ac:dyDescent="0.3">
      <c r="A24" s="5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3"/>
    </row>
    <row r="25" spans="1:17" s="15" customFormat="1" x14ac:dyDescent="0.3">
      <c r="A25" s="6"/>
      <c r="B25" s="17" t="s">
        <v>276</v>
      </c>
      <c r="C25" s="17"/>
      <c r="D25" s="8">
        <f t="shared" ref="D25:O25" si="2">IFERROR(+D16-D19+D23, 0)</f>
        <v>0</v>
      </c>
      <c r="E25" s="8">
        <f t="shared" si="2"/>
        <v>9.75</v>
      </c>
      <c r="F25" s="8">
        <f t="shared" si="2"/>
        <v>20.5</v>
      </c>
      <c r="G25" s="8">
        <f t="shared" si="2"/>
        <v>20.5</v>
      </c>
      <c r="H25" s="8">
        <f t="shared" si="2"/>
        <v>20.5</v>
      </c>
      <c r="I25" s="8">
        <f t="shared" si="2"/>
        <v>41</v>
      </c>
      <c r="J25" s="8">
        <f t="shared" si="2"/>
        <v>20.5</v>
      </c>
      <c r="K25" s="8">
        <f t="shared" si="2"/>
        <v>41</v>
      </c>
      <c r="L25" s="8">
        <f t="shared" si="2"/>
        <v>50.75</v>
      </c>
      <c r="M25" s="8">
        <f t="shared" si="2"/>
        <v>50.75</v>
      </c>
      <c r="N25" s="8">
        <f t="shared" si="2"/>
        <v>82</v>
      </c>
      <c r="O25" s="8">
        <f t="shared" si="2"/>
        <v>20.5</v>
      </c>
      <c r="Q25" s="8">
        <f>IFERROR(+Q16-Q19+Q23, 0)</f>
        <v>377.75</v>
      </c>
    </row>
    <row r="26" spans="1:17" s="6" customFormat="1" x14ac:dyDescent="0.3">
      <c r="B26" s="16"/>
      <c r="C26" s="16"/>
      <c r="D26" s="4">
        <f t="shared" ref="D26:O26" si="3">IFERROR(D25/D10, 0)</f>
        <v>0</v>
      </c>
      <c r="E26" s="4">
        <f t="shared" si="3"/>
        <v>0.39</v>
      </c>
      <c r="F26" s="4">
        <f t="shared" si="3"/>
        <v>0.41</v>
      </c>
      <c r="G26" s="4">
        <f t="shared" si="3"/>
        <v>0.41</v>
      </c>
      <c r="H26" s="4">
        <f t="shared" si="3"/>
        <v>0.41</v>
      </c>
      <c r="I26" s="4">
        <f t="shared" si="3"/>
        <v>0.41</v>
      </c>
      <c r="J26" s="4">
        <f t="shared" si="3"/>
        <v>0.41</v>
      </c>
      <c r="K26" s="4">
        <f t="shared" si="3"/>
        <v>0.41</v>
      </c>
      <c r="L26" s="4">
        <f t="shared" si="3"/>
        <v>0.40600000000000003</v>
      </c>
      <c r="M26" s="4">
        <f t="shared" si="3"/>
        <v>0.40600000000000003</v>
      </c>
      <c r="N26" s="4">
        <f t="shared" si="3"/>
        <v>0.41</v>
      </c>
      <c r="O26" s="4">
        <f t="shared" si="3"/>
        <v>0.41</v>
      </c>
      <c r="P26" s="18"/>
      <c r="Q26" s="4">
        <f>IFERROR(Q25/Q10, 0)</f>
        <v>0.40837837837837837</v>
      </c>
    </row>
    <row r="27" spans="1:17" x14ac:dyDescent="0.3">
      <c r="A27" s="5"/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25"/>
      <c r="B28" s="6" t="s">
        <v>125</v>
      </c>
      <c r="C28" s="6"/>
      <c r="D28" s="3"/>
      <c r="E28" s="3">
        <v>3</v>
      </c>
      <c r="F28" s="3">
        <v>5</v>
      </c>
      <c r="G28" s="3">
        <v>6</v>
      </c>
      <c r="H28" s="3">
        <v>8</v>
      </c>
      <c r="I28" s="3">
        <v>14</v>
      </c>
      <c r="J28" s="3">
        <v>5</v>
      </c>
      <c r="K28" s="3">
        <v>11</v>
      </c>
      <c r="L28" s="3">
        <v>15</v>
      </c>
      <c r="M28" s="3">
        <v>16</v>
      </c>
      <c r="N28" s="3">
        <v>25</v>
      </c>
      <c r="O28" s="3">
        <v>-4</v>
      </c>
      <c r="Q28" s="2">
        <f>SUM(OSRRefD28_0x)+IFERROR(SUM(OSRRefE28_0x),0)</f>
        <v>104</v>
      </c>
    </row>
    <row r="29" spans="1:17" x14ac:dyDescent="0.3">
      <c r="A29" s="5"/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</row>
    <row r="30" spans="1:17" s="15" customFormat="1" ht="15" thickBot="1" x14ac:dyDescent="0.35">
      <c r="A30" s="6"/>
      <c r="B30" s="17" t="s">
        <v>124</v>
      </c>
      <c r="C30" s="17"/>
      <c r="D30" s="7">
        <f t="shared" ref="D30:O30" si="4">IFERROR(+D25-D28, 0)</f>
        <v>0</v>
      </c>
      <c r="E30" s="7">
        <f t="shared" si="4"/>
        <v>6.75</v>
      </c>
      <c r="F30" s="7">
        <f t="shared" si="4"/>
        <v>15.5</v>
      </c>
      <c r="G30" s="7">
        <f t="shared" si="4"/>
        <v>14.5</v>
      </c>
      <c r="H30" s="7">
        <f t="shared" si="4"/>
        <v>12.5</v>
      </c>
      <c r="I30" s="7">
        <f t="shared" si="4"/>
        <v>27</v>
      </c>
      <c r="J30" s="7">
        <f t="shared" si="4"/>
        <v>15.5</v>
      </c>
      <c r="K30" s="7">
        <f t="shared" si="4"/>
        <v>30</v>
      </c>
      <c r="L30" s="7">
        <f t="shared" si="4"/>
        <v>35.75</v>
      </c>
      <c r="M30" s="7">
        <f t="shared" si="4"/>
        <v>34.75</v>
      </c>
      <c r="N30" s="7">
        <f t="shared" si="4"/>
        <v>57</v>
      </c>
      <c r="O30" s="7">
        <f t="shared" si="4"/>
        <v>24.5</v>
      </c>
      <c r="Q30" s="7">
        <f>IFERROR(+Q25-Q28, 0)</f>
        <v>273.75</v>
      </c>
    </row>
    <row r="31" spans="1:17" ht="15" thickTop="1" x14ac:dyDescent="0.3">
      <c r="A31" s="5"/>
      <c r="B31" s="5"/>
      <c r="C31" s="5"/>
      <c r="D31" s="4">
        <f t="shared" ref="D31:O31" si="5">IFERROR(D30/D10, 0)</f>
        <v>0</v>
      </c>
      <c r="E31" s="4">
        <f t="shared" si="5"/>
        <v>0.27</v>
      </c>
      <c r="F31" s="4">
        <f t="shared" si="5"/>
        <v>0.31</v>
      </c>
      <c r="G31" s="4">
        <f t="shared" si="5"/>
        <v>0.28999999999999998</v>
      </c>
      <c r="H31" s="4">
        <f t="shared" si="5"/>
        <v>0.25</v>
      </c>
      <c r="I31" s="4">
        <f t="shared" si="5"/>
        <v>0.27</v>
      </c>
      <c r="J31" s="4">
        <f t="shared" si="5"/>
        <v>0.31</v>
      </c>
      <c r="K31" s="4">
        <f t="shared" si="5"/>
        <v>0.3</v>
      </c>
      <c r="L31" s="4">
        <f t="shared" si="5"/>
        <v>0.28599999999999998</v>
      </c>
      <c r="M31" s="4">
        <f t="shared" si="5"/>
        <v>0.27800000000000002</v>
      </c>
      <c r="N31" s="4">
        <f t="shared" si="5"/>
        <v>0.28499999999999998</v>
      </c>
      <c r="O31" s="4">
        <f t="shared" si="5"/>
        <v>0.49</v>
      </c>
      <c r="P31" s="18"/>
      <c r="Q31" s="4">
        <f>IFERROR(Q30/Q10, 0)</f>
        <v>0.29594594594594592</v>
      </c>
    </row>
    <row r="32" spans="1:17" x14ac:dyDescent="0.3">
      <c r="A32" s="5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x14ac:dyDescent="0.3">
      <c r="A33" s="5"/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</row>
    <row r="34" spans="1:17" s="15" customFormat="1" ht="15" thickBot="1" x14ac:dyDescent="0.35">
      <c r="A34" s="6"/>
      <c r="B34" s="17" t="s">
        <v>294</v>
      </c>
      <c r="C34" s="17"/>
      <c r="D34" s="7">
        <f t="shared" ref="D34:O34" si="6">IFERROR(SUM(D30:D33), 0)</f>
        <v>0</v>
      </c>
      <c r="E34" s="7">
        <f t="shared" si="6"/>
        <v>7.02</v>
      </c>
      <c r="F34" s="7">
        <f t="shared" si="6"/>
        <v>15.81</v>
      </c>
      <c r="G34" s="7">
        <f t="shared" si="6"/>
        <v>14.79</v>
      </c>
      <c r="H34" s="7">
        <f t="shared" si="6"/>
        <v>12.75</v>
      </c>
      <c r="I34" s="7">
        <f t="shared" si="6"/>
        <v>27.27</v>
      </c>
      <c r="J34" s="7">
        <f t="shared" si="6"/>
        <v>15.81</v>
      </c>
      <c r="K34" s="7">
        <f t="shared" si="6"/>
        <v>30.3</v>
      </c>
      <c r="L34" s="7">
        <f t="shared" si="6"/>
        <v>36.036000000000001</v>
      </c>
      <c r="M34" s="7">
        <f t="shared" si="6"/>
        <v>35.027999999999999</v>
      </c>
      <c r="N34" s="7">
        <f t="shared" si="6"/>
        <v>57.284999999999997</v>
      </c>
      <c r="O34" s="7">
        <f t="shared" si="6"/>
        <v>24.99</v>
      </c>
      <c r="Q34" s="7">
        <f>IFERROR(SUM(Q30:Q33), 0)</f>
        <v>274.04594594594596</v>
      </c>
    </row>
    <row r="35" spans="1:17" ht="15" thickTop="1" x14ac:dyDescent="0.3">
      <c r="A35" s="5"/>
      <c r="C35" s="5"/>
      <c r="D35" s="4">
        <f t="shared" ref="D35:O35" si="7">IFERROR(D34/D10, 0)</f>
        <v>0</v>
      </c>
      <c r="E35" s="4">
        <f t="shared" si="7"/>
        <v>0.28079999999999999</v>
      </c>
      <c r="F35" s="4">
        <f t="shared" si="7"/>
        <v>0.31620000000000004</v>
      </c>
      <c r="G35" s="4">
        <f t="shared" si="7"/>
        <v>0.29580000000000001</v>
      </c>
      <c r="H35" s="4">
        <f t="shared" si="7"/>
        <v>0.255</v>
      </c>
      <c r="I35" s="4">
        <f t="shared" si="7"/>
        <v>0.2727</v>
      </c>
      <c r="J35" s="4">
        <f t="shared" si="7"/>
        <v>0.31620000000000004</v>
      </c>
      <c r="K35" s="4">
        <f t="shared" si="7"/>
        <v>0.30299999999999999</v>
      </c>
      <c r="L35" s="4">
        <f t="shared" si="7"/>
        <v>0.28828799999999999</v>
      </c>
      <c r="M35" s="4">
        <f t="shared" si="7"/>
        <v>0.28022399999999997</v>
      </c>
      <c r="N35" s="4">
        <f t="shared" si="7"/>
        <v>0.28642499999999999</v>
      </c>
      <c r="O35" s="4">
        <f t="shared" si="7"/>
        <v>0.49979999999999997</v>
      </c>
      <c r="P35" s="18"/>
      <c r="Q35" s="4">
        <f>IFERROR(Q34/Q10, 0)</f>
        <v>0.29626588750913074</v>
      </c>
    </row>
    <row r="36" spans="1:17" x14ac:dyDescent="0.3">
      <c r="A36" s="5"/>
      <c r="B36" s="30">
        <v>44462.678423958336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A37" s="5"/>
      <c r="B37" s="31" t="s">
        <v>54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  <row r="38" spans="1:17" x14ac:dyDescent="0.3">
      <c r="A38" s="5"/>
      <c r="B38" s="2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1"/>
    </row>
    <row r="39" spans="1:17" x14ac:dyDescent="0.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Q39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219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4"/>
      <c r="E18" s="4"/>
      <c r="F18" s="18"/>
      <c r="G18" s="4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s="6" customFormat="1" ht="15" thickTop="1" x14ac:dyDescent="0.3">
      <c r="B31" s="16"/>
      <c r="C31" s="16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  <outlinePr summaryBelow="0" summaryRight="0"/>
    <pageSetUpPr fitToPage="1"/>
  </sheetPr>
  <dimension ref="A2:R126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199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42689.659999999996</v>
      </c>
      <c r="E10" s="3">
        <f>SUM(OSRRefE11x_0)</f>
        <v>327274</v>
      </c>
      <c r="F10" s="3">
        <f>SUM(OSRRefE11x_1)</f>
        <v>1248701</v>
      </c>
      <c r="G10" s="3">
        <f>SUM(OSRRefE11x_2)</f>
        <v>1569228</v>
      </c>
      <c r="H10" s="3">
        <f>SUM(OSRRefE11x_3)</f>
        <v>888527</v>
      </c>
      <c r="I10" s="3">
        <f>SUM(OSRRefE11x_4)</f>
        <v>973503</v>
      </c>
      <c r="J10" s="3">
        <f>SUM(OSRRefE11x_5)</f>
        <v>595049</v>
      </c>
      <c r="K10" s="3">
        <f>SUM(OSRRefE11x_6)</f>
        <v>1523728</v>
      </c>
      <c r="L10" s="3">
        <f>SUM(OSRRefE11x_7)</f>
        <v>1462369</v>
      </c>
      <c r="M10" s="3">
        <f>SUM(OSRRefE11x_8)</f>
        <v>1474890</v>
      </c>
      <c r="N10" s="3">
        <f>SUM(OSRRefE11x_9)</f>
        <v>850716</v>
      </c>
      <c r="O10" s="3">
        <f>SUM(OSRRefE11x_10)</f>
        <v>84576</v>
      </c>
      <c r="P10" s="24"/>
      <c r="Q10" s="3">
        <f>SUM(OSRRefG11x)</f>
        <v>11041250.660000002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0</f>
        <v>0</v>
      </c>
      <c r="E11" s="2">
        <v>14284</v>
      </c>
      <c r="F11" s="2">
        <v>36592</v>
      </c>
      <c r="G11" s="2">
        <v>47889</v>
      </c>
      <c r="H11" s="2">
        <v>24656</v>
      </c>
      <c r="I11" s="2">
        <v>25526</v>
      </c>
      <c r="J11" s="2">
        <v>69166</v>
      </c>
      <c r="K11" s="2">
        <v>169849</v>
      </c>
      <c r="L11" s="2">
        <v>161911</v>
      </c>
      <c r="M11" s="2">
        <v>171644</v>
      </c>
      <c r="N11" s="2">
        <v>107544</v>
      </c>
      <c r="O11" s="2">
        <v>39337</v>
      </c>
      <c r="Q11" s="2">
        <f>SUM(OSRRefD11_0x)+IFERROR(SUM(OSRRefE11_0x),0)</f>
        <v>868398</v>
      </c>
    </row>
    <row r="12" spans="1:18" s="9" customFormat="1" hidden="1" outlineLevel="1" x14ac:dyDescent="0.3">
      <c r="A12" s="22"/>
      <c r="B12" s="10" t="str">
        <f>CONCATENATE("          ","4051", " - ","TAXABLE SALES-FOOD")</f>
        <v xml:space="preserve">          4051 - TAXABLE SALES-FOOD</v>
      </c>
      <c r="C12" s="23"/>
      <c r="D12" s="2">
        <f>--10630.93</f>
        <v>10630.93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10630.93</v>
      </c>
    </row>
    <row r="13" spans="1:18" s="9" customFormat="1" hidden="1" outlineLevel="1" x14ac:dyDescent="0.3">
      <c r="A13" s="22"/>
      <c r="B13" s="10" t="str">
        <f>CONCATENATE("          ","4053", " - ","TAXABLE SALES-FOOD")</f>
        <v xml:space="preserve">          4053 - TAXABLE SALES-FOOD</v>
      </c>
      <c r="C13" s="23"/>
      <c r="D13" s="2">
        <f>--106.64</f>
        <v>106.64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106.64</v>
      </c>
    </row>
    <row r="14" spans="1:18" s="9" customFormat="1" hidden="1" outlineLevel="1" x14ac:dyDescent="0.3">
      <c r="A14" s="22"/>
      <c r="B14" s="10" t="str">
        <f>CONCATENATE("          ","4100", " - ","NON-TAXABLE SALES")</f>
        <v xml:space="preserve">          4100 - NON-TAXABLE SALES</v>
      </c>
      <c r="C14" s="23"/>
      <c r="D14" s="2">
        <f>0</f>
        <v>0</v>
      </c>
      <c r="E14" s="2">
        <v>312990</v>
      </c>
      <c r="F14" s="2">
        <v>1212109</v>
      </c>
      <c r="G14" s="2">
        <v>1521339</v>
      </c>
      <c r="H14" s="2">
        <v>863871</v>
      </c>
      <c r="I14" s="2">
        <v>947977</v>
      </c>
      <c r="J14" s="2">
        <v>525883</v>
      </c>
      <c r="K14" s="2">
        <v>1353879</v>
      </c>
      <c r="L14" s="2">
        <v>1300458</v>
      </c>
      <c r="M14" s="2">
        <v>1303246</v>
      </c>
      <c r="N14" s="2">
        <v>743172</v>
      </c>
      <c r="O14" s="2">
        <v>45239</v>
      </c>
      <c r="Q14" s="2">
        <f>SUM(OSRRefD11_3x)+IFERROR(SUM(OSRRefE11_3x),0)</f>
        <v>10130163</v>
      </c>
    </row>
    <row r="15" spans="1:18" s="9" customFormat="1" hidden="1" outlineLevel="1" x14ac:dyDescent="0.3">
      <c r="A15" s="22"/>
      <c r="B15" s="10" t="str">
        <f>CONCATENATE("          ","4151", " - ","NON-TAXABLE SALES-FOOD")</f>
        <v xml:space="preserve">          4151 - NON-TAXABLE SALES-FOOD</v>
      </c>
      <c r="C15" s="23"/>
      <c r="D15" s="2">
        <f>--28671.38</f>
        <v>28671.38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">
        <f>SUM(OSRRefD11_4x)+IFERROR(SUM(OSRRefE11_4x),0)</f>
        <v>28671.38</v>
      </c>
    </row>
    <row r="16" spans="1:18" s="9" customFormat="1" hidden="1" outlineLevel="1" x14ac:dyDescent="0.3">
      <c r="A16" s="22"/>
      <c r="B16" s="10" t="str">
        <f>CONCATENATE("          ","4153", " - ","NON-TAXABLE SALES-FOOD")</f>
        <v xml:space="preserve">          4153 - NON-TAXABLE SALES-FOOD</v>
      </c>
      <c r="C16" s="23"/>
      <c r="D16" s="2">
        <f>--3280.71</f>
        <v>3280.71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">
        <f>SUM(OSRRefD11_5x)+IFERROR(SUM(OSRRefE11_5x),0)</f>
        <v>3280.71</v>
      </c>
    </row>
    <row r="17" spans="1:17" x14ac:dyDescent="0.3">
      <c r="A17" s="5"/>
      <c r="B17" s="6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"/>
    </row>
    <row r="18" spans="1:17" s="9" customFormat="1" collapsed="1" x14ac:dyDescent="0.3">
      <c r="A18" s="22"/>
      <c r="B18" s="16" t="s">
        <v>218</v>
      </c>
      <c r="C18" s="23"/>
      <c r="D18" s="3">
        <f>SUM(OSRRefD14x_0)</f>
        <v>22188.22</v>
      </c>
      <c r="E18" s="3">
        <f>SUM(OSRRefE14x_0)</f>
        <v>161257</v>
      </c>
      <c r="F18" s="3">
        <f>SUM(OSRRefE14x_1)</f>
        <v>347683</v>
      </c>
      <c r="G18" s="3">
        <f>SUM(OSRRefE14x_2)</f>
        <v>421643</v>
      </c>
      <c r="H18" s="3">
        <f>SUM(OSRRefE14x_3)</f>
        <v>242733</v>
      </c>
      <c r="I18" s="3">
        <f>SUM(OSRRefE14x_4)</f>
        <v>283101</v>
      </c>
      <c r="J18" s="3">
        <f>SUM(OSRRefE14x_5)</f>
        <v>182501</v>
      </c>
      <c r="K18" s="3">
        <f>SUM(OSRRefE14x_6)</f>
        <v>424674</v>
      </c>
      <c r="L18" s="3">
        <f>SUM(OSRRefE14x_7)</f>
        <v>419319</v>
      </c>
      <c r="M18" s="3">
        <f>SUM(OSRRefE14x_8)</f>
        <v>424861</v>
      </c>
      <c r="N18" s="3">
        <f>SUM(OSRRefE14x_9)</f>
        <v>257880</v>
      </c>
      <c r="O18" s="3">
        <f>SUM(OSRRefE14x_10)</f>
        <v>27475</v>
      </c>
      <c r="Q18" s="3">
        <f>SUM(OSRRefG14x)</f>
        <v>3215315.22</v>
      </c>
    </row>
    <row r="19" spans="1:17" s="9" customFormat="1" hidden="1" outlineLevel="1" x14ac:dyDescent="0.3">
      <c r="A19" s="22"/>
      <c r="B19" s="10" t="str">
        <f>CONCATENATE("          ","5000", " - ","PURCHASES @ COST")</f>
        <v xml:space="preserve">          5000 - PURCHASES @ COST</v>
      </c>
      <c r="C19" s="23"/>
      <c r="D19" s="2"/>
      <c r="E19" s="2">
        <v>161257</v>
      </c>
      <c r="F19" s="2">
        <v>347683</v>
      </c>
      <c r="G19" s="2">
        <v>421643</v>
      </c>
      <c r="H19" s="2">
        <v>242733</v>
      </c>
      <c r="I19" s="2">
        <v>283101</v>
      </c>
      <c r="J19" s="2">
        <v>182501</v>
      </c>
      <c r="K19" s="2">
        <v>424674</v>
      </c>
      <c r="L19" s="2">
        <v>419319</v>
      </c>
      <c r="M19" s="2">
        <v>424861</v>
      </c>
      <c r="N19" s="2">
        <v>257880</v>
      </c>
      <c r="O19" s="2">
        <v>27475</v>
      </c>
      <c r="Q19" s="2">
        <f>SUM(OSRRefD14_0x)+IFERROR(SUM(OSRRefE14_0x),0)</f>
        <v>3193127</v>
      </c>
    </row>
    <row r="20" spans="1:17" s="9" customFormat="1" hidden="1" outlineLevel="1" x14ac:dyDescent="0.3">
      <c r="A20" s="22"/>
      <c r="B20" s="10" t="str">
        <f>CONCATENATE("          ","5053", " - ","PURCHASES @ COST-FOOD")</f>
        <v xml:space="preserve">          5053 - PURCHASES @ COST-FOOD</v>
      </c>
      <c r="C20" s="23"/>
      <c r="D20" s="2">
        <v>26193.22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>
        <f>SUM(OSRRefD14_1x)+IFERROR(SUM(OSRRefE14_1x),0)</f>
        <v>26193.22</v>
      </c>
    </row>
    <row r="21" spans="1:17" s="9" customFormat="1" hidden="1" outlineLevel="1" x14ac:dyDescent="0.3">
      <c r="A21" s="22"/>
      <c r="B21" s="10" t="str">
        <f>CONCATENATE("          ","5059", " - ","PURCHASES @ COST-FOOD")</f>
        <v xml:space="preserve">          5059 - PURCHASES @ COST-FOOD</v>
      </c>
      <c r="C21" s="23"/>
      <c r="D21" s="2">
        <v>-4005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>
        <f>SUM(OSRRefD14_2x)+IFERROR(SUM(OSRRefE14_2x),0)</f>
        <v>-4005</v>
      </c>
    </row>
    <row r="22" spans="1:17" x14ac:dyDescent="0.3">
      <c r="A22" s="5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</row>
    <row r="23" spans="1:17" s="15" customFormat="1" x14ac:dyDescent="0.3">
      <c r="A23" s="6"/>
      <c r="B23" s="17" t="s">
        <v>105</v>
      </c>
      <c r="C23" s="17"/>
      <c r="D23" s="8">
        <f t="shared" ref="D23:O23" si="0">IFERROR(+D10-D18, 0)</f>
        <v>20501.439999999995</v>
      </c>
      <c r="E23" s="8">
        <f t="shared" si="0"/>
        <v>166017</v>
      </c>
      <c r="F23" s="8">
        <f t="shared" si="0"/>
        <v>901018</v>
      </c>
      <c r="G23" s="8">
        <f t="shared" si="0"/>
        <v>1147585</v>
      </c>
      <c r="H23" s="8">
        <f t="shared" si="0"/>
        <v>645794</v>
      </c>
      <c r="I23" s="8">
        <f t="shared" si="0"/>
        <v>690402</v>
      </c>
      <c r="J23" s="8">
        <f t="shared" si="0"/>
        <v>412548</v>
      </c>
      <c r="K23" s="8">
        <f t="shared" si="0"/>
        <v>1099054</v>
      </c>
      <c r="L23" s="8">
        <f t="shared" si="0"/>
        <v>1043050</v>
      </c>
      <c r="M23" s="8">
        <f t="shared" si="0"/>
        <v>1050029</v>
      </c>
      <c r="N23" s="8">
        <f t="shared" si="0"/>
        <v>592836</v>
      </c>
      <c r="O23" s="8">
        <f t="shared" si="0"/>
        <v>57101</v>
      </c>
      <c r="Q23" s="8">
        <f>IFERROR(+Q10-Q18, 0)</f>
        <v>7825935.4400000013</v>
      </c>
    </row>
    <row r="24" spans="1:17" s="6" customFormat="1" x14ac:dyDescent="0.3">
      <c r="B24" s="16"/>
      <c r="C24" s="16"/>
      <c r="D24" s="4">
        <f t="shared" ref="D24:O24" si="1">IFERROR(D23/D10, 0)</f>
        <v>0.48024369367195702</v>
      </c>
      <c r="E24" s="4">
        <f t="shared" si="1"/>
        <v>0.50727219394146805</v>
      </c>
      <c r="F24" s="4">
        <f t="shared" si="1"/>
        <v>0.72156424956815124</v>
      </c>
      <c r="G24" s="4">
        <f t="shared" si="1"/>
        <v>0.73130545720570883</v>
      </c>
      <c r="H24" s="4">
        <f t="shared" si="1"/>
        <v>0.72681415421253381</v>
      </c>
      <c r="I24" s="4">
        <f t="shared" si="1"/>
        <v>0.70919350017411353</v>
      </c>
      <c r="J24" s="4">
        <f t="shared" si="1"/>
        <v>0.6933008878260446</v>
      </c>
      <c r="K24" s="4">
        <f t="shared" si="1"/>
        <v>0.72129277666355152</v>
      </c>
      <c r="L24" s="4">
        <f t="shared" si="1"/>
        <v>0.713260469826699</v>
      </c>
      <c r="M24" s="4">
        <f t="shared" si="1"/>
        <v>0.71193716141542762</v>
      </c>
      <c r="N24" s="4">
        <f t="shared" si="1"/>
        <v>0.69686710958768849</v>
      </c>
      <c r="O24" s="4">
        <f t="shared" si="1"/>
        <v>0.67514424895951575</v>
      </c>
      <c r="P24" s="18"/>
      <c r="Q24" s="4">
        <f>IFERROR(Q23/Q10, 0)</f>
        <v>0.70879066882809083</v>
      </c>
    </row>
    <row r="25" spans="1:17" x14ac:dyDescent="0.3">
      <c r="A25" s="5"/>
      <c r="B25" s="6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1"/>
    </row>
    <row r="26" spans="1:17" s="15" customFormat="1" x14ac:dyDescent="0.3">
      <c r="A26" s="6"/>
      <c r="B26" s="16" t="s">
        <v>255</v>
      </c>
      <c r="C26" s="6"/>
      <c r="D26" s="13">
        <f>SUM(OSRRefD20x_0)</f>
        <v>340481.02000000008</v>
      </c>
      <c r="E26" s="13">
        <f>SUM(OSRRefE20x_0)</f>
        <v>581731.53532126918</v>
      </c>
      <c r="F26" s="13">
        <f>SUM(OSRRefE20x_1)</f>
        <v>730011.9807731274</v>
      </c>
      <c r="G26" s="13">
        <f>SUM(OSRRefE20x_2)</f>
        <v>864304.33134971152</v>
      </c>
      <c r="H26" s="13">
        <f>SUM(OSRRefE20x_3)</f>
        <v>668479.28894703439</v>
      </c>
      <c r="I26" s="13">
        <f>SUM(OSRRefE20x_4)</f>
        <v>662646.35379097273</v>
      </c>
      <c r="J26" s="13">
        <f>SUM(OSRRefE20x_5)</f>
        <v>709754.28774074814</v>
      </c>
      <c r="K26" s="13">
        <f>SUM(OSRRefE20x_6)</f>
        <v>778700.78251576913</v>
      </c>
      <c r="L26" s="13">
        <f>SUM(OSRRefE20x_7)</f>
        <v>769299.55216079124</v>
      </c>
      <c r="M26" s="13">
        <f>SUM(OSRRefE20x_8)</f>
        <v>849065.69687074062</v>
      </c>
      <c r="N26" s="13">
        <f>SUM(OSRRefE20x_9)</f>
        <v>624908.43364127865</v>
      </c>
      <c r="O26" s="13">
        <f>SUM(OSRRefE20x_10)</f>
        <v>440709.70111112983</v>
      </c>
      <c r="Q26" s="13">
        <f>SUM(OSRRefG20x)</f>
        <v>8020092.9642225746</v>
      </c>
    </row>
    <row r="27" spans="1:17" s="34" customFormat="1" collapsed="1" x14ac:dyDescent="0.3">
      <c r="A27" s="35"/>
      <c r="B27" s="14" t="str">
        <f>CONCATENATE("     ","*Benefits                                         ")</f>
        <v xml:space="preserve">     *Benefits                                         </v>
      </c>
      <c r="C27" s="14"/>
      <c r="D27" s="1">
        <f>SUM(OSRRefD21_0x_0)</f>
        <v>93134.58</v>
      </c>
      <c r="E27" s="1">
        <f>SUM(OSRRefE21_0x_0)</f>
        <v>132749.53866742304</v>
      </c>
      <c r="F27" s="1">
        <f>SUM(OSRRefE21_0x_1)</f>
        <v>135362.1762792813</v>
      </c>
      <c r="G27" s="1">
        <f>SUM(OSRRefE21_0x_2)</f>
        <v>163195.23553240389</v>
      </c>
      <c r="H27" s="1">
        <f>SUM(OSRRefE21_0x_3)</f>
        <v>131689.38025318834</v>
      </c>
      <c r="I27" s="1">
        <f>SUM(OSRRefE21_0x_4)</f>
        <v>129960.18805712664</v>
      </c>
      <c r="J27" s="1">
        <f>SUM(OSRRefE21_0x_5)</f>
        <v>156487.10588344061</v>
      </c>
      <c r="K27" s="1">
        <f>SUM(OSRRefE21_0x_6)</f>
        <v>140416.74536192298</v>
      </c>
      <c r="L27" s="1">
        <f>SUM(OSRRefE21_0x_7)</f>
        <v>139201.76016694517</v>
      </c>
      <c r="M27" s="1">
        <f>SUM(OSRRefE21_0x_8)</f>
        <v>164429.15691343302</v>
      </c>
      <c r="N27" s="1">
        <f>SUM(OSRRefE21_0x_9)</f>
        <v>132753.21966743263</v>
      </c>
      <c r="O27" s="1">
        <f>SUM(OSRRefE21_0x_10)</f>
        <v>125405.31411728368</v>
      </c>
      <c r="Q27" s="2">
        <f>SUM(OSRRefD20_0x)+IFERROR(SUM(OSRRefE20_0x),0)</f>
        <v>1644784.400899881</v>
      </c>
    </row>
    <row r="28" spans="1:17" s="34" customFormat="1" hidden="1" outlineLevel="1" x14ac:dyDescent="0.3">
      <c r="A28" s="35"/>
      <c r="B28" s="10" t="str">
        <f>CONCATENATE("          ","6111", " - ","F.I.C.A.")</f>
        <v xml:space="preserve">          6111 - F.I.C.A.</v>
      </c>
      <c r="C28" s="14"/>
      <c r="D28" s="2">
        <v>9828.1299999999992</v>
      </c>
      <c r="E28" s="2">
        <v>17951.2597443462</v>
      </c>
      <c r="F28" s="2">
        <v>15003.9564505122</v>
      </c>
      <c r="G28" s="2">
        <v>18841.6337535577</v>
      </c>
      <c r="H28" s="2">
        <v>14678.115511342199</v>
      </c>
      <c r="I28" s="2">
        <v>14481.6781695882</v>
      </c>
      <c r="J28" s="2">
        <v>18831.8723673637</v>
      </c>
      <c r="K28" s="2">
        <v>15543.0634488462</v>
      </c>
      <c r="L28" s="2">
        <v>15323.0763720222</v>
      </c>
      <c r="M28" s="2">
        <v>19263.265089663699</v>
      </c>
      <c r="N28" s="2">
        <v>14683.747996894201</v>
      </c>
      <c r="O28" s="2">
        <v>13608.036010822199</v>
      </c>
      <c r="P28" s="9"/>
      <c r="Q28" s="2">
        <f>SUM(OSRRefD21_0_0x)+IFERROR(SUM(OSRRefE21_0_0x),0)</f>
        <v>188037.83491495869</v>
      </c>
    </row>
    <row r="29" spans="1:17" s="34" customFormat="1" hidden="1" outlineLevel="1" x14ac:dyDescent="0.3">
      <c r="A29" s="35"/>
      <c r="B29" s="10" t="str">
        <f>CONCATENATE("          ","6112", " - ","COMPENSATION INSURANCE")</f>
        <v xml:space="preserve">          6112 - COMPENSATION INSURANCE</v>
      </c>
      <c r="C29" s="14"/>
      <c r="D29" s="2">
        <v>4219.59</v>
      </c>
      <c r="E29" s="2">
        <v>10566.785445769199</v>
      </c>
      <c r="F29" s="2">
        <v>13713.215483149201</v>
      </c>
      <c r="G29" s="2">
        <v>17116.940625961499</v>
      </c>
      <c r="H29" s="2">
        <v>12741.2628200492</v>
      </c>
      <c r="I29" s="2">
        <v>12191.6066318292</v>
      </c>
      <c r="J29" s="2">
        <v>13818.7420245415</v>
      </c>
      <c r="K29" s="2">
        <v>15001.8864622692</v>
      </c>
      <c r="L29" s="2">
        <v>14806.7264459492</v>
      </c>
      <c r="M29" s="2">
        <v>16925.9788305416</v>
      </c>
      <c r="N29" s="2">
        <v>11472.455750159201</v>
      </c>
      <c r="O29" s="2">
        <v>7465.1828234492305</v>
      </c>
      <c r="P29" s="9"/>
      <c r="Q29" s="2">
        <f>SUM(OSRRefD21_0_1x)+IFERROR(SUM(OSRRefE21_0_1x),0)</f>
        <v>150040.37334366824</v>
      </c>
    </row>
    <row r="30" spans="1:17" s="34" customFormat="1" hidden="1" outlineLevel="1" x14ac:dyDescent="0.3">
      <c r="A30" s="35"/>
      <c r="B30" s="10" t="str">
        <f>CONCATENATE("          ","6113", " - ","GROUP INSURANCE")</f>
        <v xml:space="preserve">          6113 - GROUP INSURANCE</v>
      </c>
      <c r="C30" s="14"/>
      <c r="D30" s="2">
        <v>52698.36</v>
      </c>
      <c r="E30" s="2">
        <v>75355.1538461538</v>
      </c>
      <c r="F30" s="2">
        <v>74986.846153846098</v>
      </c>
      <c r="G30" s="2">
        <v>89037.692307692399</v>
      </c>
      <c r="H30" s="2">
        <v>73444.073076923101</v>
      </c>
      <c r="I30" s="2">
        <v>73028.815384615402</v>
      </c>
      <c r="J30" s="2">
        <v>87938.323076923101</v>
      </c>
      <c r="K30" s="2">
        <v>76737.1538461538</v>
      </c>
      <c r="L30" s="2">
        <v>75943.399999999994</v>
      </c>
      <c r="M30" s="2">
        <v>89589.615384615405</v>
      </c>
      <c r="N30" s="2">
        <v>76463.415384615393</v>
      </c>
      <c r="O30" s="2">
        <v>77384.738461538407</v>
      </c>
      <c r="P30" s="9"/>
      <c r="Q30" s="2">
        <f>SUM(OSRRefD21_0_2x)+IFERROR(SUM(OSRRefE21_0_2x),0)</f>
        <v>922607.58692307689</v>
      </c>
    </row>
    <row r="31" spans="1:17" s="34" customFormat="1" hidden="1" outlineLevel="1" x14ac:dyDescent="0.3">
      <c r="A31" s="35"/>
      <c r="B31" s="10" t="str">
        <f>CONCATENATE("          ","6114", " - ","STATE UNEMPLOYMENT INSURANCE")</f>
        <v xml:space="preserve">          6114 - STATE UNEMPLOYMENT INSURANCE</v>
      </c>
      <c r="C31" s="14"/>
      <c r="D31" s="2">
        <v>333.52</v>
      </c>
      <c r="E31" s="2">
        <v>585.49470807692398</v>
      </c>
      <c r="F31" s="2">
        <v>759.83515869692405</v>
      </c>
      <c r="G31" s="2">
        <v>948.43206634615399</v>
      </c>
      <c r="H31" s="2">
        <v>705.98026179692397</v>
      </c>
      <c r="I31" s="2">
        <v>675.52437801692395</v>
      </c>
      <c r="J31" s="2">
        <v>765.68227576615402</v>
      </c>
      <c r="K31" s="2">
        <v>831.23909157692299</v>
      </c>
      <c r="L31" s="2">
        <v>820.42547589692299</v>
      </c>
      <c r="M31" s="2">
        <v>937.85106976615396</v>
      </c>
      <c r="N31" s="2">
        <v>635.67696768692304</v>
      </c>
      <c r="O31" s="2">
        <v>413.638098396923</v>
      </c>
      <c r="P31" s="9"/>
      <c r="Q31" s="2">
        <f>SUM(OSRRefD21_0_3x)+IFERROR(SUM(OSRRefE21_0_3x),0)</f>
        <v>8413.299552023851</v>
      </c>
    </row>
    <row r="32" spans="1:17" s="34" customFormat="1" hidden="1" outlineLevel="1" x14ac:dyDescent="0.3">
      <c r="A32" s="35"/>
      <c r="B32" s="10" t="str">
        <f>CONCATENATE("          ","6115", " - ","P.E.R.S.")</f>
        <v xml:space="preserve">          6115 - P.E.R.S.</v>
      </c>
      <c r="C32" s="14"/>
      <c r="D32" s="2">
        <v>6526.56</v>
      </c>
      <c r="E32" s="2">
        <v>6180.7902307692302</v>
      </c>
      <c r="F32" s="2">
        <v>6180.7902307692302</v>
      </c>
      <c r="G32" s="2">
        <v>7725.9877884615498</v>
      </c>
      <c r="H32" s="2">
        <v>6180.7902307692302</v>
      </c>
      <c r="I32" s="2">
        <v>6180.7902307692302</v>
      </c>
      <c r="J32" s="2">
        <v>8320.4133384615507</v>
      </c>
      <c r="K32" s="2">
        <v>6656.33067076923</v>
      </c>
      <c r="L32" s="2">
        <v>6656.33067076923</v>
      </c>
      <c r="M32" s="2">
        <v>8320.4133384615507</v>
      </c>
      <c r="N32" s="2">
        <v>6656.33067076923</v>
      </c>
      <c r="O32" s="2">
        <v>6656.33067076923</v>
      </c>
      <c r="P32" s="9"/>
      <c r="Q32" s="2">
        <f>SUM(OSRRefD21_0_4x)+IFERROR(SUM(OSRRefE21_0_4x),0)</f>
        <v>82241.858071538489</v>
      </c>
    </row>
    <row r="33" spans="1:17" s="34" customFormat="1" hidden="1" outlineLevel="1" x14ac:dyDescent="0.3">
      <c r="A33" s="35"/>
      <c r="B33" s="10" t="str">
        <f>CONCATENATE("          ","6116", " - ","EDUCATIONAL BENEFITS")</f>
        <v xml:space="preserve">          6116 - EDUCATIONAL BENEFITS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SUM(OSRRefD21_0_5x)+IFERROR(SUM(OSRRefE21_0_5x),0)</f>
        <v>0</v>
      </c>
    </row>
    <row r="34" spans="1:17" s="34" customFormat="1" hidden="1" outlineLevel="1" x14ac:dyDescent="0.3">
      <c r="A34" s="35"/>
      <c r="B34" s="10" t="str">
        <f>CONCATENATE("          ","6117", " - ","RETIREMENT STAFF HOURLY")</f>
        <v xml:space="preserve">          6117 - RETIREMENT STAFF HOURLY</v>
      </c>
      <c r="C34" s="14"/>
      <c r="D34" s="2">
        <v>1281.6400000000001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/>
      <c r="Q34" s="2">
        <f>SUM(OSRRefD21_0_6x)+IFERROR(SUM(OSRRefE21_0_6x),0)</f>
        <v>1281.6400000000001</v>
      </c>
    </row>
    <row r="35" spans="1:17" s="34" customFormat="1" hidden="1" outlineLevel="1" x14ac:dyDescent="0.3">
      <c r="A35" s="35"/>
      <c r="B35" s="10" t="str">
        <f>CONCATENATE("          ","6118", " - ","VACATION")</f>
        <v xml:space="preserve">          6118 - VACATION</v>
      </c>
      <c r="C35" s="14"/>
      <c r="D35" s="2">
        <v>8985.02</v>
      </c>
      <c r="E35" s="2">
        <v>7967.29372615384</v>
      </c>
      <c r="F35" s="2">
        <v>7947.7153421538396</v>
      </c>
      <c r="G35" s="2">
        <v>9959.1171576923007</v>
      </c>
      <c r="H35" s="2">
        <v>7864.9434221538404</v>
      </c>
      <c r="I35" s="2">
        <v>7842.51311815384</v>
      </c>
      <c r="J35" s="2">
        <v>10048.1787636923</v>
      </c>
      <c r="K35" s="2">
        <v>8148.3863261538399</v>
      </c>
      <c r="L35" s="2">
        <v>8104.6757021538397</v>
      </c>
      <c r="M35" s="2">
        <v>10139.3235636923</v>
      </c>
      <c r="N35" s="2">
        <v>8133.3911741538404</v>
      </c>
      <c r="O35" s="2">
        <v>8184.5489021538397</v>
      </c>
      <c r="P35" s="9"/>
      <c r="Q35" s="2">
        <f>SUM(OSRRefD21_0_7x)+IFERROR(SUM(OSRRefE21_0_7x),0)</f>
        <v>103325.10719830764</v>
      </c>
    </row>
    <row r="36" spans="1:17" s="34" customFormat="1" hidden="1" outlineLevel="1" x14ac:dyDescent="0.3">
      <c r="A36" s="35"/>
      <c r="B36" s="10" t="str">
        <f>CONCATENATE("          ","6119", " - ","SICK LEAVE")</f>
        <v xml:space="preserve">          6119 - SICK LEAVE</v>
      </c>
      <c r="C36" s="14"/>
      <c r="D36" s="2">
        <v>5847.59</v>
      </c>
      <c r="E36" s="2">
        <v>7981.7609661538399</v>
      </c>
      <c r="F36" s="2">
        <v>10448.817460153799</v>
      </c>
      <c r="G36" s="2">
        <v>13020.4318326923</v>
      </c>
      <c r="H36" s="2">
        <v>9753.2149301538393</v>
      </c>
      <c r="I36" s="2">
        <v>9334.2601441538409</v>
      </c>
      <c r="J36" s="2">
        <v>10418.8940366923</v>
      </c>
      <c r="K36" s="2">
        <v>11337.685516153801</v>
      </c>
      <c r="L36" s="2">
        <v>11226.125500153799</v>
      </c>
      <c r="M36" s="2">
        <v>12707.7096366923</v>
      </c>
      <c r="N36" s="2">
        <v>8547.2017231538393</v>
      </c>
      <c r="O36" s="2">
        <v>5547.8391501538399</v>
      </c>
      <c r="P36" s="9"/>
      <c r="Q36" s="2">
        <f>SUM(OSRRefD21_0_8x)+IFERROR(SUM(OSRRefE21_0_8x),0)</f>
        <v>116171.53089630749</v>
      </c>
    </row>
    <row r="37" spans="1:17" s="34" customFormat="1" hidden="1" outlineLevel="1" x14ac:dyDescent="0.3">
      <c r="A37" s="35"/>
      <c r="B37" s="10" t="str">
        <f>CONCATENATE("          ","6156", " - ","EMPLOYEE MEALS")</f>
        <v xml:space="preserve">          6156 - EMPLOYEE MEALS</v>
      </c>
      <c r="C37" s="14"/>
      <c r="D37" s="2">
        <v>3414.17</v>
      </c>
      <c r="E37" s="2">
        <v>6161</v>
      </c>
      <c r="F37" s="2">
        <v>6321</v>
      </c>
      <c r="G37" s="2">
        <v>6545</v>
      </c>
      <c r="H37" s="2">
        <v>6321</v>
      </c>
      <c r="I37" s="2">
        <v>6225</v>
      </c>
      <c r="J37" s="2">
        <v>6345</v>
      </c>
      <c r="K37" s="2">
        <v>6161</v>
      </c>
      <c r="L37" s="2">
        <v>6321</v>
      </c>
      <c r="M37" s="2">
        <v>6545</v>
      </c>
      <c r="N37" s="2">
        <v>6161</v>
      </c>
      <c r="O37" s="2">
        <v>6145</v>
      </c>
      <c r="P37" s="9"/>
      <c r="Q37" s="2">
        <f>SUM(OSRRefD21_0_9x)+IFERROR(SUM(OSRRefE21_0_9x),0)</f>
        <v>72665.17</v>
      </c>
    </row>
    <row r="38" spans="1:17" s="34" customFormat="1" collapsed="1" x14ac:dyDescent="0.3">
      <c r="A38" s="35"/>
      <c r="B38" s="14" t="str">
        <f>CONCATENATE("     ","*Payroll                                          ")</f>
        <v xml:space="preserve">     *Payroll                                          </v>
      </c>
      <c r="C38" s="14"/>
      <c r="D38" s="1">
        <f>SUM(OSRRefD21_1x_0)</f>
        <v>152798.49</v>
      </c>
      <c r="E38" s="1">
        <f>SUM(OSRRefE21_1x_0)</f>
        <v>263655.99665384612</v>
      </c>
      <c r="F38" s="1">
        <f>SUM(OSRRefE21_1x_1)</f>
        <v>344653.80449384608</v>
      </c>
      <c r="G38" s="1">
        <f>SUM(OSRRefE21_1x_2)</f>
        <v>430060.09581730759</v>
      </c>
      <c r="H38" s="1">
        <f>SUM(OSRRefE21_1x_3)</f>
        <v>319763.90869384608</v>
      </c>
      <c r="I38" s="1">
        <f>SUM(OSRRefE21_1x_4)</f>
        <v>305698.16573384608</v>
      </c>
      <c r="J38" s="1">
        <f>SUM(OSRRefE21_1x_5)</f>
        <v>345566.18185730756</v>
      </c>
      <c r="K38" s="1">
        <f>SUM(OSRRefE21_1x_6)</f>
        <v>377635.03715384612</v>
      </c>
      <c r="L38" s="1">
        <f>SUM(OSRRefE21_1x_7)</f>
        <v>372626.79199384607</v>
      </c>
      <c r="M38" s="1">
        <f>SUM(OSRRefE21_1x_8)</f>
        <v>425241.53995730763</v>
      </c>
      <c r="N38" s="1">
        <f>SUM(OSRRefE21_1x_9)</f>
        <v>286898.21397384605</v>
      </c>
      <c r="O38" s="1">
        <f>SUM(OSRRefE21_1x_10)</f>
        <v>183263.38699384613</v>
      </c>
      <c r="Q38" s="2">
        <f>SUM(OSRRefD20_1x)+IFERROR(SUM(OSRRefE20_1x),0)</f>
        <v>3807861.613322692</v>
      </c>
    </row>
    <row r="39" spans="1:17" s="34" customFormat="1" hidden="1" outlineLevel="1" x14ac:dyDescent="0.3">
      <c r="A39" s="35"/>
      <c r="B39" s="10" t="str">
        <f>CONCATENATE("          ","6001", " - ","ADMINISTRATIVE SALARIES")</f>
        <v xml:space="preserve">          6001 - ADMINISTRATIVE SALARIES</v>
      </c>
      <c r="C39" s="14"/>
      <c r="D39" s="2">
        <v>25035.82</v>
      </c>
      <c r="E39" s="2">
        <v>10268.307692307701</v>
      </c>
      <c r="F39" s="2">
        <v>10268.307692307701</v>
      </c>
      <c r="G39" s="2">
        <v>12835.384615384601</v>
      </c>
      <c r="H39" s="2">
        <v>10268.307692307701</v>
      </c>
      <c r="I39" s="2">
        <v>10268.307692307701</v>
      </c>
      <c r="J39" s="2">
        <v>12835.384615384601</v>
      </c>
      <c r="K39" s="2">
        <v>10268.307692307701</v>
      </c>
      <c r="L39" s="2">
        <v>10268.307692307701</v>
      </c>
      <c r="M39" s="2">
        <v>12835.384615384601</v>
      </c>
      <c r="N39" s="2">
        <v>10268.307692307701</v>
      </c>
      <c r="O39" s="2">
        <v>10268.307692307701</v>
      </c>
      <c r="P39" s="9"/>
      <c r="Q39" s="2">
        <f>SUM(OSRRefD21_1_0x)+IFERROR(SUM(OSRRefE21_1_0x),0)</f>
        <v>145688.43538461541</v>
      </c>
    </row>
    <row r="40" spans="1:17" s="34" customFormat="1" hidden="1" outlineLevel="1" x14ac:dyDescent="0.3">
      <c r="A40" s="35"/>
      <c r="B40" s="10" t="str">
        <f>CONCATENATE("          ","6002", " - ","STAFF SALARIES")</f>
        <v xml:space="preserve">          6002 - STAFF SALARIES</v>
      </c>
      <c r="C40" s="14"/>
      <c r="D40" s="2">
        <v>58847.46</v>
      </c>
      <c r="E40" s="2">
        <v>56764.480161538399</v>
      </c>
      <c r="F40" s="2">
        <v>56764.480161538399</v>
      </c>
      <c r="G40" s="2">
        <v>70955.600201923007</v>
      </c>
      <c r="H40" s="2">
        <v>56764.480161538399</v>
      </c>
      <c r="I40" s="2">
        <v>56764.480161538399</v>
      </c>
      <c r="J40" s="2">
        <v>77521.928951922993</v>
      </c>
      <c r="K40" s="2">
        <v>62017.5431615384</v>
      </c>
      <c r="L40" s="2">
        <v>62017.5431615384</v>
      </c>
      <c r="M40" s="2">
        <v>77521.928951922993</v>
      </c>
      <c r="N40" s="2">
        <v>62017.5431615384</v>
      </c>
      <c r="O40" s="2">
        <v>62017.5431615384</v>
      </c>
      <c r="P40" s="9"/>
      <c r="Q40" s="2">
        <f>SUM(OSRRefD21_1_1x)+IFERROR(SUM(OSRRefE21_1_1x),0)</f>
        <v>759975.01139807631</v>
      </c>
    </row>
    <row r="41" spans="1:17" s="34" customFormat="1" hidden="1" outlineLevel="1" x14ac:dyDescent="0.3">
      <c r="A41" s="35"/>
      <c r="B41" s="10" t="str">
        <f>CONCATENATE("          ","6003", " - ","STAFF HOURLY-9 MONTH")</f>
        <v xml:space="preserve">          6003 - STAFF HOURLY-9 MONTH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SUM(OSRRefD21_1_2x)+IFERROR(SUM(OSRRefE21_1_2x),0)</f>
        <v>0</v>
      </c>
    </row>
    <row r="42" spans="1:17" s="34" customFormat="1" hidden="1" outlineLevel="1" x14ac:dyDescent="0.3">
      <c r="A42" s="35"/>
      <c r="B42" s="10" t="str">
        <f>CONCATENATE("          ","6004", " - ","STAFF HOURLY")</f>
        <v xml:space="preserve">          6004 - STAFF HOURLY</v>
      </c>
      <c r="C42" s="14"/>
      <c r="D42" s="2">
        <v>46196.15</v>
      </c>
      <c r="E42" s="2">
        <v>103995.1388</v>
      </c>
      <c r="F42" s="2">
        <v>114843.03164</v>
      </c>
      <c r="G42" s="2">
        <v>144645.736</v>
      </c>
      <c r="H42" s="2">
        <v>111064.29584000001</v>
      </c>
      <c r="I42" s="2">
        <v>108534.87788</v>
      </c>
      <c r="J42" s="2">
        <v>138048.94144</v>
      </c>
      <c r="K42" s="2">
        <v>116204.42479999999</v>
      </c>
      <c r="L42" s="2">
        <v>113402.75504</v>
      </c>
      <c r="M42" s="2">
        <v>143533.94344</v>
      </c>
      <c r="N42" s="2">
        <v>104521.57832</v>
      </c>
      <c r="O42" s="2">
        <v>92319.073040000003</v>
      </c>
      <c r="P42" s="9"/>
      <c r="Q42" s="2">
        <f>SUM(OSRRefD21_1_3x)+IFERROR(SUM(OSRRefE21_1_3x),0)</f>
        <v>1337309.94624</v>
      </c>
    </row>
    <row r="43" spans="1:17" s="34" customFormat="1" hidden="1" outlineLevel="1" x14ac:dyDescent="0.3">
      <c r="A43" s="35"/>
      <c r="B43" s="10" t="str">
        <f>CONCATENATE("          ","6005", " - ","TEMPORARY WAGES-HOURLY")</f>
        <v xml:space="preserve">          6005 - TEMPORARY WAGES-HOURLY</v>
      </c>
      <c r="C43" s="14"/>
      <c r="D43" s="2">
        <v>7979.27</v>
      </c>
      <c r="E43" s="2">
        <v>25573.08</v>
      </c>
      <c r="F43" s="2">
        <v>37292.620000000003</v>
      </c>
      <c r="G43" s="2">
        <v>48635.315000000002</v>
      </c>
      <c r="H43" s="2">
        <v>31888.264999999999</v>
      </c>
      <c r="I43" s="2">
        <v>28929.764999999999</v>
      </c>
      <c r="J43" s="2">
        <v>26529.3933</v>
      </c>
      <c r="K43" s="2">
        <v>39042.490299999998</v>
      </c>
      <c r="L43" s="2">
        <v>38094.368649999997</v>
      </c>
      <c r="M43" s="2">
        <v>38447.7736</v>
      </c>
      <c r="N43" s="2">
        <v>23287.095549999998</v>
      </c>
      <c r="O43" s="2">
        <v>16133.2631</v>
      </c>
      <c r="P43" s="9"/>
      <c r="Q43" s="2">
        <f>SUM(OSRRefD21_1_4x)+IFERROR(SUM(OSRRefE21_1_4x),0)</f>
        <v>361832.6995000001</v>
      </c>
    </row>
    <row r="44" spans="1:17" s="34" customFormat="1" hidden="1" outlineLevel="1" x14ac:dyDescent="0.3">
      <c r="A44" s="35"/>
      <c r="B44" s="10" t="str">
        <f>CONCATENATE("          ","6006", " - ","TEMPORARY PART TIME")</f>
        <v xml:space="preserve">          6006 - TEMPORARY PART TIME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SUM(OSRRefD21_1_5x)+IFERROR(SUM(OSRRefE21_1_5x),0)</f>
        <v>0</v>
      </c>
    </row>
    <row r="45" spans="1:17" s="34" customFormat="1" hidden="1" outlineLevel="1" x14ac:dyDescent="0.3">
      <c r="A45" s="35"/>
      <c r="B45" s="10" t="str">
        <f>CONCATENATE("          ","6007", " - ","STUDENT HOURLY")</f>
        <v xml:space="preserve">          6007 - STUDENT HOURLY</v>
      </c>
      <c r="C45" s="14"/>
      <c r="D45" s="2">
        <v>14739.79</v>
      </c>
      <c r="E45" s="2">
        <v>49194.21</v>
      </c>
      <c r="F45" s="2">
        <v>1323.08</v>
      </c>
      <c r="G45" s="2">
        <v>1653.85</v>
      </c>
      <c r="H45" s="2">
        <v>992.31</v>
      </c>
      <c r="I45" s="2">
        <v>992.31</v>
      </c>
      <c r="J45" s="2">
        <v>1415.6956</v>
      </c>
      <c r="K45" s="2">
        <v>1415.6956</v>
      </c>
      <c r="L45" s="2">
        <v>1415.6956</v>
      </c>
      <c r="M45" s="2">
        <v>1415.6956</v>
      </c>
      <c r="N45" s="2">
        <v>1895.0555999999999</v>
      </c>
      <c r="O45" s="2">
        <v>0</v>
      </c>
      <c r="P45" s="9"/>
      <c r="Q45" s="2">
        <f>SUM(OSRRefD21_1_6x)+IFERROR(SUM(OSRRefE21_1_6x),0)</f>
        <v>76453.387999999992</v>
      </c>
    </row>
    <row r="46" spans="1:17" s="34" customFormat="1" hidden="1" outlineLevel="1" x14ac:dyDescent="0.3">
      <c r="A46" s="35"/>
      <c r="B46" s="10" t="str">
        <f>CONCATENATE("          ","6008", " - ","STUDENT HOURLY-FICA EXEMPT")</f>
        <v xml:space="preserve">          6008 - STUDENT HOURLY-FICA EXEMPT</v>
      </c>
      <c r="C46" s="14"/>
      <c r="D46" s="2"/>
      <c r="E46" s="2">
        <v>17860.78</v>
      </c>
      <c r="F46" s="2">
        <v>124162.285</v>
      </c>
      <c r="G46" s="2">
        <v>151334.21</v>
      </c>
      <c r="H46" s="2">
        <v>108786.25</v>
      </c>
      <c r="I46" s="2">
        <v>100208.425</v>
      </c>
      <c r="J46" s="2">
        <v>89214.837950000001</v>
      </c>
      <c r="K46" s="2">
        <v>148686.57560000001</v>
      </c>
      <c r="L46" s="2">
        <v>147428.12185</v>
      </c>
      <c r="M46" s="2">
        <v>151486.81375</v>
      </c>
      <c r="N46" s="2">
        <v>84908.633650000003</v>
      </c>
      <c r="O46" s="2">
        <v>2525.1999999999998</v>
      </c>
      <c r="P46" s="9"/>
      <c r="Q46" s="2">
        <f>SUM(OSRRefD21_1_7x)+IFERROR(SUM(OSRRefE21_1_7x),0)</f>
        <v>1126602.1328</v>
      </c>
    </row>
    <row r="47" spans="1:17" s="34" customFormat="1" hidden="1" outlineLevel="1" x14ac:dyDescent="0.3">
      <c r="A47" s="35"/>
      <c r="B47" s="10" t="str">
        <f>CONCATENATE("          ","6009", " - ","TEMPORARY-SEASONAL")</f>
        <v xml:space="preserve">          6009 - TEMPORARY-SEASONAL</v>
      </c>
      <c r="C47" s="14"/>
      <c r="D47" s="2"/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9"/>
      <c r="Q47" s="2">
        <f>SUM(OSRRefD21_1_8x)+IFERROR(SUM(OSRRefE21_1_8x),0)</f>
        <v>0</v>
      </c>
    </row>
    <row r="48" spans="1:17" s="34" customFormat="1" hidden="1" outlineLevel="1" x14ac:dyDescent="0.3">
      <c r="A48" s="35"/>
      <c r="B48" s="10" t="str">
        <f>CONCATENATE("          ","6010", " - ","GRATUITY")</f>
        <v xml:space="preserve">          6010 - GRATUITY</v>
      </c>
      <c r="C48" s="14"/>
      <c r="D48" s="2"/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9"/>
      <c r="Q48" s="2">
        <f>SUM(OSRRefD21_1_9x)+IFERROR(SUM(OSRRefE21_1_9x),0)</f>
        <v>0</v>
      </c>
    </row>
    <row r="49" spans="1:17" s="34" customFormat="1" collapsed="1" x14ac:dyDescent="0.3">
      <c r="A49" s="35"/>
      <c r="B49" s="14" t="str">
        <f>CONCATENATE("     ","Advertising/Promo                                 ")</f>
        <v xml:space="preserve">     Advertising/Promo                                 </v>
      </c>
      <c r="C49" s="14"/>
      <c r="D49" s="1">
        <f>SUM(OSRRefD21_2x_0)</f>
        <v>545.73</v>
      </c>
      <c r="E49" s="1">
        <f>SUM(OSRRefE21_2x_0)</f>
        <v>1688</v>
      </c>
      <c r="F49" s="1">
        <f>SUM(OSRRefE21_2x_1)</f>
        <v>1319</v>
      </c>
      <c r="G49" s="1">
        <f>SUM(OSRRefE21_2x_2)</f>
        <v>1319</v>
      </c>
      <c r="H49" s="1">
        <f>SUM(OSRRefE21_2x_3)</f>
        <v>1319</v>
      </c>
      <c r="I49" s="1">
        <f>SUM(OSRRefE21_2x_4)</f>
        <v>1319</v>
      </c>
      <c r="J49" s="1">
        <f>SUM(OSRRefE21_2x_5)</f>
        <v>1319</v>
      </c>
      <c r="K49" s="1">
        <f>SUM(OSRRefE21_2x_6)</f>
        <v>1319</v>
      </c>
      <c r="L49" s="1">
        <f>SUM(OSRRefE21_2x_7)</f>
        <v>1319</v>
      </c>
      <c r="M49" s="1">
        <f>SUM(OSRRefE21_2x_8)</f>
        <v>1319</v>
      </c>
      <c r="N49" s="1">
        <f>SUM(OSRRefE21_2x_9)</f>
        <v>1319</v>
      </c>
      <c r="O49" s="1">
        <f>SUM(OSRRefE21_2x_10)</f>
        <v>969</v>
      </c>
      <c r="Q49" s="2">
        <f>SUM(OSRRefD20_2x)+IFERROR(SUM(OSRRefE20_2x),0)</f>
        <v>15073.73</v>
      </c>
    </row>
    <row r="50" spans="1:17" s="34" customFormat="1" hidden="1" outlineLevel="1" x14ac:dyDescent="0.3">
      <c r="A50" s="35"/>
      <c r="B50" s="10" t="str">
        <f>CONCATENATE("          ","6362", " - ","ADVERTISING EXPENSE")</f>
        <v xml:space="preserve">          6362 - ADVERTISING EXPENSE</v>
      </c>
      <c r="C50" s="14"/>
      <c r="D50" s="2">
        <v>545.73</v>
      </c>
      <c r="E50" s="2">
        <v>1688</v>
      </c>
      <c r="F50" s="2">
        <v>1319</v>
      </c>
      <c r="G50" s="2">
        <v>1319</v>
      </c>
      <c r="H50" s="2">
        <v>1319</v>
      </c>
      <c r="I50" s="2">
        <v>1319</v>
      </c>
      <c r="J50" s="2">
        <v>1319</v>
      </c>
      <c r="K50" s="2">
        <v>1319</v>
      </c>
      <c r="L50" s="2">
        <v>1319</v>
      </c>
      <c r="M50" s="2">
        <v>1319</v>
      </c>
      <c r="N50" s="2">
        <v>1319</v>
      </c>
      <c r="O50" s="2">
        <v>969</v>
      </c>
      <c r="P50" s="9"/>
      <c r="Q50" s="2">
        <f>SUM(OSRRefD21_2_0x)+IFERROR(SUM(OSRRefE21_2_0x),0)</f>
        <v>15073.73</v>
      </c>
    </row>
    <row r="51" spans="1:17" s="34" customFormat="1" collapsed="1" x14ac:dyDescent="0.3">
      <c r="A51" s="35"/>
      <c r="B51" s="14" t="str">
        <f>CONCATENATE("     ","Bad Debts/Over/Short                              ")</f>
        <v xml:space="preserve">     Bad Debts/Over/Short                              </v>
      </c>
      <c r="C51" s="14"/>
      <c r="D51" s="1">
        <f>SUM(OSRRefD21_3x_0)</f>
        <v>-19.02</v>
      </c>
      <c r="E51" s="1">
        <f>SUM(OSRRefE21_3x_0)</f>
        <v>43</v>
      </c>
      <c r="F51" s="1">
        <f>SUM(OSRRefE21_3x_1)</f>
        <v>43</v>
      </c>
      <c r="G51" s="1">
        <f>SUM(OSRRefE21_3x_2)</f>
        <v>43</v>
      </c>
      <c r="H51" s="1">
        <f>SUM(OSRRefE21_3x_3)</f>
        <v>33</v>
      </c>
      <c r="I51" s="1">
        <f>SUM(OSRRefE21_3x_4)</f>
        <v>43</v>
      </c>
      <c r="J51" s="1">
        <f>SUM(OSRRefE21_3x_5)</f>
        <v>33</v>
      </c>
      <c r="K51" s="1">
        <f>SUM(OSRRefE21_3x_6)</f>
        <v>43</v>
      </c>
      <c r="L51" s="1">
        <f>SUM(OSRRefE21_3x_7)</f>
        <v>33</v>
      </c>
      <c r="M51" s="1">
        <f>SUM(OSRRefE21_3x_8)</f>
        <v>43</v>
      </c>
      <c r="N51" s="1">
        <f>SUM(OSRRefE21_3x_9)</f>
        <v>33</v>
      </c>
      <c r="O51" s="1">
        <f>SUM(OSRRefE21_3x_10)</f>
        <v>25</v>
      </c>
      <c r="Q51" s="2">
        <f>SUM(OSRRefD20_3x)+IFERROR(SUM(OSRRefE20_3x),0)</f>
        <v>395.98</v>
      </c>
    </row>
    <row r="52" spans="1:17" s="34" customFormat="1" hidden="1" outlineLevel="1" x14ac:dyDescent="0.3">
      <c r="A52" s="35"/>
      <c r="B52" s="10" t="str">
        <f>CONCATENATE("          ","6272", " - ","CASH (OVER/SHORT)")</f>
        <v xml:space="preserve">          6272 - CASH (OVER/SHORT)</v>
      </c>
      <c r="C52" s="14"/>
      <c r="D52" s="2">
        <v>-19.02</v>
      </c>
      <c r="E52" s="2">
        <v>43</v>
      </c>
      <c r="F52" s="2">
        <v>43</v>
      </c>
      <c r="G52" s="2">
        <v>43</v>
      </c>
      <c r="H52" s="2">
        <v>33</v>
      </c>
      <c r="I52" s="2">
        <v>43</v>
      </c>
      <c r="J52" s="2">
        <v>33</v>
      </c>
      <c r="K52" s="2">
        <v>43</v>
      </c>
      <c r="L52" s="2">
        <v>33</v>
      </c>
      <c r="M52" s="2">
        <v>43</v>
      </c>
      <c r="N52" s="2">
        <v>33</v>
      </c>
      <c r="O52" s="2">
        <v>25</v>
      </c>
      <c r="P52" s="9"/>
      <c r="Q52" s="2">
        <f>SUM(OSRRefD21_3_0x)+IFERROR(SUM(OSRRefE21_3_0x),0)</f>
        <v>395.98</v>
      </c>
    </row>
    <row r="53" spans="1:17" s="34" customFormat="1" collapsed="1" x14ac:dyDescent="0.3">
      <c r="A53" s="35"/>
      <c r="B53" s="14" t="str">
        <f>CONCATENATE("     ","Bank/card Fees                                    ")</f>
        <v xml:space="preserve">     Bank/card Fees                                    </v>
      </c>
      <c r="C53" s="14"/>
      <c r="D53" s="1">
        <f>SUM(OSRRefD21_4x_0)</f>
        <v>1010.3</v>
      </c>
      <c r="E53" s="1">
        <f>SUM(OSRRefE21_4x_0)</f>
        <v>3169</v>
      </c>
      <c r="F53" s="1">
        <f>SUM(OSRRefE21_4x_1)</f>
        <v>6454</v>
      </c>
      <c r="G53" s="1">
        <f>SUM(OSRRefE21_4x_2)</f>
        <v>7947</v>
      </c>
      <c r="H53" s="1">
        <f>SUM(OSRRefE21_4x_3)</f>
        <v>4727</v>
      </c>
      <c r="I53" s="1">
        <f>SUM(OSRRefE21_4x_4)</f>
        <v>4860</v>
      </c>
      <c r="J53" s="1">
        <f>SUM(OSRRefE21_4x_5)</f>
        <v>7713</v>
      </c>
      <c r="K53" s="1">
        <f>SUM(OSRRefE21_4x_6)</f>
        <v>18285</v>
      </c>
      <c r="L53" s="1">
        <f>SUM(OSRRefE21_4x_7)</f>
        <v>17322</v>
      </c>
      <c r="M53" s="1">
        <f>SUM(OSRRefE21_4x_8)</f>
        <v>17780</v>
      </c>
      <c r="N53" s="1">
        <f>SUM(OSRRefE21_4x_9)</f>
        <v>11727</v>
      </c>
      <c r="O53" s="1">
        <f>SUM(OSRRefE21_4x_10)</f>
        <v>4849</v>
      </c>
      <c r="Q53" s="2">
        <f>SUM(OSRRefD20_4x)+IFERROR(SUM(OSRRefE20_4x),0)</f>
        <v>105843.3</v>
      </c>
    </row>
    <row r="54" spans="1:17" s="34" customFormat="1" hidden="1" outlineLevel="1" x14ac:dyDescent="0.3">
      <c r="A54" s="35"/>
      <c r="B54" s="10" t="str">
        <f>CONCATENATE("          ","6381", " - ","BANK/CREDIT CARD FEES")</f>
        <v xml:space="preserve">          6381 - BANK/CREDIT CARD FEES</v>
      </c>
      <c r="C54" s="14"/>
      <c r="D54" s="2">
        <v>1010.3</v>
      </c>
      <c r="E54" s="2">
        <v>3169</v>
      </c>
      <c r="F54" s="2">
        <v>6454</v>
      </c>
      <c r="G54" s="2">
        <v>7947</v>
      </c>
      <c r="H54" s="2">
        <v>4727</v>
      </c>
      <c r="I54" s="2">
        <v>4860</v>
      </c>
      <c r="J54" s="2">
        <v>7713</v>
      </c>
      <c r="K54" s="2">
        <v>18285</v>
      </c>
      <c r="L54" s="2">
        <v>17322</v>
      </c>
      <c r="M54" s="2">
        <v>17780</v>
      </c>
      <c r="N54" s="2">
        <v>11727</v>
      </c>
      <c r="O54" s="2">
        <v>4849</v>
      </c>
      <c r="P54" s="9"/>
      <c r="Q54" s="2">
        <f>SUM(OSRRefD21_4_0x)+IFERROR(SUM(OSRRefE21_4_0x),0)</f>
        <v>105843.3</v>
      </c>
    </row>
    <row r="55" spans="1:17" s="34" customFormat="1" collapsed="1" x14ac:dyDescent="0.3">
      <c r="A55" s="35"/>
      <c r="B55" s="14" t="str">
        <f>CONCATENATE("     ","Depreciation                                      ")</f>
        <v xml:space="preserve">     Depreciation                                      </v>
      </c>
      <c r="C55" s="14"/>
      <c r="D55" s="1">
        <f>SUM(OSRRefD21_5x_0)</f>
        <v>33586.15</v>
      </c>
      <c r="E55" s="1">
        <f>SUM(OSRRefE21_5x_0)</f>
        <v>33313</v>
      </c>
      <c r="F55" s="1">
        <f>SUM(OSRRefE21_5x_1)</f>
        <v>33269</v>
      </c>
      <c r="G55" s="1">
        <f>SUM(OSRRefE21_5x_2)</f>
        <v>33269</v>
      </c>
      <c r="H55" s="1">
        <f>SUM(OSRRefE21_5x_3)</f>
        <v>33269</v>
      </c>
      <c r="I55" s="1">
        <f>SUM(OSRRefE21_5x_4)</f>
        <v>33269</v>
      </c>
      <c r="J55" s="1">
        <f>SUM(OSRRefE21_5x_5)</f>
        <v>33269</v>
      </c>
      <c r="K55" s="1">
        <f>SUM(OSRRefE21_5x_6)</f>
        <v>33269</v>
      </c>
      <c r="L55" s="1">
        <f>SUM(OSRRefE21_5x_7)</f>
        <v>32694</v>
      </c>
      <c r="M55" s="1">
        <f>SUM(OSRRefE21_5x_8)</f>
        <v>32694</v>
      </c>
      <c r="N55" s="1">
        <f>SUM(OSRRefE21_5x_9)</f>
        <v>32694</v>
      </c>
      <c r="O55" s="1">
        <f>SUM(OSRRefE21_5x_10)</f>
        <v>32694</v>
      </c>
      <c r="Q55" s="2">
        <f>SUM(OSRRefD20_5x)+IFERROR(SUM(OSRRefE20_5x),0)</f>
        <v>397289.15</v>
      </c>
    </row>
    <row r="56" spans="1:17" s="34" customFormat="1" hidden="1" outlineLevel="1" x14ac:dyDescent="0.3">
      <c r="A56" s="35"/>
      <c r="B56" s="10" t="str">
        <f>CONCATENATE("          ","6321", " - ","BUILDING DEPRECIATION")</f>
        <v xml:space="preserve">          6321 - BUILDING DEPRECIATION</v>
      </c>
      <c r="C56" s="14"/>
      <c r="D56" s="2">
        <v>23583.47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2">
        <f>SUM(OSRRefD21_5_0x)+IFERROR(SUM(OSRRefE21_5_0x),0)</f>
        <v>23583.47</v>
      </c>
    </row>
    <row r="57" spans="1:17" s="34" customFormat="1" hidden="1" outlineLevel="1" x14ac:dyDescent="0.3">
      <c r="A57" s="35"/>
      <c r="B57" s="10" t="str">
        <f>CONCATENATE("          ","6322", " - ","EQUIPMENT DEPRECIATION EXPENSE")</f>
        <v xml:space="preserve">          6322 - EQUIPMENT DEPRECIATION EXPENSE</v>
      </c>
      <c r="C57" s="14"/>
      <c r="D57" s="2">
        <v>10002.68</v>
      </c>
      <c r="E57" s="2">
        <v>33313</v>
      </c>
      <c r="F57" s="2">
        <v>33269</v>
      </c>
      <c r="G57" s="2">
        <v>33269</v>
      </c>
      <c r="H57" s="2">
        <v>33269</v>
      </c>
      <c r="I57" s="2">
        <v>33269</v>
      </c>
      <c r="J57" s="2">
        <v>33269</v>
      </c>
      <c r="K57" s="2">
        <v>33269</v>
      </c>
      <c r="L57" s="2">
        <v>32694</v>
      </c>
      <c r="M57" s="2">
        <v>32694</v>
      </c>
      <c r="N57" s="2">
        <v>32694</v>
      </c>
      <c r="O57" s="2">
        <v>32694</v>
      </c>
      <c r="P57" s="9"/>
      <c r="Q57" s="2">
        <f>SUM(OSRRefD21_5_1x)+IFERROR(SUM(OSRRefE21_5_1x),0)</f>
        <v>373705.68</v>
      </c>
    </row>
    <row r="58" spans="1:17" s="34" customFormat="1" collapsed="1" x14ac:dyDescent="0.3">
      <c r="A58" s="35"/>
      <c r="B58" s="14" t="str">
        <f>CONCATENATE("     ","Donations                                         ")</f>
        <v xml:space="preserve">     Donations                                         </v>
      </c>
      <c r="C58" s="14"/>
      <c r="D58" s="1">
        <f>SUM(OSRRefD21_6x_0)</f>
        <v>0</v>
      </c>
      <c r="E58" s="1">
        <f>SUM(OSRRefE21_6x_0)</f>
        <v>15500</v>
      </c>
      <c r="F58" s="1">
        <f>SUM(OSRRefE21_6x_1)</f>
        <v>15500</v>
      </c>
      <c r="G58" s="1">
        <f>SUM(OSRRefE21_6x_2)</f>
        <v>15500</v>
      </c>
      <c r="H58" s="1">
        <f>SUM(OSRRefE21_6x_3)</f>
        <v>15500</v>
      </c>
      <c r="I58" s="1">
        <f>SUM(OSRRefE21_6x_4)</f>
        <v>15500</v>
      </c>
      <c r="J58" s="1">
        <f>SUM(OSRRefE21_6x_5)</f>
        <v>15500</v>
      </c>
      <c r="K58" s="1">
        <f>SUM(OSRRefE21_6x_6)</f>
        <v>15500</v>
      </c>
      <c r="L58" s="1">
        <f>SUM(OSRRefE21_6x_7)</f>
        <v>15500</v>
      </c>
      <c r="M58" s="1">
        <f>SUM(OSRRefE21_6x_8)</f>
        <v>15500</v>
      </c>
      <c r="N58" s="1">
        <f>SUM(OSRRefE21_6x_9)</f>
        <v>15500</v>
      </c>
      <c r="O58" s="1">
        <f>SUM(OSRRefE21_6x_10)</f>
        <v>0</v>
      </c>
      <c r="Q58" s="2">
        <f>SUM(OSRRefD20_6x)+IFERROR(SUM(OSRRefE20_6x),0)</f>
        <v>155000</v>
      </c>
    </row>
    <row r="59" spans="1:17" s="34" customFormat="1" hidden="1" outlineLevel="1" x14ac:dyDescent="0.3">
      <c r="A59" s="35"/>
      <c r="B59" s="10" t="str">
        <f>CONCATENATE("          ","6399", " - ","DONATION-ON CAMPUS")</f>
        <v xml:space="preserve">          6399 - DONATION-ON CAMPUS</v>
      </c>
      <c r="C59" s="14"/>
      <c r="D59" s="2"/>
      <c r="E59" s="2">
        <v>15500</v>
      </c>
      <c r="F59" s="2">
        <v>15500</v>
      </c>
      <c r="G59" s="2">
        <v>15500</v>
      </c>
      <c r="H59" s="2">
        <v>15500</v>
      </c>
      <c r="I59" s="2">
        <v>15500</v>
      </c>
      <c r="J59" s="2">
        <v>15500</v>
      </c>
      <c r="K59" s="2">
        <v>15500</v>
      </c>
      <c r="L59" s="2">
        <v>15500</v>
      </c>
      <c r="M59" s="2">
        <v>15500</v>
      </c>
      <c r="N59" s="2">
        <v>15500</v>
      </c>
      <c r="O59" s="2"/>
      <c r="P59" s="9"/>
      <c r="Q59" s="2">
        <f>SUM(OSRRefD21_6_0x)+IFERROR(SUM(OSRRefE21_6_0x),0)</f>
        <v>155000</v>
      </c>
    </row>
    <row r="60" spans="1:17" s="34" customFormat="1" collapsed="1" x14ac:dyDescent="0.3">
      <c r="A60" s="35"/>
      <c r="B60" s="14" t="str">
        <f>CONCATENATE("     ","Employees' Appreciation                           ")</f>
        <v xml:space="preserve">     Employees' Appreciation                           </v>
      </c>
      <c r="C60" s="14"/>
      <c r="D60" s="1">
        <f>SUM(OSRRefD21_7x_0)</f>
        <v>0</v>
      </c>
      <c r="E60" s="1">
        <f>SUM(OSRRefE21_7x_0)</f>
        <v>240</v>
      </c>
      <c r="F60" s="1">
        <f>SUM(OSRRefE21_7x_1)</f>
        <v>400</v>
      </c>
      <c r="G60" s="1">
        <f>SUM(OSRRefE21_7x_2)</f>
        <v>240</v>
      </c>
      <c r="H60" s="1">
        <f>SUM(OSRRefE21_7x_3)</f>
        <v>240</v>
      </c>
      <c r="I60" s="1">
        <f>SUM(OSRRefE21_7x_4)</f>
        <v>590</v>
      </c>
      <c r="J60" s="1">
        <f>SUM(OSRRefE21_7x_5)</f>
        <v>220</v>
      </c>
      <c r="K60" s="1">
        <f>SUM(OSRRefE21_7x_6)</f>
        <v>200</v>
      </c>
      <c r="L60" s="1">
        <f>SUM(OSRRefE21_7x_7)</f>
        <v>240</v>
      </c>
      <c r="M60" s="1">
        <f>SUM(OSRRefE21_7x_8)</f>
        <v>220</v>
      </c>
      <c r="N60" s="1">
        <f>SUM(OSRRefE21_7x_9)</f>
        <v>490</v>
      </c>
      <c r="O60" s="1">
        <f>SUM(OSRRefE21_7x_10)</f>
        <v>200</v>
      </c>
      <c r="Q60" s="2">
        <f>SUM(OSRRefD20_7x)+IFERROR(SUM(OSRRefE20_7x),0)</f>
        <v>3280</v>
      </c>
    </row>
    <row r="61" spans="1:17" s="34" customFormat="1" hidden="1" outlineLevel="1" x14ac:dyDescent="0.3">
      <c r="A61" s="35"/>
      <c r="B61" s="10" t="str">
        <f>CONCATENATE("          ","6277", " - ","EMPLOYEE APPRECIATION")</f>
        <v xml:space="preserve">          6277 - EMPLOYEE APPRECIATION</v>
      </c>
      <c r="C61" s="14"/>
      <c r="D61" s="2"/>
      <c r="E61" s="2">
        <v>240</v>
      </c>
      <c r="F61" s="2">
        <v>400</v>
      </c>
      <c r="G61" s="2">
        <v>240</v>
      </c>
      <c r="H61" s="2">
        <v>240</v>
      </c>
      <c r="I61" s="2">
        <v>590</v>
      </c>
      <c r="J61" s="2">
        <v>220</v>
      </c>
      <c r="K61" s="2">
        <v>200</v>
      </c>
      <c r="L61" s="2">
        <v>240</v>
      </c>
      <c r="M61" s="2">
        <v>220</v>
      </c>
      <c r="N61" s="2">
        <v>490</v>
      </c>
      <c r="O61" s="2">
        <v>200</v>
      </c>
      <c r="P61" s="9"/>
      <c r="Q61" s="2">
        <f>SUM(OSRRefD21_7_0x)+IFERROR(SUM(OSRRefE21_7_0x),0)</f>
        <v>3280</v>
      </c>
    </row>
    <row r="62" spans="1:17" s="34" customFormat="1" collapsed="1" x14ac:dyDescent="0.3">
      <c r="A62" s="35"/>
      <c r="B62" s="14" t="str">
        <f>CONCATENATE("     ","Equipment Rental                                  ")</f>
        <v xml:space="preserve">     Equipment Rental                                  </v>
      </c>
      <c r="C62" s="14"/>
      <c r="D62" s="1">
        <f>SUM(OSRRefD21_8x_0)</f>
        <v>1325.46</v>
      </c>
      <c r="E62" s="1">
        <f>SUM(OSRRefE21_8x_0)</f>
        <v>1570</v>
      </c>
      <c r="F62" s="1">
        <f>SUM(OSRRefE21_8x_1)</f>
        <v>1570</v>
      </c>
      <c r="G62" s="1">
        <f>SUM(OSRRefE21_8x_2)</f>
        <v>1570</v>
      </c>
      <c r="H62" s="1">
        <f>SUM(OSRRefE21_8x_3)</f>
        <v>1570</v>
      </c>
      <c r="I62" s="1">
        <f>SUM(OSRRefE21_8x_4)</f>
        <v>1570</v>
      </c>
      <c r="J62" s="1">
        <f>SUM(OSRRefE21_8x_5)</f>
        <v>1570</v>
      </c>
      <c r="K62" s="1">
        <f>SUM(OSRRefE21_8x_6)</f>
        <v>1570</v>
      </c>
      <c r="L62" s="1">
        <f>SUM(OSRRefE21_8x_7)</f>
        <v>1570</v>
      </c>
      <c r="M62" s="1">
        <f>SUM(OSRRefE21_8x_8)</f>
        <v>1570</v>
      </c>
      <c r="N62" s="1">
        <f>SUM(OSRRefE21_8x_9)</f>
        <v>1570</v>
      </c>
      <c r="O62" s="1">
        <f>SUM(OSRRefE21_8x_10)</f>
        <v>1570</v>
      </c>
      <c r="Q62" s="2">
        <f>SUM(OSRRefD20_8x)+IFERROR(SUM(OSRRefE20_8x),0)</f>
        <v>18595.46</v>
      </c>
    </row>
    <row r="63" spans="1:17" s="34" customFormat="1" hidden="1" outlineLevel="1" x14ac:dyDescent="0.3">
      <c r="A63" s="35"/>
      <c r="B63" s="10" t="str">
        <f>CONCATENATE("          ","6351", " - ","EQUIPMENT RENTAL")</f>
        <v xml:space="preserve">          6351 - EQUIPMENT RENTAL</v>
      </c>
      <c r="C63" s="14"/>
      <c r="D63" s="2">
        <v>1325.46</v>
      </c>
      <c r="E63" s="2">
        <v>1570</v>
      </c>
      <c r="F63" s="2">
        <v>1570</v>
      </c>
      <c r="G63" s="2">
        <v>1570</v>
      </c>
      <c r="H63" s="2">
        <v>1570</v>
      </c>
      <c r="I63" s="2">
        <v>1570</v>
      </c>
      <c r="J63" s="2">
        <v>1570</v>
      </c>
      <c r="K63" s="2">
        <v>1570</v>
      </c>
      <c r="L63" s="2">
        <v>1570</v>
      </c>
      <c r="M63" s="2">
        <v>1570</v>
      </c>
      <c r="N63" s="2">
        <v>1570</v>
      </c>
      <c r="O63" s="2">
        <v>1570</v>
      </c>
      <c r="P63" s="9"/>
      <c r="Q63" s="2">
        <f>SUM(OSRRefD21_8_0x)+IFERROR(SUM(OSRRefE21_8_0x),0)</f>
        <v>18595.46</v>
      </c>
    </row>
    <row r="64" spans="1:17" s="34" customFormat="1" collapsed="1" x14ac:dyDescent="0.3">
      <c r="A64" s="35"/>
      <c r="B64" s="14" t="str">
        <f>CONCATENATE("     ","General                                           ")</f>
        <v xml:space="preserve">     General                                           </v>
      </c>
      <c r="C64" s="14"/>
      <c r="D64" s="1">
        <f>SUM(OSRRefD21_9x_0)</f>
        <v>493.73</v>
      </c>
      <c r="E64" s="1">
        <f>SUM(OSRRefE21_9x_0)</f>
        <v>530</v>
      </c>
      <c r="F64" s="1">
        <f>SUM(OSRRefE21_9x_1)</f>
        <v>560</v>
      </c>
      <c r="G64" s="1">
        <f>SUM(OSRRefE21_9x_2)</f>
        <v>530</v>
      </c>
      <c r="H64" s="1">
        <f>SUM(OSRRefE21_9x_3)</f>
        <v>530</v>
      </c>
      <c r="I64" s="1">
        <f>SUM(OSRRefE21_9x_4)</f>
        <v>2485</v>
      </c>
      <c r="J64" s="1">
        <f>SUM(OSRRefE21_9x_5)</f>
        <v>780</v>
      </c>
      <c r="K64" s="1">
        <f>SUM(OSRRefE21_9x_6)</f>
        <v>530</v>
      </c>
      <c r="L64" s="1">
        <f>SUM(OSRRefE21_9x_7)</f>
        <v>1390</v>
      </c>
      <c r="M64" s="1">
        <f>SUM(OSRRefE21_9x_8)</f>
        <v>540</v>
      </c>
      <c r="N64" s="1">
        <f>SUM(OSRRefE21_9x_9)</f>
        <v>540</v>
      </c>
      <c r="O64" s="1">
        <f>SUM(OSRRefE21_9x_10)</f>
        <v>540</v>
      </c>
      <c r="Q64" s="2">
        <f>SUM(OSRRefD20_9x)+IFERROR(SUM(OSRRefE20_9x),0)</f>
        <v>9448.73</v>
      </c>
    </row>
    <row r="65" spans="1:17" s="34" customFormat="1" hidden="1" outlineLevel="1" x14ac:dyDescent="0.3">
      <c r="A65" s="35"/>
      <c r="B65" s="10" t="str">
        <f>CONCATENATE("          ","6269", " - ","ENTERTAINMENT")</f>
        <v xml:space="preserve">          6269 - ENTERTAINMENT</v>
      </c>
      <c r="C65" s="14"/>
      <c r="D65" s="2"/>
      <c r="E65" s="2"/>
      <c r="F65" s="2"/>
      <c r="G65" s="2"/>
      <c r="H65" s="2"/>
      <c r="I65" s="2"/>
      <c r="J65" s="2">
        <v>250</v>
      </c>
      <c r="K65" s="2"/>
      <c r="L65" s="2">
        <v>250</v>
      </c>
      <c r="M65" s="2"/>
      <c r="N65" s="2"/>
      <c r="O65" s="2"/>
      <c r="P65" s="9"/>
      <c r="Q65" s="2">
        <f>SUM(OSRRefD21_9_0x)+IFERROR(SUM(OSRRefE21_9_0x),0)</f>
        <v>500</v>
      </c>
    </row>
    <row r="66" spans="1:17" s="34" customFormat="1" hidden="1" outlineLevel="1" x14ac:dyDescent="0.3">
      <c r="A66" s="35"/>
      <c r="B66" s="10" t="str">
        <f>CONCATENATE("          ","6279", " - ","GENERAL EXPENSE")</f>
        <v xml:space="preserve">          6279 - GENERAL EXPENSE</v>
      </c>
      <c r="C66" s="14"/>
      <c r="D66" s="2">
        <v>493.73</v>
      </c>
      <c r="E66" s="2">
        <v>530</v>
      </c>
      <c r="F66" s="2">
        <v>560</v>
      </c>
      <c r="G66" s="2">
        <v>530</v>
      </c>
      <c r="H66" s="2">
        <v>530</v>
      </c>
      <c r="I66" s="2">
        <v>2485</v>
      </c>
      <c r="J66" s="2">
        <v>530</v>
      </c>
      <c r="K66" s="2">
        <v>530</v>
      </c>
      <c r="L66" s="2">
        <v>1140</v>
      </c>
      <c r="M66" s="2">
        <v>540</v>
      </c>
      <c r="N66" s="2">
        <v>540</v>
      </c>
      <c r="O66" s="2">
        <v>540</v>
      </c>
      <c r="P66" s="9"/>
      <c r="Q66" s="2">
        <f>SUM(OSRRefD21_9_1x)+IFERROR(SUM(OSRRefE21_9_1x),0)</f>
        <v>8948.73</v>
      </c>
    </row>
    <row r="67" spans="1:17" s="34" customFormat="1" collapsed="1" x14ac:dyDescent="0.3">
      <c r="A67" s="35"/>
      <c r="B67" s="14" t="str">
        <f>CONCATENATE("     ","Insurance                                         ")</f>
        <v xml:space="preserve">     Insurance                                         </v>
      </c>
      <c r="C67" s="14"/>
      <c r="D67" s="1">
        <f>SUM(OSRRefD21_10x_0)</f>
        <v>5761.43</v>
      </c>
      <c r="E67" s="1">
        <f>SUM(OSRRefE21_10x_0)</f>
        <v>5680</v>
      </c>
      <c r="F67" s="1">
        <f>SUM(OSRRefE21_10x_1)</f>
        <v>5680</v>
      </c>
      <c r="G67" s="1">
        <f>SUM(OSRRefE21_10x_2)</f>
        <v>5680</v>
      </c>
      <c r="H67" s="1">
        <f>SUM(OSRRefE21_10x_3)</f>
        <v>5680</v>
      </c>
      <c r="I67" s="1">
        <f>SUM(OSRRefE21_10x_4)</f>
        <v>5680</v>
      </c>
      <c r="J67" s="1">
        <f>SUM(OSRRefE21_10x_5)</f>
        <v>5680</v>
      </c>
      <c r="K67" s="1">
        <f>SUM(OSRRefE21_10x_6)</f>
        <v>5680</v>
      </c>
      <c r="L67" s="1">
        <f>SUM(OSRRefE21_10x_7)</f>
        <v>5680</v>
      </c>
      <c r="M67" s="1">
        <f>SUM(OSRRefE21_10x_8)</f>
        <v>5680</v>
      </c>
      <c r="N67" s="1">
        <f>SUM(OSRRefE21_10x_9)</f>
        <v>5680</v>
      </c>
      <c r="O67" s="1">
        <f>SUM(OSRRefE21_10x_10)</f>
        <v>5680</v>
      </c>
      <c r="Q67" s="2">
        <f>SUM(OSRRefD20_10x)+IFERROR(SUM(OSRRefE20_10x),0)</f>
        <v>68241.429999999993</v>
      </c>
    </row>
    <row r="68" spans="1:17" s="34" customFormat="1" hidden="1" outlineLevel="1" x14ac:dyDescent="0.3">
      <c r="A68" s="35"/>
      <c r="B68" s="10" t="str">
        <f>CONCATENATE("          ","6314", " - ","LIABILITY INSURANCE")</f>
        <v xml:space="preserve">          6314 - LIABILITY INSURANCE</v>
      </c>
      <c r="C68" s="14"/>
      <c r="D68" s="2">
        <v>5761.43</v>
      </c>
      <c r="E68" s="2">
        <v>5680</v>
      </c>
      <c r="F68" s="2">
        <v>5680</v>
      </c>
      <c r="G68" s="2">
        <v>5680</v>
      </c>
      <c r="H68" s="2">
        <v>5680</v>
      </c>
      <c r="I68" s="2">
        <v>5680</v>
      </c>
      <c r="J68" s="2">
        <v>5680</v>
      </c>
      <c r="K68" s="2">
        <v>5680</v>
      </c>
      <c r="L68" s="2">
        <v>5680</v>
      </c>
      <c r="M68" s="2">
        <v>5680</v>
      </c>
      <c r="N68" s="2">
        <v>5680</v>
      </c>
      <c r="O68" s="2">
        <v>5680</v>
      </c>
      <c r="P68" s="9"/>
      <c r="Q68" s="2">
        <f>SUM(OSRRefD21_10_0x)+IFERROR(SUM(OSRRefE21_10_0x),0)</f>
        <v>68241.429999999993</v>
      </c>
    </row>
    <row r="69" spans="1:17" s="34" customFormat="1" collapsed="1" x14ac:dyDescent="0.3">
      <c r="A69" s="35"/>
      <c r="B69" s="14" t="str">
        <f>CONCATENATE("     ","Interest                                          ")</f>
        <v xml:space="preserve">     Interest                                          </v>
      </c>
      <c r="C69" s="14"/>
      <c r="D69" s="1">
        <f>SUM(OSRRefD21_11x_0)</f>
        <v>7253</v>
      </c>
      <c r="E69" s="1">
        <f>SUM(OSRRefE21_11x_0)</f>
        <v>7253</v>
      </c>
      <c r="F69" s="1">
        <f>SUM(OSRRefE21_11x_1)</f>
        <v>7253</v>
      </c>
      <c r="G69" s="1">
        <f>SUM(OSRRefE21_11x_2)</f>
        <v>7253</v>
      </c>
      <c r="H69" s="1">
        <f>SUM(OSRRefE21_11x_3)</f>
        <v>7253</v>
      </c>
      <c r="I69" s="1">
        <f>SUM(OSRRefE21_11x_4)</f>
        <v>7253</v>
      </c>
      <c r="J69" s="1">
        <f>SUM(OSRRefE21_11x_5)</f>
        <v>7253</v>
      </c>
      <c r="K69" s="1">
        <f>SUM(OSRRefE21_11x_6)</f>
        <v>7253</v>
      </c>
      <c r="L69" s="1">
        <f>SUM(OSRRefE21_11x_7)</f>
        <v>7253</v>
      </c>
      <c r="M69" s="1">
        <f>SUM(OSRRefE21_11x_8)</f>
        <v>7253</v>
      </c>
      <c r="N69" s="1">
        <f>SUM(OSRRefE21_11x_9)</f>
        <v>6982</v>
      </c>
      <c r="O69" s="1">
        <f>SUM(OSRRefE21_11x_10)</f>
        <v>6982</v>
      </c>
      <c r="Q69" s="2">
        <f>SUM(OSRRefD20_11x)+IFERROR(SUM(OSRRefE20_11x),0)</f>
        <v>86494</v>
      </c>
    </row>
    <row r="70" spans="1:17" s="34" customFormat="1" hidden="1" outlineLevel="1" x14ac:dyDescent="0.3">
      <c r="A70" s="35"/>
      <c r="B70" s="10" t="str">
        <f>CONCATENATE("          ","6401", " - ","INTEREST EXPENSE")</f>
        <v xml:space="preserve">          6401 - INTEREST EXPENSE</v>
      </c>
      <c r="C70" s="14"/>
      <c r="D70" s="2">
        <v>7253</v>
      </c>
      <c r="E70" s="2">
        <v>7253</v>
      </c>
      <c r="F70" s="2">
        <v>7253</v>
      </c>
      <c r="G70" s="2">
        <v>7253</v>
      </c>
      <c r="H70" s="2">
        <v>7253</v>
      </c>
      <c r="I70" s="2">
        <v>7253</v>
      </c>
      <c r="J70" s="2">
        <v>7253</v>
      </c>
      <c r="K70" s="2">
        <v>7253</v>
      </c>
      <c r="L70" s="2">
        <v>7253</v>
      </c>
      <c r="M70" s="2">
        <v>7253</v>
      </c>
      <c r="N70" s="2">
        <v>6982</v>
      </c>
      <c r="O70" s="2">
        <v>6982</v>
      </c>
      <c r="P70" s="9"/>
      <c r="Q70" s="2">
        <f>SUM(OSRRefD21_11_0x)+IFERROR(SUM(OSRRefE21_11_0x),0)</f>
        <v>86494</v>
      </c>
    </row>
    <row r="71" spans="1:17" s="34" customFormat="1" collapsed="1" x14ac:dyDescent="0.3">
      <c r="A71" s="35"/>
      <c r="B71" s="14" t="str">
        <f>CONCATENATE("     ","R/H Commissions                                   ")</f>
        <v xml:space="preserve">     R/H Commissions                                   </v>
      </c>
      <c r="C71" s="14"/>
      <c r="D71" s="1">
        <f>SUM(OSRRefD21_12x_0)</f>
        <v>1568</v>
      </c>
      <c r="E71" s="1">
        <f>SUM(OSRRefE21_12x_0)</f>
        <v>22579</v>
      </c>
      <c r="F71" s="1">
        <f>SUM(OSRRefE21_12x_1)</f>
        <v>90317</v>
      </c>
      <c r="G71" s="1">
        <f>SUM(OSRRefE21_12x_2)</f>
        <v>112896</v>
      </c>
      <c r="H71" s="1">
        <f>SUM(OSRRefE21_12x_3)</f>
        <v>62352</v>
      </c>
      <c r="I71" s="1">
        <f>SUM(OSRRefE21_12x_4)</f>
        <v>70963</v>
      </c>
      <c r="J71" s="1">
        <f>SUM(OSRRefE21_12x_5)</f>
        <v>35482</v>
      </c>
      <c r="K71" s="1">
        <f>SUM(OSRRefE21_12x_6)</f>
        <v>90317</v>
      </c>
      <c r="L71" s="1">
        <f>SUM(OSRRefE21_12x_7)</f>
        <v>87091</v>
      </c>
      <c r="M71" s="1">
        <f>SUM(OSRRefE21_12x_8)</f>
        <v>87091</v>
      </c>
      <c r="N71" s="1">
        <f>SUM(OSRRefE21_12x_9)</f>
        <v>44064</v>
      </c>
      <c r="O71" s="1">
        <f>SUM(OSRRefE21_12x_10)</f>
        <v>0</v>
      </c>
      <c r="Q71" s="2">
        <f>SUM(OSRRefD20_12x)+IFERROR(SUM(OSRRefE20_12x),0)</f>
        <v>704720</v>
      </c>
    </row>
    <row r="72" spans="1:17" s="34" customFormat="1" hidden="1" outlineLevel="1" x14ac:dyDescent="0.3">
      <c r="A72" s="35"/>
      <c r="B72" s="10" t="str">
        <f>CONCATENATE("          ","6387", " - ","COMMISSION DUE HOUSING")</f>
        <v xml:space="preserve">          6387 - COMMISSION DUE HOUSING</v>
      </c>
      <c r="C72" s="14"/>
      <c r="D72" s="2">
        <v>1568</v>
      </c>
      <c r="E72" s="2">
        <v>22579</v>
      </c>
      <c r="F72" s="2">
        <v>90317</v>
      </c>
      <c r="G72" s="2">
        <v>112896</v>
      </c>
      <c r="H72" s="2">
        <v>62352</v>
      </c>
      <c r="I72" s="2">
        <v>70963</v>
      </c>
      <c r="J72" s="2">
        <v>35482</v>
      </c>
      <c r="K72" s="2">
        <v>90317</v>
      </c>
      <c r="L72" s="2">
        <v>87091</v>
      </c>
      <c r="M72" s="2">
        <v>87091</v>
      </c>
      <c r="N72" s="2">
        <v>44064</v>
      </c>
      <c r="O72" s="2"/>
      <c r="P72" s="9"/>
      <c r="Q72" s="2">
        <f>SUM(OSRRefD21_12_0x)+IFERROR(SUM(OSRRefE21_12_0x),0)</f>
        <v>704720</v>
      </c>
    </row>
    <row r="73" spans="1:17" s="34" customFormat="1" collapsed="1" x14ac:dyDescent="0.3">
      <c r="A73" s="35"/>
      <c r="B73" s="14" t="str">
        <f>CONCATENATE("     ","Rent                                              ")</f>
        <v xml:space="preserve">     Rent                                              </v>
      </c>
      <c r="C73" s="14"/>
      <c r="D73" s="1">
        <f>SUM(OSRRefD21_13x_0)</f>
        <v>1850</v>
      </c>
      <c r="E73" s="1">
        <f>SUM(OSRRefE21_13x_0)</f>
        <v>1850</v>
      </c>
      <c r="F73" s="1">
        <f>SUM(OSRRefE21_13x_1)</f>
        <v>1850</v>
      </c>
      <c r="G73" s="1">
        <f>SUM(OSRRefE21_13x_2)</f>
        <v>1850</v>
      </c>
      <c r="H73" s="1">
        <f>SUM(OSRRefE21_13x_3)</f>
        <v>1850</v>
      </c>
      <c r="I73" s="1">
        <f>SUM(OSRRefE21_13x_4)</f>
        <v>1850</v>
      </c>
      <c r="J73" s="1">
        <f>SUM(OSRRefE21_13x_5)</f>
        <v>1850</v>
      </c>
      <c r="K73" s="1">
        <f>SUM(OSRRefE21_13x_6)</f>
        <v>1850</v>
      </c>
      <c r="L73" s="1">
        <f>SUM(OSRRefE21_13x_7)</f>
        <v>1850</v>
      </c>
      <c r="M73" s="1">
        <f>SUM(OSRRefE21_13x_8)</f>
        <v>1850</v>
      </c>
      <c r="N73" s="1">
        <f>SUM(OSRRefE21_13x_9)</f>
        <v>1850</v>
      </c>
      <c r="O73" s="1">
        <f>SUM(OSRRefE21_13x_10)</f>
        <v>1850</v>
      </c>
      <c r="Q73" s="2">
        <f>SUM(OSRRefD20_13x)+IFERROR(SUM(OSRRefE20_13x),0)</f>
        <v>22200</v>
      </c>
    </row>
    <row r="74" spans="1:17" s="34" customFormat="1" hidden="1" outlineLevel="1" x14ac:dyDescent="0.3">
      <c r="A74" s="35"/>
      <c r="B74" s="10" t="str">
        <f>CONCATENATE("          ","6273", " - ","RENT")</f>
        <v xml:space="preserve">          6273 - RENT</v>
      </c>
      <c r="C74" s="14"/>
      <c r="D74" s="2">
        <v>1850</v>
      </c>
      <c r="E74" s="2">
        <v>1850</v>
      </c>
      <c r="F74" s="2">
        <v>1850</v>
      </c>
      <c r="G74" s="2">
        <v>1850</v>
      </c>
      <c r="H74" s="2">
        <v>1850</v>
      </c>
      <c r="I74" s="2">
        <v>1850</v>
      </c>
      <c r="J74" s="2">
        <v>1850</v>
      </c>
      <c r="K74" s="2">
        <v>1850</v>
      </c>
      <c r="L74" s="2">
        <v>1850</v>
      </c>
      <c r="M74" s="2">
        <v>1850</v>
      </c>
      <c r="N74" s="2">
        <v>1850</v>
      </c>
      <c r="O74" s="2">
        <v>1850</v>
      </c>
      <c r="P74" s="9"/>
      <c r="Q74" s="2">
        <f>SUM(OSRRefD21_13_0x)+IFERROR(SUM(OSRRefE21_13_0x),0)</f>
        <v>22200</v>
      </c>
    </row>
    <row r="75" spans="1:17" s="34" customFormat="1" collapsed="1" x14ac:dyDescent="0.3">
      <c r="A75" s="35"/>
      <c r="B75" s="14" t="str">
        <f>CONCATENATE("     ","Repair and Maintenance                            ")</f>
        <v xml:space="preserve">     Repair and Maintenance                            </v>
      </c>
      <c r="C75" s="14"/>
      <c r="D75" s="1">
        <f>SUM(OSRRefD21_14x_0)</f>
        <v>7260.71</v>
      </c>
      <c r="E75" s="1">
        <f>SUM(OSRRefE21_14x_0)</f>
        <v>7487</v>
      </c>
      <c r="F75" s="1">
        <f>SUM(OSRRefE21_14x_1)</f>
        <v>9921</v>
      </c>
      <c r="G75" s="1">
        <f>SUM(OSRRefE21_14x_2)</f>
        <v>7465</v>
      </c>
      <c r="H75" s="1">
        <f>SUM(OSRRefE21_14x_3)</f>
        <v>7938</v>
      </c>
      <c r="I75" s="1">
        <f>SUM(OSRRefE21_14x_4)</f>
        <v>7336</v>
      </c>
      <c r="J75" s="1">
        <f>SUM(OSRRefE21_14x_5)</f>
        <v>18716</v>
      </c>
      <c r="K75" s="1">
        <f>SUM(OSRRefE21_14x_6)</f>
        <v>9379</v>
      </c>
      <c r="L75" s="1">
        <f>SUM(OSRRefE21_14x_7)</f>
        <v>7500</v>
      </c>
      <c r="M75" s="1">
        <f>SUM(OSRRefE21_14x_8)</f>
        <v>12729</v>
      </c>
      <c r="N75" s="1">
        <f>SUM(OSRRefE21_14x_9)</f>
        <v>8529</v>
      </c>
      <c r="O75" s="1">
        <f>SUM(OSRRefE21_14x_10)</f>
        <v>5705</v>
      </c>
      <c r="Q75" s="2">
        <f>SUM(OSRRefD20_14x)+IFERROR(SUM(OSRRefE20_14x),0)</f>
        <v>109965.71</v>
      </c>
    </row>
    <row r="76" spans="1:17" s="34" customFormat="1" hidden="1" outlineLevel="1" x14ac:dyDescent="0.3">
      <c r="A76" s="35"/>
      <c r="B76" s="10" t="str">
        <f>CONCATENATE("          ","6371", " - ","COMPUTER SOFTWARE MAINTENANCE")</f>
        <v xml:space="preserve">          6371 - COMPUTER SOFTWARE MAINTENANCE</v>
      </c>
      <c r="C76" s="14"/>
      <c r="D76" s="2">
        <v>3500</v>
      </c>
      <c r="E76" s="2">
        <v>3500</v>
      </c>
      <c r="F76" s="2">
        <v>3500</v>
      </c>
      <c r="G76" s="2">
        <v>3500</v>
      </c>
      <c r="H76" s="2">
        <v>3500</v>
      </c>
      <c r="I76" s="2">
        <v>3500</v>
      </c>
      <c r="J76" s="2">
        <v>3500</v>
      </c>
      <c r="K76" s="2">
        <v>3500</v>
      </c>
      <c r="L76" s="2">
        <v>3500</v>
      </c>
      <c r="M76" s="2">
        <v>3500</v>
      </c>
      <c r="N76" s="2">
        <v>3500</v>
      </c>
      <c r="O76" s="2">
        <v>3500</v>
      </c>
      <c r="P76" s="9"/>
      <c r="Q76" s="2">
        <f>SUM(OSRRefD21_14_0x)+IFERROR(SUM(OSRRefE21_14_0x),0)</f>
        <v>42000</v>
      </c>
    </row>
    <row r="77" spans="1:17" s="34" customFormat="1" hidden="1" outlineLevel="1" x14ac:dyDescent="0.3">
      <c r="A77" s="35"/>
      <c r="B77" s="10" t="str">
        <f>CONCATENATE("          ","6372", " - ","COMPUTER HARDWARE MAINTENANCE")</f>
        <v xml:space="preserve">          6372 - COMPUTER HARDWARE MAINTENANCE</v>
      </c>
      <c r="C77" s="14"/>
      <c r="D77" s="2"/>
      <c r="E77" s="2"/>
      <c r="F77" s="2"/>
      <c r="G77" s="2"/>
      <c r="H77" s="2"/>
      <c r="I77" s="2"/>
      <c r="J77" s="2">
        <v>8000</v>
      </c>
      <c r="K77" s="2"/>
      <c r="L77" s="2"/>
      <c r="M77" s="2"/>
      <c r="N77" s="2"/>
      <c r="O77" s="2"/>
      <c r="P77" s="9"/>
      <c r="Q77" s="2">
        <f>SUM(OSRRefD21_14_1x)+IFERROR(SUM(OSRRefE21_14_1x),0)</f>
        <v>8000</v>
      </c>
    </row>
    <row r="78" spans="1:17" s="34" customFormat="1" hidden="1" outlineLevel="1" x14ac:dyDescent="0.3">
      <c r="A78" s="35"/>
      <c r="B78" s="10" t="str">
        <f>CONCATENATE("          ","6373", " - ","MAINTENANCE CONTRACTS")</f>
        <v xml:space="preserve">          6373 - MAINTENANCE CONTRACTS</v>
      </c>
      <c r="C78" s="14"/>
      <c r="D78" s="2">
        <v>14.87</v>
      </c>
      <c r="E78" s="2">
        <v>1800</v>
      </c>
      <c r="F78" s="2">
        <v>3500</v>
      </c>
      <c r="G78" s="2">
        <v>1030</v>
      </c>
      <c r="H78" s="2">
        <v>2200</v>
      </c>
      <c r="I78" s="2">
        <v>1125</v>
      </c>
      <c r="J78" s="2">
        <v>4530</v>
      </c>
      <c r="K78" s="2">
        <v>1800</v>
      </c>
      <c r="L78" s="2"/>
      <c r="M78" s="2">
        <v>4530</v>
      </c>
      <c r="N78" s="2">
        <v>1800</v>
      </c>
      <c r="O78" s="2"/>
      <c r="P78" s="9"/>
      <c r="Q78" s="2">
        <f>SUM(OSRRefD21_14_2x)+IFERROR(SUM(OSRRefE21_14_2x),0)</f>
        <v>22329.87</v>
      </c>
    </row>
    <row r="79" spans="1:17" s="34" customFormat="1" hidden="1" outlineLevel="1" x14ac:dyDescent="0.3">
      <c r="A79" s="35"/>
      <c r="B79" s="10" t="str">
        <f>CONCATENATE("          ","6375", " - ","OUTSIDE REPAIRS &amp; MAINTENANCE")</f>
        <v xml:space="preserve">          6375 - OUTSIDE REPAIRS &amp; MAINTENANCE</v>
      </c>
      <c r="C79" s="14"/>
      <c r="D79" s="2">
        <v>3745.84</v>
      </c>
      <c r="E79" s="2">
        <v>2187</v>
      </c>
      <c r="F79" s="2">
        <v>2921</v>
      </c>
      <c r="G79" s="2">
        <v>2935</v>
      </c>
      <c r="H79" s="2">
        <v>2238</v>
      </c>
      <c r="I79" s="2">
        <v>2711</v>
      </c>
      <c r="J79" s="2">
        <v>2686</v>
      </c>
      <c r="K79" s="2">
        <v>4079</v>
      </c>
      <c r="L79" s="2">
        <v>4000</v>
      </c>
      <c r="M79" s="2">
        <v>4699</v>
      </c>
      <c r="N79" s="2">
        <v>3229</v>
      </c>
      <c r="O79" s="2">
        <v>2205</v>
      </c>
      <c r="P79" s="9"/>
      <c r="Q79" s="2">
        <f>SUM(OSRRefD21_14_3x)+IFERROR(SUM(OSRRefE21_14_3x),0)</f>
        <v>37635.839999999997</v>
      </c>
    </row>
    <row r="80" spans="1:17" s="34" customFormat="1" collapsed="1" x14ac:dyDescent="0.3">
      <c r="A80" s="35"/>
      <c r="B80" s="14" t="str">
        <f>CONCATENATE("     ","Services                                          ")</f>
        <v xml:space="preserve">     Services                                          </v>
      </c>
      <c r="C80" s="14"/>
      <c r="D80" s="1">
        <f>SUM(OSRRefD21_15x_0)</f>
        <v>17668.150000000001</v>
      </c>
      <c r="E80" s="1">
        <f>SUM(OSRRefE21_15x_0)</f>
        <v>32337</v>
      </c>
      <c r="F80" s="1">
        <f>SUM(OSRRefE21_15x_1)</f>
        <v>32277</v>
      </c>
      <c r="G80" s="1">
        <f>SUM(OSRRefE21_15x_2)</f>
        <v>33284</v>
      </c>
      <c r="H80" s="1">
        <f>SUM(OSRRefE21_15x_3)</f>
        <v>32267</v>
      </c>
      <c r="I80" s="1">
        <f>SUM(OSRRefE21_15x_4)</f>
        <v>32267</v>
      </c>
      <c r="J80" s="1">
        <f>SUM(OSRRefE21_15x_5)</f>
        <v>32933</v>
      </c>
      <c r="K80" s="1">
        <f>SUM(OSRRefE21_15x_6)</f>
        <v>32801</v>
      </c>
      <c r="L80" s="1">
        <f>SUM(OSRRefE21_15x_7)</f>
        <v>32801</v>
      </c>
      <c r="M80" s="1">
        <f>SUM(OSRRefE21_15x_8)</f>
        <v>33798</v>
      </c>
      <c r="N80" s="1">
        <f>SUM(OSRRefE21_15x_9)</f>
        <v>32801</v>
      </c>
      <c r="O80" s="1">
        <f>SUM(OSRRefE21_15x_10)</f>
        <v>32884</v>
      </c>
      <c r="Q80" s="2">
        <f>SUM(OSRRefD20_15x)+IFERROR(SUM(OSRRefE20_15x),0)</f>
        <v>378118.15</v>
      </c>
    </row>
    <row r="81" spans="1:17" s="34" customFormat="1" hidden="1" outlineLevel="1" x14ac:dyDescent="0.3">
      <c r="A81" s="35"/>
      <c r="B81" s="10" t="str">
        <f>CONCATENATE("          ","6282", " - ","JANITORIAL/EXTERMINATOR EXPENS")</f>
        <v xml:space="preserve">          6282 - JANITORIAL/EXTERMINATOR EXPENS</v>
      </c>
      <c r="C81" s="14"/>
      <c r="D81" s="2">
        <v>2178.6</v>
      </c>
      <c r="E81" s="2">
        <v>2748</v>
      </c>
      <c r="F81" s="2">
        <v>2698</v>
      </c>
      <c r="G81" s="2">
        <v>2698</v>
      </c>
      <c r="H81" s="2">
        <v>2698</v>
      </c>
      <c r="I81" s="2">
        <v>2698</v>
      </c>
      <c r="J81" s="2">
        <v>2698</v>
      </c>
      <c r="K81" s="2">
        <v>2698</v>
      </c>
      <c r="L81" s="2">
        <v>2698</v>
      </c>
      <c r="M81" s="2">
        <v>2698</v>
      </c>
      <c r="N81" s="2">
        <v>2698</v>
      </c>
      <c r="O81" s="2">
        <v>2698</v>
      </c>
      <c r="P81" s="9"/>
      <c r="Q81" s="2">
        <f>SUM(OSRRefD21_15_0x)+IFERROR(SUM(OSRRefE21_15_0x),0)</f>
        <v>31906.6</v>
      </c>
    </row>
    <row r="82" spans="1:17" s="34" customFormat="1" hidden="1" outlineLevel="1" x14ac:dyDescent="0.3">
      <c r="A82" s="35"/>
      <c r="B82" s="10" t="str">
        <f>CONCATENATE("          ","6283", " - ","PLANT SERVICE")</f>
        <v xml:space="preserve">          6283 - PLANT SERVICE</v>
      </c>
      <c r="C82" s="14"/>
      <c r="D82" s="2"/>
      <c r="E82" s="2">
        <v>100</v>
      </c>
      <c r="F82" s="2">
        <v>100</v>
      </c>
      <c r="G82" s="2">
        <v>100</v>
      </c>
      <c r="H82" s="2">
        <v>100</v>
      </c>
      <c r="I82" s="2">
        <v>100</v>
      </c>
      <c r="J82" s="2">
        <v>100</v>
      </c>
      <c r="K82" s="2">
        <v>100</v>
      </c>
      <c r="L82" s="2">
        <v>100</v>
      </c>
      <c r="M82" s="2">
        <v>100</v>
      </c>
      <c r="N82" s="2">
        <v>100</v>
      </c>
      <c r="O82" s="2">
        <v>100</v>
      </c>
      <c r="P82" s="9"/>
      <c r="Q82" s="2">
        <f>SUM(OSRRefD21_15_1x)+IFERROR(SUM(OSRRefE21_15_1x),0)</f>
        <v>1100</v>
      </c>
    </row>
    <row r="83" spans="1:17" s="34" customFormat="1" hidden="1" outlineLevel="1" x14ac:dyDescent="0.3">
      <c r="A83" s="35"/>
      <c r="B83" s="10" t="str">
        <f>CONCATENATE("          ","6284", " - ","TRASH REMOVAL EXPENSE")</f>
        <v xml:space="preserve">          6284 - TRASH REMOVAL EXPENSE</v>
      </c>
      <c r="C83" s="14"/>
      <c r="D83" s="2"/>
      <c r="E83" s="2">
        <v>1600</v>
      </c>
      <c r="F83" s="2">
        <v>1600</v>
      </c>
      <c r="G83" s="2">
        <v>1600</v>
      </c>
      <c r="H83" s="2">
        <v>1600</v>
      </c>
      <c r="I83" s="2">
        <v>1600</v>
      </c>
      <c r="J83" s="2">
        <v>1600</v>
      </c>
      <c r="K83" s="2">
        <v>1600</v>
      </c>
      <c r="L83" s="2">
        <v>1600</v>
      </c>
      <c r="M83" s="2">
        <v>1600</v>
      </c>
      <c r="N83" s="2">
        <v>1600</v>
      </c>
      <c r="O83" s="2">
        <v>1600</v>
      </c>
      <c r="P83" s="9"/>
      <c r="Q83" s="2">
        <f>SUM(OSRRefD21_15_2x)+IFERROR(SUM(OSRRefE21_15_2x),0)</f>
        <v>17600</v>
      </c>
    </row>
    <row r="84" spans="1:17" s="34" customFormat="1" hidden="1" outlineLevel="1" x14ac:dyDescent="0.3">
      <c r="A84" s="35"/>
      <c r="B84" s="10" t="str">
        <f>CONCATENATE("          ","6285", " - ","JANITORIAL SERVICES")</f>
        <v xml:space="preserve">          6285 - JANITORIAL SERVICES</v>
      </c>
      <c r="C84" s="14"/>
      <c r="D84" s="2">
        <v>14406.58</v>
      </c>
      <c r="E84" s="2">
        <v>22559</v>
      </c>
      <c r="F84" s="2">
        <v>22559</v>
      </c>
      <c r="G84" s="2">
        <v>23434</v>
      </c>
      <c r="H84" s="2">
        <v>22559</v>
      </c>
      <c r="I84" s="2">
        <v>22559</v>
      </c>
      <c r="J84" s="2">
        <v>23083</v>
      </c>
      <c r="K84" s="2">
        <v>23083</v>
      </c>
      <c r="L84" s="2">
        <v>23083</v>
      </c>
      <c r="M84" s="2">
        <v>23958</v>
      </c>
      <c r="N84" s="2">
        <v>23083</v>
      </c>
      <c r="O84" s="2">
        <v>23083</v>
      </c>
      <c r="P84" s="9"/>
      <c r="Q84" s="2">
        <f>SUM(OSRRefD21_15_3x)+IFERROR(SUM(OSRRefE21_15_3x),0)</f>
        <v>267449.58</v>
      </c>
    </row>
    <row r="85" spans="1:17" s="34" customFormat="1" hidden="1" outlineLevel="1" x14ac:dyDescent="0.3">
      <c r="A85" s="35"/>
      <c r="B85" s="10" t="str">
        <f>CONCATENATE("          ","6286", " - ","LAUNDRY EXPENSE")</f>
        <v xml:space="preserve">          6286 - LAUNDRY EXPENSE</v>
      </c>
      <c r="C85" s="14"/>
      <c r="D85" s="2">
        <v>1082.97</v>
      </c>
      <c r="E85" s="2">
        <v>5330</v>
      </c>
      <c r="F85" s="2">
        <v>5320</v>
      </c>
      <c r="G85" s="2">
        <v>5452</v>
      </c>
      <c r="H85" s="2">
        <v>5310</v>
      </c>
      <c r="I85" s="2">
        <v>5310</v>
      </c>
      <c r="J85" s="2">
        <v>5452</v>
      </c>
      <c r="K85" s="2">
        <v>5320</v>
      </c>
      <c r="L85" s="2">
        <v>5320</v>
      </c>
      <c r="M85" s="2">
        <v>5442</v>
      </c>
      <c r="N85" s="2">
        <v>5320</v>
      </c>
      <c r="O85" s="2">
        <v>5403</v>
      </c>
      <c r="P85" s="9"/>
      <c r="Q85" s="2">
        <f>SUM(OSRRefD21_15_4x)+IFERROR(SUM(OSRRefE21_15_4x),0)</f>
        <v>60061.97</v>
      </c>
    </row>
    <row r="86" spans="1:17" s="34" customFormat="1" collapsed="1" x14ac:dyDescent="0.3">
      <c r="A86" s="35"/>
      <c r="B86" s="14" t="str">
        <f>CONCATENATE("     ","Subscriptions &amp; Dues                              ")</f>
        <v xml:space="preserve">     Subscriptions &amp; Dues                              </v>
      </c>
      <c r="C86" s="14"/>
      <c r="D86" s="1">
        <f>SUM(OSRRefD21_16x_0)</f>
        <v>130.66999999999999</v>
      </c>
      <c r="E86" s="1">
        <f>SUM(OSRRefE21_16x_0)</f>
        <v>610</v>
      </c>
      <c r="F86" s="1">
        <f>SUM(OSRRefE21_16x_1)</f>
        <v>610</v>
      </c>
      <c r="G86" s="1">
        <f>SUM(OSRRefE21_16x_2)</f>
        <v>610</v>
      </c>
      <c r="H86" s="1">
        <f>SUM(OSRRefE21_16x_3)</f>
        <v>1405</v>
      </c>
      <c r="I86" s="1">
        <f>SUM(OSRRefE21_16x_4)</f>
        <v>610</v>
      </c>
      <c r="J86" s="1">
        <f>SUM(OSRRefE21_16x_5)</f>
        <v>610</v>
      </c>
      <c r="K86" s="1">
        <f>SUM(OSRRefE21_16x_6)</f>
        <v>610</v>
      </c>
      <c r="L86" s="1">
        <f>SUM(OSRRefE21_16x_7)</f>
        <v>610</v>
      </c>
      <c r="M86" s="1">
        <f>SUM(OSRRefE21_16x_8)</f>
        <v>610</v>
      </c>
      <c r="N86" s="1">
        <f>SUM(OSRRefE21_16x_9)</f>
        <v>610</v>
      </c>
      <c r="O86" s="1">
        <f>SUM(OSRRefE21_16x_10)</f>
        <v>610</v>
      </c>
      <c r="Q86" s="2">
        <f>SUM(OSRRefD20_16x)+IFERROR(SUM(OSRRefE20_16x),0)</f>
        <v>7635.67</v>
      </c>
    </row>
    <row r="87" spans="1:17" s="34" customFormat="1" hidden="1" outlineLevel="1" x14ac:dyDescent="0.3">
      <c r="A87" s="35"/>
      <c r="B87" s="10" t="str">
        <f>CONCATENATE("          ","6258", " - ","MEMBERSHIP DUES")</f>
        <v xml:space="preserve">          6258 - MEMBERSHIP DUES</v>
      </c>
      <c r="C87" s="14"/>
      <c r="D87" s="2"/>
      <c r="E87" s="2"/>
      <c r="F87" s="2"/>
      <c r="G87" s="2"/>
      <c r="H87" s="2">
        <v>795</v>
      </c>
      <c r="I87" s="2"/>
      <c r="J87" s="2"/>
      <c r="K87" s="2"/>
      <c r="L87" s="2"/>
      <c r="M87" s="2"/>
      <c r="N87" s="2"/>
      <c r="O87" s="2"/>
      <c r="P87" s="9"/>
      <c r="Q87" s="2">
        <f>SUM(OSRRefD21_16_0x)+IFERROR(SUM(OSRRefE21_16_0x),0)</f>
        <v>795</v>
      </c>
    </row>
    <row r="88" spans="1:17" s="34" customFormat="1" hidden="1" outlineLevel="1" x14ac:dyDescent="0.3">
      <c r="A88" s="35"/>
      <c r="B88" s="10" t="str">
        <f>CONCATENATE("          ","6275", " - ","SUBSCRIPTIONS")</f>
        <v xml:space="preserve">          6275 - SUBSCRIPTIONS</v>
      </c>
      <c r="C88" s="14"/>
      <c r="D88" s="2">
        <v>130.66999999999999</v>
      </c>
      <c r="E88" s="2">
        <v>610</v>
      </c>
      <c r="F88" s="2">
        <v>610</v>
      </c>
      <c r="G88" s="2">
        <v>610</v>
      </c>
      <c r="H88" s="2">
        <v>610</v>
      </c>
      <c r="I88" s="2">
        <v>610</v>
      </c>
      <c r="J88" s="2">
        <v>610</v>
      </c>
      <c r="K88" s="2">
        <v>610</v>
      </c>
      <c r="L88" s="2">
        <v>610</v>
      </c>
      <c r="M88" s="2">
        <v>610</v>
      </c>
      <c r="N88" s="2">
        <v>610</v>
      </c>
      <c r="O88" s="2">
        <v>610</v>
      </c>
      <c r="P88" s="9"/>
      <c r="Q88" s="2">
        <f>SUM(OSRRefD21_16_1x)+IFERROR(SUM(OSRRefE21_16_1x),0)</f>
        <v>6840.67</v>
      </c>
    </row>
    <row r="89" spans="1:17" s="34" customFormat="1" collapsed="1" x14ac:dyDescent="0.3">
      <c r="A89" s="35"/>
      <c r="B89" s="14" t="str">
        <f>CONCATENATE("     ","Supplies                                          ")</f>
        <v xml:space="preserve">     Supplies                                          </v>
      </c>
      <c r="C89" s="14"/>
      <c r="D89" s="1">
        <f>SUM(OSRRefD21_17x_0)</f>
        <v>6941.0899999999992</v>
      </c>
      <c r="E89" s="1">
        <f>SUM(OSRRefE21_17x_0)</f>
        <v>40929</v>
      </c>
      <c r="F89" s="1">
        <f>SUM(OSRRefE21_17x_1)</f>
        <v>32505</v>
      </c>
      <c r="G89" s="1">
        <f>SUM(OSRRefE21_17x_2)</f>
        <v>31175</v>
      </c>
      <c r="H89" s="1">
        <f>SUM(OSRRefE21_17x_3)</f>
        <v>30825</v>
      </c>
      <c r="I89" s="1">
        <f>SUM(OSRRefE21_17x_4)</f>
        <v>31125</v>
      </c>
      <c r="J89" s="1">
        <f>SUM(OSRRefE21_17x_5)</f>
        <v>32275</v>
      </c>
      <c r="K89" s="1">
        <f>SUM(OSRRefE21_17x_6)</f>
        <v>31175</v>
      </c>
      <c r="L89" s="1">
        <f>SUM(OSRRefE21_17x_7)</f>
        <v>30475</v>
      </c>
      <c r="M89" s="1">
        <f>SUM(OSRRefE21_17x_8)</f>
        <v>30475</v>
      </c>
      <c r="N89" s="1">
        <f>SUM(OSRRefE21_17x_9)</f>
        <v>30475</v>
      </c>
      <c r="O89" s="1">
        <f>SUM(OSRRefE21_17x_10)</f>
        <v>26240</v>
      </c>
      <c r="Q89" s="2">
        <f>SUM(OSRRefD20_17x)+IFERROR(SUM(OSRRefE20_17x),0)</f>
        <v>354615.09</v>
      </c>
    </row>
    <row r="90" spans="1:17" s="34" customFormat="1" hidden="1" outlineLevel="1" x14ac:dyDescent="0.3">
      <c r="A90" s="35"/>
      <c r="B90" s="10" t="str">
        <f>CONCATENATE("          ","6234", " - ","EXPENDABLE SUPPLIES &amp; EQUIPMEN")</f>
        <v xml:space="preserve">          6234 - EXPENDABLE SUPPLIES &amp; EQUIPMEN</v>
      </c>
      <c r="C90" s="14"/>
      <c r="D90" s="2"/>
      <c r="E90" s="2">
        <v>342</v>
      </c>
      <c r="F90" s="2">
        <v>342</v>
      </c>
      <c r="G90" s="2">
        <v>342</v>
      </c>
      <c r="H90" s="2">
        <v>342</v>
      </c>
      <c r="I90" s="2">
        <v>342</v>
      </c>
      <c r="J90" s="2">
        <v>342</v>
      </c>
      <c r="K90" s="2">
        <v>342</v>
      </c>
      <c r="L90" s="2">
        <v>342</v>
      </c>
      <c r="M90" s="2">
        <v>342</v>
      </c>
      <c r="N90" s="2">
        <v>342</v>
      </c>
      <c r="O90" s="2">
        <v>338</v>
      </c>
      <c r="P90" s="9"/>
      <c r="Q90" s="2">
        <f>SUM(OSRRefD21_17_0x)+IFERROR(SUM(OSRRefE21_17_0x),0)</f>
        <v>3758</v>
      </c>
    </row>
    <row r="91" spans="1:17" s="34" customFormat="1" hidden="1" outlineLevel="1" x14ac:dyDescent="0.3">
      <c r="A91" s="35"/>
      <c r="B91" s="10" t="str">
        <f>CONCATENATE("          ","6235", " - ","COVID-19 EXPENSES")</f>
        <v xml:space="preserve">          6235 - COVID-19 EXPENSES</v>
      </c>
      <c r="C91" s="14"/>
      <c r="D91" s="2"/>
      <c r="E91" s="2">
        <v>250</v>
      </c>
      <c r="F91" s="2">
        <v>250</v>
      </c>
      <c r="G91" s="2">
        <v>250</v>
      </c>
      <c r="H91" s="2">
        <v>250</v>
      </c>
      <c r="I91" s="2">
        <v>250</v>
      </c>
      <c r="J91" s="2">
        <v>250</v>
      </c>
      <c r="K91" s="2">
        <v>250</v>
      </c>
      <c r="L91" s="2">
        <v>250</v>
      </c>
      <c r="M91" s="2">
        <v>250</v>
      </c>
      <c r="N91" s="2">
        <v>250</v>
      </c>
      <c r="O91" s="2">
        <v>225</v>
      </c>
      <c r="P91" s="9"/>
      <c r="Q91" s="2">
        <f>SUM(OSRRefD21_17_1x)+IFERROR(SUM(OSRRefE21_17_1x),0)</f>
        <v>2725</v>
      </c>
    </row>
    <row r="92" spans="1:17" s="34" customFormat="1" hidden="1" outlineLevel="1" x14ac:dyDescent="0.3">
      <c r="A92" s="35"/>
      <c r="B92" s="10" t="str">
        <f>CONCATENATE("          ","6237", " - ","JANITORIAL SUPPLIES")</f>
        <v xml:space="preserve">          6237 - JANITORIAL SUPPLIES</v>
      </c>
      <c r="C92" s="14"/>
      <c r="D92" s="2">
        <v>4704.12</v>
      </c>
      <c r="E92" s="2">
        <v>12544</v>
      </c>
      <c r="F92" s="2">
        <v>10336</v>
      </c>
      <c r="G92" s="2">
        <v>9975</v>
      </c>
      <c r="H92" s="2">
        <v>9975</v>
      </c>
      <c r="I92" s="2">
        <v>9975</v>
      </c>
      <c r="J92" s="2">
        <v>9975</v>
      </c>
      <c r="K92" s="2">
        <v>9975</v>
      </c>
      <c r="L92" s="2">
        <v>9975</v>
      </c>
      <c r="M92" s="2">
        <v>9975</v>
      </c>
      <c r="N92" s="2">
        <v>9975</v>
      </c>
      <c r="O92" s="2">
        <v>7925</v>
      </c>
      <c r="P92" s="9"/>
      <c r="Q92" s="2">
        <f>SUM(OSRRefD21_17_2x)+IFERROR(SUM(OSRRefE21_17_2x),0)</f>
        <v>115309.12</v>
      </c>
    </row>
    <row r="93" spans="1:17" s="34" customFormat="1" hidden="1" outlineLevel="1" x14ac:dyDescent="0.3">
      <c r="A93" s="35"/>
      <c r="B93" s="10" t="str">
        <f>CONCATENATE("          ","6239", " - ","KITCHEN SUPPLIES")</f>
        <v xml:space="preserve">          6239 - KITCHEN SUPPLIES</v>
      </c>
      <c r="C93" s="14"/>
      <c r="D93" s="2">
        <v>32.03</v>
      </c>
      <c r="E93" s="2">
        <v>6373</v>
      </c>
      <c r="F93" s="2">
        <v>4313</v>
      </c>
      <c r="G93" s="2">
        <v>3900</v>
      </c>
      <c r="H93" s="2">
        <v>3700</v>
      </c>
      <c r="I93" s="2">
        <v>3700</v>
      </c>
      <c r="J93" s="2">
        <v>3850</v>
      </c>
      <c r="K93" s="2">
        <v>3550</v>
      </c>
      <c r="L93" s="2">
        <v>3300</v>
      </c>
      <c r="M93" s="2">
        <v>3300</v>
      </c>
      <c r="N93" s="2">
        <v>3300</v>
      </c>
      <c r="O93" s="2">
        <v>3300</v>
      </c>
      <c r="P93" s="9"/>
      <c r="Q93" s="2">
        <f>SUM(OSRRefD21_17_3x)+IFERROR(SUM(OSRRefE21_17_3x),0)</f>
        <v>42618.03</v>
      </c>
    </row>
    <row r="94" spans="1:17" s="34" customFormat="1" hidden="1" outlineLevel="1" x14ac:dyDescent="0.3">
      <c r="A94" s="35"/>
      <c r="B94" s="10" t="str">
        <f>CONCATENATE("          ","6241", " - ","OFFICE EXPENSE")</f>
        <v xml:space="preserve">          6241 - OFFICE EXPENSE</v>
      </c>
      <c r="C94" s="14"/>
      <c r="D94" s="2">
        <v>976.49</v>
      </c>
      <c r="E94" s="2">
        <v>3995</v>
      </c>
      <c r="F94" s="2">
        <v>1728</v>
      </c>
      <c r="G94" s="2">
        <v>1495</v>
      </c>
      <c r="H94" s="2">
        <v>1445</v>
      </c>
      <c r="I94" s="2">
        <v>1445</v>
      </c>
      <c r="J94" s="2">
        <v>1645</v>
      </c>
      <c r="K94" s="2">
        <v>1445</v>
      </c>
      <c r="L94" s="2">
        <v>1495</v>
      </c>
      <c r="M94" s="2">
        <v>1445</v>
      </c>
      <c r="N94" s="2">
        <v>1495</v>
      </c>
      <c r="O94" s="2">
        <v>1445</v>
      </c>
      <c r="P94" s="9"/>
      <c r="Q94" s="2">
        <f>SUM(OSRRefD21_17_4x)+IFERROR(SUM(OSRRefE21_17_4x),0)</f>
        <v>20054.490000000002</v>
      </c>
    </row>
    <row r="95" spans="1:17" s="34" customFormat="1" hidden="1" outlineLevel="1" x14ac:dyDescent="0.3">
      <c r="A95" s="35"/>
      <c r="B95" s="10" t="str">
        <f>CONCATENATE("          ","6243", " - ","PAPER SUPPLIES")</f>
        <v xml:space="preserve">          6243 - PAPER SUPPLIES</v>
      </c>
      <c r="C95" s="14"/>
      <c r="D95" s="2">
        <v>1228.45</v>
      </c>
      <c r="E95" s="2">
        <v>14601</v>
      </c>
      <c r="F95" s="2">
        <v>14323</v>
      </c>
      <c r="G95" s="2">
        <v>14000</v>
      </c>
      <c r="H95" s="2">
        <v>13900</v>
      </c>
      <c r="I95" s="2">
        <v>13900</v>
      </c>
      <c r="J95" s="2">
        <v>14200</v>
      </c>
      <c r="K95" s="2">
        <v>13900</v>
      </c>
      <c r="L95" s="2">
        <v>13900</v>
      </c>
      <c r="M95" s="2">
        <v>13900</v>
      </c>
      <c r="N95" s="2">
        <v>13900</v>
      </c>
      <c r="O95" s="2">
        <v>11800</v>
      </c>
      <c r="P95" s="9"/>
      <c r="Q95" s="2">
        <f>SUM(OSRRefD21_17_5x)+IFERROR(SUM(OSRRefE21_17_5x),0)</f>
        <v>153552.45000000001</v>
      </c>
    </row>
    <row r="96" spans="1:17" s="34" customFormat="1" hidden="1" outlineLevel="1" x14ac:dyDescent="0.3">
      <c r="A96" s="35"/>
      <c r="B96" s="10" t="str">
        <f>CONCATENATE("          ","6244", " - ","SAFETY SUPPLY EXPENSE")</f>
        <v xml:space="preserve">          6244 - SAFETY SUPPLY EXPENSE</v>
      </c>
      <c r="C96" s="14"/>
      <c r="D96" s="2"/>
      <c r="E96" s="2">
        <v>525</v>
      </c>
      <c r="F96" s="2">
        <v>525</v>
      </c>
      <c r="G96" s="2">
        <v>525</v>
      </c>
      <c r="H96" s="2">
        <v>525</v>
      </c>
      <c r="I96" s="2">
        <v>575</v>
      </c>
      <c r="J96" s="2">
        <v>525</v>
      </c>
      <c r="K96" s="2">
        <v>525</v>
      </c>
      <c r="L96" s="2">
        <v>525</v>
      </c>
      <c r="M96" s="2">
        <v>575</v>
      </c>
      <c r="N96" s="2">
        <v>525</v>
      </c>
      <c r="O96" s="2">
        <v>525</v>
      </c>
      <c r="P96" s="9"/>
      <c r="Q96" s="2">
        <f>SUM(OSRRefD21_17_6x)+IFERROR(SUM(OSRRefE21_17_6x),0)</f>
        <v>5875</v>
      </c>
    </row>
    <row r="97" spans="1:17" s="34" customFormat="1" hidden="1" outlineLevel="1" x14ac:dyDescent="0.3">
      <c r="A97" s="35"/>
      <c r="B97" s="10" t="str">
        <f>CONCATENATE("          ","6245", " - ","PRINTING")</f>
        <v xml:space="preserve">          6245 - PRINTING</v>
      </c>
      <c r="C97" s="14"/>
      <c r="D97" s="2"/>
      <c r="E97" s="2">
        <v>300</v>
      </c>
      <c r="F97" s="2">
        <v>100</v>
      </c>
      <c r="G97" s="2">
        <v>100</v>
      </c>
      <c r="H97" s="2">
        <v>100</v>
      </c>
      <c r="I97" s="2">
        <v>100</v>
      </c>
      <c r="J97" s="2">
        <v>400</v>
      </c>
      <c r="K97" s="2">
        <v>100</v>
      </c>
      <c r="L97" s="2">
        <v>100</v>
      </c>
      <c r="M97" s="2">
        <v>100</v>
      </c>
      <c r="N97" s="2">
        <v>100</v>
      </c>
      <c r="O97" s="2">
        <v>100</v>
      </c>
      <c r="P97" s="9"/>
      <c r="Q97" s="2">
        <f>SUM(OSRRefD21_17_7x)+IFERROR(SUM(OSRRefE21_17_7x),0)</f>
        <v>1600</v>
      </c>
    </row>
    <row r="98" spans="1:17" s="34" customFormat="1" hidden="1" outlineLevel="1" x14ac:dyDescent="0.3">
      <c r="A98" s="35"/>
      <c r="B98" s="10" t="str">
        <f>CONCATENATE("          ","6247", " - ","STORE SUPPLIES")</f>
        <v xml:space="preserve">          6247 - STORE SUPPLIES</v>
      </c>
      <c r="C98" s="14"/>
      <c r="D98" s="2"/>
      <c r="E98" s="2">
        <v>411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2">
        <f>SUM(OSRRefD21_17_8x)+IFERROR(SUM(OSRRefE21_17_8x),0)</f>
        <v>411</v>
      </c>
    </row>
    <row r="99" spans="1:17" s="34" customFormat="1" hidden="1" outlineLevel="1" x14ac:dyDescent="0.3">
      <c r="A99" s="35"/>
      <c r="B99" s="10" t="str">
        <f>CONCATENATE("          ","6248", " - ","UNIFORMS")</f>
        <v xml:space="preserve">          6248 - UNIFORMS</v>
      </c>
      <c r="C99" s="14"/>
      <c r="D99" s="2"/>
      <c r="E99" s="2">
        <v>1588</v>
      </c>
      <c r="F99" s="2">
        <v>588</v>
      </c>
      <c r="G99" s="2">
        <v>588</v>
      </c>
      <c r="H99" s="2">
        <v>588</v>
      </c>
      <c r="I99" s="2">
        <v>838</v>
      </c>
      <c r="J99" s="2">
        <v>1088</v>
      </c>
      <c r="K99" s="2">
        <v>1088</v>
      </c>
      <c r="L99" s="2">
        <v>588</v>
      </c>
      <c r="M99" s="2">
        <v>588</v>
      </c>
      <c r="N99" s="2">
        <v>588</v>
      </c>
      <c r="O99" s="2">
        <v>582</v>
      </c>
      <c r="P99" s="9"/>
      <c r="Q99" s="2">
        <f>SUM(OSRRefD21_17_9x)+IFERROR(SUM(OSRRefE21_17_9x),0)</f>
        <v>8712</v>
      </c>
    </row>
    <row r="100" spans="1:17" s="34" customFormat="1" collapsed="1" x14ac:dyDescent="0.3">
      <c r="A100" s="35"/>
      <c r="B100" s="14" t="str">
        <f>CONCATENATE("     ","Telephone/Data Lines                              ")</f>
        <v xml:space="preserve">     Telephone/Data Lines                              </v>
      </c>
      <c r="C100" s="14"/>
      <c r="D100" s="1">
        <f>SUM(OSRRefD21_18x_0)</f>
        <v>1022.55</v>
      </c>
      <c r="E100" s="1">
        <f>SUM(OSRRefE21_18x_0)</f>
        <v>961</v>
      </c>
      <c r="F100" s="1">
        <f>SUM(OSRRefE21_18x_1)</f>
        <v>961</v>
      </c>
      <c r="G100" s="1">
        <f>SUM(OSRRefE21_18x_2)</f>
        <v>1111</v>
      </c>
      <c r="H100" s="1">
        <f>SUM(OSRRefE21_18x_3)</f>
        <v>961</v>
      </c>
      <c r="I100" s="1">
        <f>SUM(OSRRefE21_18x_4)</f>
        <v>961</v>
      </c>
      <c r="J100" s="1">
        <f>SUM(OSRRefE21_18x_5)</f>
        <v>1111</v>
      </c>
      <c r="K100" s="1">
        <f>SUM(OSRRefE21_18x_6)</f>
        <v>961</v>
      </c>
      <c r="L100" s="1">
        <f>SUM(OSRRefE21_18x_7)</f>
        <v>961</v>
      </c>
      <c r="M100" s="1">
        <f>SUM(OSRRefE21_18x_8)</f>
        <v>961</v>
      </c>
      <c r="N100" s="1">
        <f>SUM(OSRRefE21_18x_9)</f>
        <v>1111</v>
      </c>
      <c r="O100" s="1">
        <f>SUM(OSRRefE21_18x_10)</f>
        <v>965</v>
      </c>
      <c r="Q100" s="2">
        <f>SUM(OSRRefD20_18x)+IFERROR(SUM(OSRRefE20_18x),0)</f>
        <v>12047.55</v>
      </c>
    </row>
    <row r="101" spans="1:17" s="34" customFormat="1" hidden="1" outlineLevel="1" x14ac:dyDescent="0.3">
      <c r="A101" s="35"/>
      <c r="B101" s="10" t="str">
        <f>CONCATENATE("          ","6303", " - ","DATA PHONE LINES")</f>
        <v xml:space="preserve">          6303 - DATA PHONE LINES</v>
      </c>
      <c r="C101" s="14"/>
      <c r="D101" s="2"/>
      <c r="E101" s="2">
        <v>193</v>
      </c>
      <c r="F101" s="2">
        <v>193</v>
      </c>
      <c r="G101" s="2">
        <v>193</v>
      </c>
      <c r="H101" s="2">
        <v>193</v>
      </c>
      <c r="I101" s="2">
        <v>193</v>
      </c>
      <c r="J101" s="2">
        <v>193</v>
      </c>
      <c r="K101" s="2">
        <v>193</v>
      </c>
      <c r="L101" s="2">
        <v>193</v>
      </c>
      <c r="M101" s="2">
        <v>193</v>
      </c>
      <c r="N101" s="2">
        <v>193</v>
      </c>
      <c r="O101" s="2">
        <v>197</v>
      </c>
      <c r="P101" s="9"/>
      <c r="Q101" s="2">
        <f>SUM(OSRRefD21_18_0x)+IFERROR(SUM(OSRRefE21_18_0x),0)</f>
        <v>2127</v>
      </c>
    </row>
    <row r="102" spans="1:17" s="34" customFormat="1" hidden="1" outlineLevel="1" x14ac:dyDescent="0.3">
      <c r="A102" s="35"/>
      <c r="B102" s="10" t="str">
        <f>CONCATENATE("          ","6309", " - ","TELEPHONE")</f>
        <v xml:space="preserve">          6309 - TELEPHONE</v>
      </c>
      <c r="C102" s="14"/>
      <c r="D102" s="2">
        <v>1022.55</v>
      </c>
      <c r="E102" s="2">
        <v>768</v>
      </c>
      <c r="F102" s="2">
        <v>768</v>
      </c>
      <c r="G102" s="2">
        <v>918</v>
      </c>
      <c r="H102" s="2">
        <v>768</v>
      </c>
      <c r="I102" s="2">
        <v>768</v>
      </c>
      <c r="J102" s="2">
        <v>918</v>
      </c>
      <c r="K102" s="2">
        <v>768</v>
      </c>
      <c r="L102" s="2">
        <v>768</v>
      </c>
      <c r="M102" s="2">
        <v>768</v>
      </c>
      <c r="N102" s="2">
        <v>918</v>
      </c>
      <c r="O102" s="2">
        <v>768</v>
      </c>
      <c r="P102" s="9"/>
      <c r="Q102" s="2">
        <f>SUM(OSRRefD21_18_1x)+IFERROR(SUM(OSRRefE21_18_1x),0)</f>
        <v>9920.5499999999993</v>
      </c>
    </row>
    <row r="103" spans="1:17" s="34" customFormat="1" collapsed="1" x14ac:dyDescent="0.3">
      <c r="A103" s="35"/>
      <c r="B103" s="14" t="str">
        <f>CONCATENATE("     ","Training                                          ")</f>
        <v xml:space="preserve">     Training                                          </v>
      </c>
      <c r="C103" s="14"/>
      <c r="D103" s="1">
        <f>SUM(OSRRefD21_19x_0)</f>
        <v>0</v>
      </c>
      <c r="E103" s="1">
        <f>SUM(OSRRefE21_19x_0)</f>
        <v>920</v>
      </c>
      <c r="F103" s="1">
        <f>SUM(OSRRefE21_19x_1)</f>
        <v>840</v>
      </c>
      <c r="G103" s="1">
        <f>SUM(OSRRefE21_19x_2)</f>
        <v>640</v>
      </c>
      <c r="H103" s="1">
        <f>SUM(OSRRefE21_19x_3)</f>
        <v>640</v>
      </c>
      <c r="I103" s="1">
        <f>SUM(OSRRefE21_19x_4)</f>
        <v>640</v>
      </c>
      <c r="J103" s="1">
        <f>SUM(OSRRefE21_19x_5)</f>
        <v>2720</v>
      </c>
      <c r="K103" s="1">
        <f>SUM(OSRRefE21_19x_6)</f>
        <v>640</v>
      </c>
      <c r="L103" s="1">
        <f>SUM(OSRRefE21_19x_7)</f>
        <v>3915</v>
      </c>
      <c r="M103" s="1">
        <f>SUM(OSRRefE21_19x_8)</f>
        <v>615</v>
      </c>
      <c r="N103" s="1">
        <f>SUM(OSRRefE21_19x_9)</f>
        <v>615</v>
      </c>
      <c r="O103" s="1">
        <f>SUM(OSRRefE21_19x_10)</f>
        <v>1615</v>
      </c>
      <c r="Q103" s="2">
        <f>SUM(OSRRefD20_19x)+IFERROR(SUM(OSRRefE20_19x),0)</f>
        <v>13800</v>
      </c>
    </row>
    <row r="104" spans="1:17" s="34" customFormat="1" hidden="1" outlineLevel="1" x14ac:dyDescent="0.3">
      <c r="A104" s="35"/>
      <c r="B104" s="10" t="str">
        <f>CONCATENATE("          ","6376", " - ","TRAINING")</f>
        <v xml:space="preserve">          6376 - TRAINING</v>
      </c>
      <c r="C104" s="14"/>
      <c r="D104" s="2"/>
      <c r="E104" s="2">
        <v>920</v>
      </c>
      <c r="F104" s="2">
        <v>840</v>
      </c>
      <c r="G104" s="2">
        <v>640</v>
      </c>
      <c r="H104" s="2">
        <v>640</v>
      </c>
      <c r="I104" s="2">
        <v>640</v>
      </c>
      <c r="J104" s="2">
        <v>2720</v>
      </c>
      <c r="K104" s="2">
        <v>640</v>
      </c>
      <c r="L104" s="2">
        <v>3915</v>
      </c>
      <c r="M104" s="2">
        <v>615</v>
      </c>
      <c r="N104" s="2">
        <v>615</v>
      </c>
      <c r="O104" s="2">
        <v>1615</v>
      </c>
      <c r="P104" s="9"/>
      <c r="Q104" s="2">
        <f>SUM(OSRRefD21_19_0x)+IFERROR(SUM(OSRRefE21_19_0x),0)</f>
        <v>13800</v>
      </c>
    </row>
    <row r="105" spans="1:17" s="34" customFormat="1" collapsed="1" x14ac:dyDescent="0.3">
      <c r="A105" s="35"/>
      <c r="B105" s="14" t="str">
        <f>CONCATENATE("     ","Travel                                            ")</f>
        <v xml:space="preserve">     Travel                                            </v>
      </c>
      <c r="C105" s="14"/>
      <c r="D105" s="1">
        <f>SUM(OSRRefD21_20x_0)</f>
        <v>0</v>
      </c>
      <c r="E105" s="1">
        <f>SUM(OSRRefE21_20x_0)</f>
        <v>0</v>
      </c>
      <c r="F105" s="1">
        <f>SUM(OSRRefE21_20x_1)</f>
        <v>0</v>
      </c>
      <c r="G105" s="1">
        <f>SUM(OSRRefE21_20x_2)</f>
        <v>0</v>
      </c>
      <c r="H105" s="1">
        <f>SUM(OSRRefE21_20x_3)</f>
        <v>0</v>
      </c>
      <c r="I105" s="1">
        <f>SUM(OSRRefE21_20x_4)</f>
        <v>0</v>
      </c>
      <c r="J105" s="1">
        <f>SUM(OSRRefE21_20x_5)</f>
        <v>0</v>
      </c>
      <c r="K105" s="1">
        <f>SUM(OSRRefE21_20x_6)</f>
        <v>600</v>
      </c>
      <c r="L105" s="1">
        <f>SUM(OSRRefE21_20x_7)</f>
        <v>600</v>
      </c>
      <c r="M105" s="1">
        <f>SUM(OSRRefE21_20x_8)</f>
        <v>0</v>
      </c>
      <c r="N105" s="1">
        <f>SUM(OSRRefE21_20x_9)</f>
        <v>0</v>
      </c>
      <c r="O105" s="1">
        <f>SUM(OSRRefE21_20x_10)</f>
        <v>0</v>
      </c>
      <c r="Q105" s="2">
        <f>SUM(OSRRefD20_20x)+IFERROR(SUM(OSRRefE20_20x),0)</f>
        <v>1200</v>
      </c>
    </row>
    <row r="106" spans="1:17" s="34" customFormat="1" hidden="1" outlineLevel="1" x14ac:dyDescent="0.3">
      <c r="A106" s="35"/>
      <c r="B106" s="10" t="str">
        <f>CONCATENATE("          ","6292", " - ","TRAVEL/CONFERENCE")</f>
        <v xml:space="preserve">          6292 - TRAVEL/CONFERENCE</v>
      </c>
      <c r="C106" s="14"/>
      <c r="D106" s="2"/>
      <c r="E106" s="2"/>
      <c r="F106" s="2"/>
      <c r="G106" s="2"/>
      <c r="H106" s="2"/>
      <c r="I106" s="2"/>
      <c r="J106" s="2"/>
      <c r="K106" s="2">
        <v>600</v>
      </c>
      <c r="L106" s="2">
        <v>600</v>
      </c>
      <c r="M106" s="2"/>
      <c r="N106" s="2"/>
      <c r="O106" s="2"/>
      <c r="P106" s="9"/>
      <c r="Q106" s="2">
        <f>SUM(OSRRefD21_20_0x)+IFERROR(SUM(OSRRefE21_20_0x),0)</f>
        <v>1200</v>
      </c>
    </row>
    <row r="107" spans="1:17" s="34" customFormat="1" collapsed="1" x14ac:dyDescent="0.3">
      <c r="A107" s="35"/>
      <c r="B107" s="14" t="str">
        <f>CONCATENATE("     ","Utilities                                         ")</f>
        <v xml:space="preserve">     Utilities                                         </v>
      </c>
      <c r="C107" s="14"/>
      <c r="D107" s="1">
        <f>SUM(OSRRefD21_21x_0)</f>
        <v>8150</v>
      </c>
      <c r="E107" s="1">
        <f>SUM(OSRRefE21_21x_0)</f>
        <v>8667</v>
      </c>
      <c r="F107" s="1">
        <f>SUM(OSRRefE21_21x_1)</f>
        <v>8667</v>
      </c>
      <c r="G107" s="1">
        <f>SUM(OSRRefE21_21x_2)</f>
        <v>8667</v>
      </c>
      <c r="H107" s="1">
        <f>SUM(OSRRefE21_21x_3)</f>
        <v>8667</v>
      </c>
      <c r="I107" s="1">
        <f>SUM(OSRRefE21_21x_4)</f>
        <v>8667</v>
      </c>
      <c r="J107" s="1">
        <f>SUM(OSRRefE21_21x_5)</f>
        <v>8667</v>
      </c>
      <c r="K107" s="1">
        <f>SUM(OSRRefE21_21x_6)</f>
        <v>8667</v>
      </c>
      <c r="L107" s="1">
        <f>SUM(OSRRefE21_21x_7)</f>
        <v>8667</v>
      </c>
      <c r="M107" s="1">
        <f>SUM(OSRRefE21_21x_8)</f>
        <v>8667</v>
      </c>
      <c r="N107" s="1">
        <f>SUM(OSRRefE21_21x_9)</f>
        <v>8667</v>
      </c>
      <c r="O107" s="1">
        <f>SUM(OSRRefE21_21x_10)</f>
        <v>8663</v>
      </c>
      <c r="Q107" s="2">
        <f>SUM(OSRRefD20_21x)+IFERROR(SUM(OSRRefE20_21x),0)</f>
        <v>103483</v>
      </c>
    </row>
    <row r="108" spans="1:17" s="34" customFormat="1" hidden="1" outlineLevel="1" x14ac:dyDescent="0.3">
      <c r="A108" s="35"/>
      <c r="B108" s="10" t="str">
        <f>CONCATENATE("          ","6274", " - ","UTILITIES")</f>
        <v xml:space="preserve">          6274 - UTILITIES</v>
      </c>
      <c r="C108" s="14"/>
      <c r="D108" s="2">
        <v>8150</v>
      </c>
      <c r="E108" s="2">
        <v>8667</v>
      </c>
      <c r="F108" s="2">
        <v>8667</v>
      </c>
      <c r="G108" s="2">
        <v>8667</v>
      </c>
      <c r="H108" s="2">
        <v>8667</v>
      </c>
      <c r="I108" s="2">
        <v>8667</v>
      </c>
      <c r="J108" s="2">
        <v>8667</v>
      </c>
      <c r="K108" s="2">
        <v>8667</v>
      </c>
      <c r="L108" s="2">
        <v>8667</v>
      </c>
      <c r="M108" s="2">
        <v>8667</v>
      </c>
      <c r="N108" s="2">
        <v>8667</v>
      </c>
      <c r="O108" s="2">
        <v>8663</v>
      </c>
      <c r="P108" s="9"/>
      <c r="Q108" s="2">
        <f>SUM(OSRRefD21_21_0x)+IFERROR(SUM(OSRRefE21_21_0x),0)</f>
        <v>103483</v>
      </c>
    </row>
    <row r="109" spans="1:17" s="28" customFormat="1" x14ac:dyDescent="0.3">
      <c r="A109" s="21"/>
      <c r="B109" s="21"/>
      <c r="C109" s="2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</row>
    <row r="110" spans="1:17" s="9" customFormat="1" x14ac:dyDescent="0.3">
      <c r="A110" s="22"/>
      <c r="B110" s="16" t="s">
        <v>293</v>
      </c>
      <c r="C110" s="23"/>
      <c r="D110" s="3">
        <f>--2655.42</f>
        <v>2655.42</v>
      </c>
      <c r="E110" s="3"/>
      <c r="F110" s="3">
        <v>250</v>
      </c>
      <c r="G110" s="3">
        <v>250</v>
      </c>
      <c r="H110" s="3">
        <v>250</v>
      </c>
      <c r="I110" s="3">
        <v>250</v>
      </c>
      <c r="J110" s="3">
        <v>46218.59</v>
      </c>
      <c r="K110" s="3">
        <v>37154.720000000001</v>
      </c>
      <c r="L110" s="3">
        <v>21607.09</v>
      </c>
      <c r="M110" s="3">
        <v>28752.13</v>
      </c>
      <c r="N110" s="3">
        <v>29120.49</v>
      </c>
      <c r="O110" s="3">
        <v>12000</v>
      </c>
      <c r="Q110" s="2">
        <f>SUM(OSRRefD23_0x)+IFERROR(SUM(OSRRefE23_0x),0)</f>
        <v>178508.44</v>
      </c>
    </row>
    <row r="111" spans="1:17" x14ac:dyDescent="0.3">
      <c r="A111" s="5"/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Q111" s="3"/>
    </row>
    <row r="112" spans="1:17" s="15" customFormat="1" x14ac:dyDescent="0.3">
      <c r="A112" s="6"/>
      <c r="B112" s="17" t="s">
        <v>276</v>
      </c>
      <c r="C112" s="17"/>
      <c r="D112" s="8">
        <f t="shared" ref="D112:O112" si="2">IFERROR(+D23-D26+D110, 0)</f>
        <v>-317324.16000000009</v>
      </c>
      <c r="E112" s="8">
        <f t="shared" si="2"/>
        <v>-415714.53532126918</v>
      </c>
      <c r="F112" s="8">
        <f t="shared" si="2"/>
        <v>171256.0192268726</v>
      </c>
      <c r="G112" s="8">
        <f t="shared" si="2"/>
        <v>283530.66865028848</v>
      </c>
      <c r="H112" s="8">
        <f t="shared" si="2"/>
        <v>-22435.288947034394</v>
      </c>
      <c r="I112" s="8">
        <f t="shared" si="2"/>
        <v>28005.646209027269</v>
      </c>
      <c r="J112" s="8">
        <f t="shared" si="2"/>
        <v>-250987.69774074815</v>
      </c>
      <c r="K112" s="8">
        <f t="shared" si="2"/>
        <v>357507.93748423085</v>
      </c>
      <c r="L112" s="8">
        <f t="shared" si="2"/>
        <v>295357.53783920879</v>
      </c>
      <c r="M112" s="8">
        <f t="shared" si="2"/>
        <v>229715.43312925939</v>
      </c>
      <c r="N112" s="8">
        <f t="shared" si="2"/>
        <v>-2951.943641278649</v>
      </c>
      <c r="O112" s="8">
        <f t="shared" si="2"/>
        <v>-371608.70111112983</v>
      </c>
      <c r="Q112" s="8">
        <f>IFERROR(+Q23-Q26+Q110, 0)</f>
        <v>-15649.084222573263</v>
      </c>
    </row>
    <row r="113" spans="1:17" s="6" customFormat="1" x14ac:dyDescent="0.3">
      <c r="B113" s="16"/>
      <c r="C113" s="16"/>
      <c r="D113" s="4">
        <f t="shared" ref="D113:O113" si="3">IFERROR(D112/D10, 0)</f>
        <v>-7.4332791594030061</v>
      </c>
      <c r="E113" s="4">
        <f t="shared" si="3"/>
        <v>-1.2702339181275297</v>
      </c>
      <c r="F113" s="4">
        <f t="shared" si="3"/>
        <v>0.13714733889607889</v>
      </c>
      <c r="G113" s="4">
        <f t="shared" si="3"/>
        <v>0.18068162730354576</v>
      </c>
      <c r="H113" s="4">
        <f t="shared" si="3"/>
        <v>-2.5249979963506336E-2</v>
      </c>
      <c r="I113" s="4">
        <f t="shared" si="3"/>
        <v>2.8767909507240622E-2</v>
      </c>
      <c r="J113" s="4">
        <f t="shared" si="3"/>
        <v>-0.42179332750873988</v>
      </c>
      <c r="K113" s="4">
        <f t="shared" si="3"/>
        <v>0.23462713652583062</v>
      </c>
      <c r="L113" s="4">
        <f t="shared" si="3"/>
        <v>0.2019719631906918</v>
      </c>
      <c r="M113" s="4">
        <f t="shared" si="3"/>
        <v>0.15575089201856368</v>
      </c>
      <c r="N113" s="4">
        <f t="shared" si="3"/>
        <v>-3.4699519478635045E-3</v>
      </c>
      <c r="O113" s="4">
        <f t="shared" si="3"/>
        <v>-4.3937843018247476</v>
      </c>
      <c r="P113" s="18"/>
      <c r="Q113" s="4">
        <f>IFERROR(Q112/Q10, 0)</f>
        <v>-1.4173289516255998E-3</v>
      </c>
    </row>
    <row r="114" spans="1:17" x14ac:dyDescent="0.3">
      <c r="A114" s="5"/>
      <c r="B114" s="6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Q114" s="3"/>
    </row>
    <row r="115" spans="1:17" s="15" customFormat="1" x14ac:dyDescent="0.3">
      <c r="A115" s="25"/>
      <c r="B115" s="6" t="s">
        <v>125</v>
      </c>
      <c r="C115" s="6"/>
      <c r="D115" s="3">
        <v>19722.46</v>
      </c>
      <c r="E115" s="3">
        <v>34523</v>
      </c>
      <c r="F115" s="3">
        <v>134444</v>
      </c>
      <c r="G115" s="3">
        <v>190596</v>
      </c>
      <c r="H115" s="3">
        <v>142684</v>
      </c>
      <c r="I115" s="3">
        <v>144063</v>
      </c>
      <c r="J115" s="3">
        <v>53619</v>
      </c>
      <c r="K115" s="3">
        <v>169166</v>
      </c>
      <c r="L115" s="3">
        <v>174765</v>
      </c>
      <c r="M115" s="3">
        <v>192032</v>
      </c>
      <c r="N115" s="3">
        <v>115001</v>
      </c>
      <c r="O115" s="3">
        <v>-105840</v>
      </c>
      <c r="Q115" s="2">
        <f>SUM(OSRRefD28_0x)+IFERROR(SUM(OSRRefE28_0x),0)</f>
        <v>1264775.46</v>
      </c>
    </row>
    <row r="116" spans="1:17" x14ac:dyDescent="0.3">
      <c r="A116" s="5"/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Q116" s="3"/>
    </row>
    <row r="117" spans="1:17" s="15" customFormat="1" ht="15" thickBot="1" x14ac:dyDescent="0.35">
      <c r="A117" s="6"/>
      <c r="B117" s="17" t="s">
        <v>124</v>
      </c>
      <c r="C117" s="17"/>
      <c r="D117" s="7">
        <f t="shared" ref="D117:O117" si="4">IFERROR(+D112-D115, 0)</f>
        <v>-337046.62000000011</v>
      </c>
      <c r="E117" s="7">
        <f t="shared" si="4"/>
        <v>-450237.53532126918</v>
      </c>
      <c r="F117" s="7">
        <f t="shared" si="4"/>
        <v>36812.019226872595</v>
      </c>
      <c r="G117" s="7">
        <f t="shared" si="4"/>
        <v>92934.668650288484</v>
      </c>
      <c r="H117" s="7">
        <f t="shared" si="4"/>
        <v>-165119.28894703439</v>
      </c>
      <c r="I117" s="7">
        <f t="shared" si="4"/>
        <v>-116057.35379097273</v>
      </c>
      <c r="J117" s="7">
        <f t="shared" si="4"/>
        <v>-304606.69774074818</v>
      </c>
      <c r="K117" s="7">
        <f t="shared" si="4"/>
        <v>188341.93748423085</v>
      </c>
      <c r="L117" s="7">
        <f t="shared" si="4"/>
        <v>120592.53783920879</v>
      </c>
      <c r="M117" s="7">
        <f t="shared" si="4"/>
        <v>37683.433129259385</v>
      </c>
      <c r="N117" s="7">
        <f t="shared" si="4"/>
        <v>-117952.94364127865</v>
      </c>
      <c r="O117" s="7">
        <f t="shared" si="4"/>
        <v>-265768.70111112983</v>
      </c>
      <c r="Q117" s="7">
        <f>IFERROR(+Q112-Q115, 0)</f>
        <v>-1280424.5442225733</v>
      </c>
    </row>
    <row r="118" spans="1:17" ht="15" thickTop="1" x14ac:dyDescent="0.3">
      <c r="A118" s="5"/>
      <c r="B118" s="5"/>
      <c r="C118" s="5"/>
      <c r="D118" s="4">
        <f t="shared" ref="D118:O118" si="5">IFERROR(D117/D10, 0)</f>
        <v>-7.8952753430221776</v>
      </c>
      <c r="E118" s="4">
        <f t="shared" si="5"/>
        <v>-1.3757204523465634</v>
      </c>
      <c r="F118" s="4">
        <f t="shared" si="5"/>
        <v>2.9480251258606021E-2</v>
      </c>
      <c r="G118" s="4">
        <f t="shared" si="5"/>
        <v>5.9223177670987573E-2</v>
      </c>
      <c r="H118" s="4">
        <f t="shared" si="5"/>
        <v>-0.18583485808201033</v>
      </c>
      <c r="I118" s="4">
        <f t="shared" si="5"/>
        <v>-0.11921622613486833</v>
      </c>
      <c r="J118" s="4">
        <f t="shared" si="5"/>
        <v>-0.51190187319153246</v>
      </c>
      <c r="K118" s="4">
        <f t="shared" si="5"/>
        <v>0.12360600939552915</v>
      </c>
      <c r="L118" s="4">
        <f t="shared" si="5"/>
        <v>8.2463822632460604E-2</v>
      </c>
      <c r="M118" s="4">
        <f t="shared" si="5"/>
        <v>2.5549995680531689E-2</v>
      </c>
      <c r="N118" s="4">
        <f t="shared" si="5"/>
        <v>-0.13865137559570836</v>
      </c>
      <c r="O118" s="4">
        <f t="shared" si="5"/>
        <v>-3.1423654596000028</v>
      </c>
      <c r="P118" s="18"/>
      <c r="Q118" s="4">
        <f>IFERROR(Q117/Q10, 0)</f>
        <v>-0.11596734678447858</v>
      </c>
    </row>
    <row r="119" spans="1:17" x14ac:dyDescent="0.3">
      <c r="A119" s="5"/>
      <c r="B119" s="5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Q119" s="3"/>
    </row>
    <row r="120" spans="1:17" x14ac:dyDescent="0.3">
      <c r="A120" s="5"/>
      <c r="B120" s="5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Q120" s="3"/>
    </row>
    <row r="121" spans="1:17" s="15" customFormat="1" ht="15" thickBot="1" x14ac:dyDescent="0.35">
      <c r="A121" s="6"/>
      <c r="B121" s="17" t="s">
        <v>294</v>
      </c>
      <c r="C121" s="17"/>
      <c r="D121" s="7">
        <f t="shared" ref="D121:O121" si="6">IFERROR(SUM(D117:D120), 0)</f>
        <v>-337054.51527534315</v>
      </c>
      <c r="E121" s="7">
        <f t="shared" si="6"/>
        <v>-450238.91104172153</v>
      </c>
      <c r="F121" s="7">
        <f t="shared" si="6"/>
        <v>36812.048707123853</v>
      </c>
      <c r="G121" s="7">
        <f t="shared" si="6"/>
        <v>92934.727873466152</v>
      </c>
      <c r="H121" s="7">
        <f t="shared" si="6"/>
        <v>-165119.47478189247</v>
      </c>
      <c r="I121" s="7">
        <f t="shared" si="6"/>
        <v>-116057.47300719886</v>
      </c>
      <c r="J121" s="7">
        <f t="shared" si="6"/>
        <v>-304607.20964262134</v>
      </c>
      <c r="K121" s="7">
        <f t="shared" si="6"/>
        <v>188342.06109024025</v>
      </c>
      <c r="L121" s="7">
        <f t="shared" si="6"/>
        <v>120592.62030303142</v>
      </c>
      <c r="M121" s="7">
        <f t="shared" si="6"/>
        <v>37683.458679255069</v>
      </c>
      <c r="N121" s="7">
        <f t="shared" si="6"/>
        <v>-117953.08229265425</v>
      </c>
      <c r="O121" s="7">
        <f t="shared" si="6"/>
        <v>-265771.84347658942</v>
      </c>
      <c r="Q121" s="7">
        <f>IFERROR(SUM(Q117:Q120), 0)</f>
        <v>-1280424.6601899201</v>
      </c>
    </row>
    <row r="122" spans="1:17" ht="15" thickTop="1" x14ac:dyDescent="0.3">
      <c r="A122" s="5"/>
      <c r="C122" s="5"/>
      <c r="D122" s="4">
        <f t="shared" ref="D122:O122" si="7">IFERROR(D121/D10, 0)</f>
        <v>-7.8954602888695575</v>
      </c>
      <c r="E122" s="4">
        <f t="shared" si="7"/>
        <v>-1.3757246559204872</v>
      </c>
      <c r="F122" s="4">
        <f t="shared" si="7"/>
        <v>2.9480274867341224E-2</v>
      </c>
      <c r="G122" s="4">
        <f t="shared" si="7"/>
        <v>5.922321541131445E-2</v>
      </c>
      <c r="H122" s="4">
        <f t="shared" si="7"/>
        <v>-0.18583506723137561</v>
      </c>
      <c r="I122" s="4">
        <f t="shared" si="7"/>
        <v>-0.11921634859594563</v>
      </c>
      <c r="J122" s="4">
        <f t="shared" si="7"/>
        <v>-0.51190273345996939</v>
      </c>
      <c r="K122" s="4">
        <f t="shared" si="7"/>
        <v>0.12360609051631279</v>
      </c>
      <c r="L122" s="4">
        <f t="shared" si="7"/>
        <v>8.2463879023031414E-2</v>
      </c>
      <c r="M122" s="4">
        <f t="shared" si="7"/>
        <v>2.5550013003854573E-2</v>
      </c>
      <c r="N122" s="4">
        <f t="shared" si="7"/>
        <v>-0.13865153857768545</v>
      </c>
      <c r="O122" s="4">
        <f t="shared" si="7"/>
        <v>-3.1424026139399999</v>
      </c>
      <c r="P122" s="18"/>
      <c r="Q122" s="4">
        <f>IFERROR(Q121/Q10, 0)</f>
        <v>-0.11596735728757741</v>
      </c>
    </row>
    <row r="123" spans="1:17" x14ac:dyDescent="0.3">
      <c r="A123" s="5"/>
      <c r="B123" s="30">
        <v>44462.678394675924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Q123" s="11"/>
    </row>
    <row r="124" spans="1:17" x14ac:dyDescent="0.3">
      <c r="A124" s="5"/>
      <c r="B124" s="31" t="s">
        <v>54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Q124" s="11"/>
    </row>
    <row r="125" spans="1:17" x14ac:dyDescent="0.3">
      <c r="A125" s="5"/>
      <c r="B125" s="2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Q125" s="11"/>
    </row>
    <row r="126" spans="1:17" x14ac:dyDescent="0.3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Q12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39997558519241921"/>
    <outlinePr summaryBelow="0" summaryRight="0"/>
    <pageSetUpPr fitToPage="1"/>
  </sheetPr>
  <dimension ref="A2:R120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53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19702.309999999998</v>
      </c>
      <c r="E10" s="3">
        <f>SUM(OSRRefE11x_0)</f>
        <v>57548</v>
      </c>
      <c r="F10" s="3">
        <f>SUM(OSRRefE11x_1)</f>
        <v>161242</v>
      </c>
      <c r="G10" s="3">
        <f>SUM(OSRRefE11x_2)</f>
        <v>209782</v>
      </c>
      <c r="H10" s="3">
        <f>SUM(OSRRefE11x_3)</f>
        <v>107003</v>
      </c>
      <c r="I10" s="3">
        <f>SUM(OSRRefE11x_4)</f>
        <v>109391</v>
      </c>
      <c r="J10" s="3">
        <f>SUM(OSRRefE11x_5)</f>
        <v>186955</v>
      </c>
      <c r="K10" s="3">
        <f>SUM(OSRRefE11x_6)</f>
        <v>491350</v>
      </c>
      <c r="L10" s="3">
        <f>SUM(OSRRefE11x_7)</f>
        <v>466183</v>
      </c>
      <c r="M10" s="3">
        <f>SUM(OSRRefE11x_8)</f>
        <v>470329</v>
      </c>
      <c r="N10" s="3">
        <f>SUM(OSRRefE11x_9)</f>
        <v>288686</v>
      </c>
      <c r="O10" s="3">
        <f>SUM(OSRRefE11x_10)</f>
        <v>97601</v>
      </c>
      <c r="P10" s="24"/>
      <c r="Q10" s="3">
        <f>SUM(OSRRefG11x)</f>
        <v>2665772.31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0</f>
        <v>0</v>
      </c>
      <c r="E11" s="2">
        <v>16770</v>
      </c>
      <c r="F11" s="2">
        <v>44736</v>
      </c>
      <c r="G11" s="2">
        <v>57948</v>
      </c>
      <c r="H11" s="2">
        <v>29503</v>
      </c>
      <c r="I11" s="2">
        <v>30046</v>
      </c>
      <c r="J11" s="2">
        <v>76065</v>
      </c>
      <c r="K11" s="2">
        <v>188725</v>
      </c>
      <c r="L11" s="2">
        <v>179925</v>
      </c>
      <c r="M11" s="2">
        <v>188013</v>
      </c>
      <c r="N11" s="2">
        <v>116046</v>
      </c>
      <c r="O11" s="2">
        <v>41892</v>
      </c>
      <c r="Q11" s="2">
        <f>SUM(OSRRefD11_0x)+IFERROR(SUM(OSRRefE11_0x),0)</f>
        <v>969669</v>
      </c>
    </row>
    <row r="12" spans="1:18" s="9" customFormat="1" hidden="1" outlineLevel="1" x14ac:dyDescent="0.3">
      <c r="A12" s="22"/>
      <c r="B12" s="10" t="str">
        <f>CONCATENATE("          ","4051", " - ","TAXABLE SALES-FOOD")</f>
        <v xml:space="preserve">          4051 - TAXABLE SALES-FOOD</v>
      </c>
      <c r="C12" s="23"/>
      <c r="D12" s="2">
        <f>--10630.93</f>
        <v>10630.93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10630.93</v>
      </c>
    </row>
    <row r="13" spans="1:18" s="9" customFormat="1" hidden="1" outlineLevel="1" x14ac:dyDescent="0.3">
      <c r="A13" s="22"/>
      <c r="B13" s="10" t="str">
        <f>CONCATENATE("          ","4100", " - ","NON-TAXABLE SALES")</f>
        <v xml:space="preserve">          4100 - NON-TAXABLE SALES</v>
      </c>
      <c r="C13" s="23"/>
      <c r="D13" s="2">
        <f>0</f>
        <v>0</v>
      </c>
      <c r="E13" s="2">
        <v>40778</v>
      </c>
      <c r="F13" s="2">
        <v>116506</v>
      </c>
      <c r="G13" s="2">
        <v>151834</v>
      </c>
      <c r="H13" s="2">
        <v>77500</v>
      </c>
      <c r="I13" s="2">
        <v>79345</v>
      </c>
      <c r="J13" s="2">
        <v>110890</v>
      </c>
      <c r="K13" s="2">
        <v>302625</v>
      </c>
      <c r="L13" s="2">
        <v>286258</v>
      </c>
      <c r="M13" s="2">
        <v>282316</v>
      </c>
      <c r="N13" s="2">
        <v>172640</v>
      </c>
      <c r="O13" s="2">
        <v>55709</v>
      </c>
      <c r="Q13" s="2">
        <f>SUM(OSRRefD11_2x)+IFERROR(SUM(OSRRefE11_2x),0)</f>
        <v>1676401</v>
      </c>
    </row>
    <row r="14" spans="1:18" s="9" customFormat="1" hidden="1" outlineLevel="1" x14ac:dyDescent="0.3">
      <c r="A14" s="22"/>
      <c r="B14" s="10" t="str">
        <f>CONCATENATE("          ","4151", " - ","NON-TAXABLE SALES-FOOD")</f>
        <v xml:space="preserve">          4151 - NON-TAXABLE SALES-FOOD</v>
      </c>
      <c r="C14" s="23"/>
      <c r="D14" s="2">
        <f>--9071.38</f>
        <v>9071.3799999999992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9071.3799999999992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5059.3799999999992</v>
      </c>
      <c r="E16" s="3">
        <f>SUM(OSRRefE14x_0)</f>
        <v>23246</v>
      </c>
      <c r="F16" s="3">
        <f>SUM(OSRRefE14x_1)</f>
        <v>62417</v>
      </c>
      <c r="G16" s="3">
        <f>SUM(OSRRefE14x_2)</f>
        <v>77445</v>
      </c>
      <c r="H16" s="3">
        <f>SUM(OSRRefE14x_3)</f>
        <v>40506</v>
      </c>
      <c r="I16" s="3">
        <f>SUM(OSRRefE14x_4)</f>
        <v>41055</v>
      </c>
      <c r="J16" s="3">
        <f>SUM(OSRRefE14x_5)</f>
        <v>69497</v>
      </c>
      <c r="K16" s="3">
        <f>SUM(OSRRefE14x_6)</f>
        <v>181056</v>
      </c>
      <c r="L16" s="3">
        <f>SUM(OSRRefE14x_7)</f>
        <v>173217</v>
      </c>
      <c r="M16" s="3">
        <f>SUM(OSRRefE14x_8)</f>
        <v>174655</v>
      </c>
      <c r="N16" s="3">
        <f>SUM(OSRRefE14x_9)</f>
        <v>106228</v>
      </c>
      <c r="O16" s="3">
        <f>SUM(OSRRefE14x_10)</f>
        <v>33858</v>
      </c>
      <c r="Q16" s="3">
        <f>SUM(OSRRefG14x)</f>
        <v>988239.38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/>
      <c r="E17" s="2">
        <v>23246</v>
      </c>
      <c r="F17" s="2">
        <v>62417</v>
      </c>
      <c r="G17" s="2">
        <v>77445</v>
      </c>
      <c r="H17" s="2">
        <v>40506</v>
      </c>
      <c r="I17" s="2">
        <v>41055</v>
      </c>
      <c r="J17" s="2">
        <v>69497</v>
      </c>
      <c r="K17" s="2">
        <v>181056</v>
      </c>
      <c r="L17" s="2">
        <v>173217</v>
      </c>
      <c r="M17" s="2">
        <v>174655</v>
      </c>
      <c r="N17" s="2">
        <v>106228</v>
      </c>
      <c r="O17" s="2">
        <v>33858</v>
      </c>
      <c r="Q17" s="2">
        <f>SUM(OSRRefD14_0x)+IFERROR(SUM(OSRRefE14_0x),0)</f>
        <v>983180</v>
      </c>
    </row>
    <row r="18" spans="1:17" s="9" customFormat="1" hidden="1" outlineLevel="1" x14ac:dyDescent="0.3">
      <c r="A18" s="22"/>
      <c r="B18" s="10" t="str">
        <f>CONCATENATE("          ","5053", " - ","PURCHASES @ COST-FOOD")</f>
        <v xml:space="preserve">          5053 - PURCHASES @ COST-FOOD</v>
      </c>
      <c r="C18" s="23"/>
      <c r="D18" s="2">
        <v>8224.3799999999992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8224.3799999999992</v>
      </c>
    </row>
    <row r="19" spans="1:17" s="9" customFormat="1" hidden="1" outlineLevel="1" x14ac:dyDescent="0.3">
      <c r="A19" s="22"/>
      <c r="B19" s="10" t="str">
        <f>CONCATENATE("          ","5059", " - ","PURCHASES @ COST-FOOD")</f>
        <v xml:space="preserve">          5059 - PURCHASES @ COST-FOOD</v>
      </c>
      <c r="C19" s="23"/>
      <c r="D19" s="2">
        <v>-3165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-3165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105</v>
      </c>
      <c r="C21" s="17"/>
      <c r="D21" s="8">
        <f t="shared" ref="D21:O21" si="0">IFERROR(+D10-D16, 0)</f>
        <v>14642.929999999998</v>
      </c>
      <c r="E21" s="8">
        <f t="shared" si="0"/>
        <v>34302</v>
      </c>
      <c r="F21" s="8">
        <f t="shared" si="0"/>
        <v>98825</v>
      </c>
      <c r="G21" s="8">
        <f t="shared" si="0"/>
        <v>132337</v>
      </c>
      <c r="H21" s="8">
        <f t="shared" si="0"/>
        <v>66497</v>
      </c>
      <c r="I21" s="8">
        <f t="shared" si="0"/>
        <v>68336</v>
      </c>
      <c r="J21" s="8">
        <f t="shared" si="0"/>
        <v>117458</v>
      </c>
      <c r="K21" s="8">
        <f t="shared" si="0"/>
        <v>310294</v>
      </c>
      <c r="L21" s="8">
        <f t="shared" si="0"/>
        <v>292966</v>
      </c>
      <c r="M21" s="8">
        <f t="shared" si="0"/>
        <v>295674</v>
      </c>
      <c r="N21" s="8">
        <f t="shared" si="0"/>
        <v>182458</v>
      </c>
      <c r="O21" s="8">
        <f t="shared" si="0"/>
        <v>63743</v>
      </c>
      <c r="Q21" s="8">
        <f>IFERROR(+Q10-Q16, 0)</f>
        <v>1677532.9300000002</v>
      </c>
    </row>
    <row r="22" spans="1:17" s="6" customFormat="1" x14ac:dyDescent="0.3">
      <c r="B22" s="16"/>
      <c r="C22" s="16"/>
      <c r="D22" s="4">
        <f t="shared" ref="D22:O22" si="1">IFERROR(D21/D10, 0)</f>
        <v>0.74320879125341144</v>
      </c>
      <c r="E22" s="4">
        <f t="shared" si="1"/>
        <v>0.59605894210050736</v>
      </c>
      <c r="F22" s="4">
        <f t="shared" si="1"/>
        <v>0.61289862442787857</v>
      </c>
      <c r="G22" s="4">
        <f t="shared" si="1"/>
        <v>0.63083105318854815</v>
      </c>
      <c r="H22" s="4">
        <f t="shared" si="1"/>
        <v>0.62144986589161055</v>
      </c>
      <c r="I22" s="4">
        <f t="shared" si="1"/>
        <v>0.62469490177436904</v>
      </c>
      <c r="J22" s="4">
        <f t="shared" si="1"/>
        <v>0.62826883474632933</v>
      </c>
      <c r="K22" s="4">
        <f t="shared" si="1"/>
        <v>0.63151317797903739</v>
      </c>
      <c r="L22" s="4">
        <f t="shared" si="1"/>
        <v>0.62843561434029127</v>
      </c>
      <c r="M22" s="4">
        <f t="shared" si="1"/>
        <v>0.62865355952960589</v>
      </c>
      <c r="N22" s="4">
        <f t="shared" si="1"/>
        <v>0.63202926362899481</v>
      </c>
      <c r="O22" s="4">
        <f t="shared" si="1"/>
        <v>0.6530978166207313</v>
      </c>
      <c r="P22" s="18"/>
      <c r="Q22" s="4">
        <f>IFERROR(Q21/Q10, 0)</f>
        <v>0.62928590101530468</v>
      </c>
    </row>
    <row r="23" spans="1:17" x14ac:dyDescent="0.3">
      <c r="A23" s="5"/>
      <c r="B23" s="6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</row>
    <row r="24" spans="1:17" s="15" customFormat="1" x14ac:dyDescent="0.3">
      <c r="A24" s="6"/>
      <c r="B24" s="16" t="s">
        <v>255</v>
      </c>
      <c r="C24" s="6"/>
      <c r="D24" s="13">
        <f>SUM(OSRRefD20x_0)</f>
        <v>157781.03</v>
      </c>
      <c r="E24" s="13">
        <f>SUM(OSRRefE20x_0)</f>
        <v>201959.35008351071</v>
      </c>
      <c r="F24" s="13">
        <f>SUM(OSRRefE20x_1)</f>
        <v>215337.979860369</v>
      </c>
      <c r="G24" s="13">
        <f>SUM(OSRRefE20x_2)</f>
        <v>246031.21843376342</v>
      </c>
      <c r="H24" s="13">
        <f>SUM(OSRRefE20x_3)</f>
        <v>188748.065009276</v>
      </c>
      <c r="I24" s="13">
        <f>SUM(OSRRefE20x_4)</f>
        <v>191543.58750321431</v>
      </c>
      <c r="J24" s="13">
        <f>SUM(OSRRefE20x_5)</f>
        <v>239580.14211380022</v>
      </c>
      <c r="K24" s="13">
        <f>SUM(OSRRefE20x_6)</f>
        <v>261242.54424581071</v>
      </c>
      <c r="L24" s="13">
        <f>SUM(OSRRefE20x_7)</f>
        <v>252316.35161258292</v>
      </c>
      <c r="M24" s="13">
        <f>SUM(OSRRefE20x_8)</f>
        <v>278899.65717729251</v>
      </c>
      <c r="N24" s="13">
        <f>SUM(OSRRefE20x_9)</f>
        <v>225207.18999382033</v>
      </c>
      <c r="O24" s="13">
        <f>SUM(OSRRefE20x_10)</f>
        <v>190751.17827967141</v>
      </c>
      <c r="Q24" s="13">
        <f>SUM(OSRRefG20x)</f>
        <v>2649398.2943131118</v>
      </c>
    </row>
    <row r="25" spans="1:17" s="34" customFormat="1" collapsed="1" x14ac:dyDescent="0.3">
      <c r="A25" s="35"/>
      <c r="B25" s="14" t="str">
        <f>CONCATENATE("     ","*Benefits                                         ")</f>
        <v xml:space="preserve">     *Benefits                                         </v>
      </c>
      <c r="C25" s="14"/>
      <c r="D25" s="1">
        <f>SUM(OSRRefD21_0x_0)</f>
        <v>25335.059999999998</v>
      </c>
      <c r="E25" s="1">
        <f>SUM(OSRRefE21_0x_0)</f>
        <v>31858.551152741507</v>
      </c>
      <c r="F25" s="1">
        <f>SUM(OSRRefE21_0x_1)</f>
        <v>31864.948089599802</v>
      </c>
      <c r="G25" s="1">
        <f>SUM(OSRRefE21_0x_2)</f>
        <v>38162.2535203019</v>
      </c>
      <c r="H25" s="1">
        <f>SUM(OSRRefE21_0x_3)</f>
        <v>28890.489038506807</v>
      </c>
      <c r="I25" s="1">
        <f>SUM(OSRRefE21_0x_4)</f>
        <v>28083.884492445104</v>
      </c>
      <c r="J25" s="1">
        <f>SUM(OSRRefE21_0x_5)</f>
        <v>36494.5882603387</v>
      </c>
      <c r="K25" s="1">
        <f>SUM(OSRRefE21_0x_6)</f>
        <v>36582.080615041501</v>
      </c>
      <c r="L25" s="1">
        <f>SUM(OSRRefE21_0x_7)</f>
        <v>35139.274791813703</v>
      </c>
      <c r="M25" s="1">
        <f>SUM(OSRRefE21_0x_8)</f>
        <v>41051.309123831015</v>
      </c>
      <c r="N25" s="1">
        <f>SUM(OSRRefE21_0x_9)</f>
        <v>34553.407043051106</v>
      </c>
      <c r="O25" s="1">
        <f>SUM(OSRRefE21_0x_10)</f>
        <v>33958.759708902202</v>
      </c>
      <c r="Q25" s="2">
        <f>SUM(OSRRefD20_0x)+IFERROR(SUM(OSRRefE20_0x),0)</f>
        <v>401974.60583657335</v>
      </c>
    </row>
    <row r="26" spans="1:17" s="34" customFormat="1" hidden="1" outlineLevel="1" x14ac:dyDescent="0.3">
      <c r="A26" s="35"/>
      <c r="B26" s="10" t="str">
        <f>CONCATENATE("          ","6111", " - ","F.I.C.A.")</f>
        <v xml:space="preserve">          6111 - F.I.C.A.</v>
      </c>
      <c r="C26" s="14"/>
      <c r="D26" s="2">
        <v>3198.56</v>
      </c>
      <c r="E26" s="2">
        <v>4425.1458465876904</v>
      </c>
      <c r="F26" s="2">
        <v>4011.17687775369</v>
      </c>
      <c r="G26" s="2">
        <v>5118.4525126096196</v>
      </c>
      <c r="H26" s="2">
        <v>3617.0329135836901</v>
      </c>
      <c r="I26" s="2">
        <v>3382.7132218296902</v>
      </c>
      <c r="J26" s="2">
        <v>4927.7971654156199</v>
      </c>
      <c r="K26" s="2">
        <v>4599.6273588876902</v>
      </c>
      <c r="L26" s="2">
        <v>4317.6108038136899</v>
      </c>
      <c r="M26" s="2">
        <v>5554.4906212156202</v>
      </c>
      <c r="N26" s="2">
        <v>4355.0965294356902</v>
      </c>
      <c r="O26" s="2">
        <v>4138.6021593636897</v>
      </c>
      <c r="P26" s="9"/>
      <c r="Q26" s="2">
        <f>SUM(OSRRefD21_0_0x)+IFERROR(SUM(OSRRefE21_0_0x),0)</f>
        <v>51646.306010496373</v>
      </c>
    </row>
    <row r="27" spans="1:17" s="34" customFormat="1" hidden="1" outlineLevel="1" x14ac:dyDescent="0.3">
      <c r="A27" s="35"/>
      <c r="B27" s="10" t="str">
        <f>CONCATENATE("          ","6112", " - ","COMPENSATION INSURANCE")</f>
        <v xml:space="preserve">          6112 - COMPENSATION INSURANCE</v>
      </c>
      <c r="C27" s="14"/>
      <c r="D27" s="2">
        <v>1106.6199999999999</v>
      </c>
      <c r="E27" s="2">
        <v>2938.5146588615398</v>
      </c>
      <c r="F27" s="2">
        <v>3302.2319462415398</v>
      </c>
      <c r="G27" s="2">
        <v>4259.2834048269197</v>
      </c>
      <c r="H27" s="2">
        <v>2745.3600831415401</v>
      </c>
      <c r="I27" s="2">
        <v>2715.7297949215399</v>
      </c>
      <c r="J27" s="2">
        <v>3807.3566114069199</v>
      </c>
      <c r="K27" s="2">
        <v>4396.9125333615402</v>
      </c>
      <c r="L27" s="2">
        <v>4111.9884515415397</v>
      </c>
      <c r="M27" s="2">
        <v>4975.9375444069301</v>
      </c>
      <c r="N27" s="2">
        <v>3585.4897962515402</v>
      </c>
      <c r="O27" s="2">
        <v>2769.4188515415399</v>
      </c>
      <c r="P27" s="9"/>
      <c r="Q27" s="2">
        <f>SUM(OSRRefD21_0_1x)+IFERROR(SUM(OSRRefE21_0_1x),0)</f>
        <v>40714.843676503093</v>
      </c>
    </row>
    <row r="28" spans="1:17" s="34" customFormat="1" hidden="1" outlineLevel="1" x14ac:dyDescent="0.3">
      <c r="A28" s="35"/>
      <c r="B28" s="10" t="str">
        <f>CONCATENATE("          ","6113", " - ","GROUP INSURANCE")</f>
        <v xml:space="preserve">          6113 - GROUP INSURANCE</v>
      </c>
      <c r="C28" s="14"/>
      <c r="D28" s="2">
        <v>11932.59</v>
      </c>
      <c r="E28" s="2">
        <v>15445.461538461501</v>
      </c>
      <c r="F28" s="2">
        <v>15077.1538461538</v>
      </c>
      <c r="G28" s="2">
        <v>17133.0769230769</v>
      </c>
      <c r="H28" s="2">
        <v>13534.3807692308</v>
      </c>
      <c r="I28" s="2">
        <v>13119.123076923101</v>
      </c>
      <c r="J28" s="2">
        <v>16033.7076923077</v>
      </c>
      <c r="K28" s="2">
        <v>16827.461538461499</v>
      </c>
      <c r="L28" s="2">
        <v>16033.7076923077</v>
      </c>
      <c r="M28" s="2">
        <v>17685</v>
      </c>
      <c r="N28" s="2">
        <v>16553.723076923099</v>
      </c>
      <c r="O28" s="2">
        <v>17475.0461538462</v>
      </c>
      <c r="P28" s="9"/>
      <c r="Q28" s="2">
        <f>SUM(OSRRefD21_0_2x)+IFERROR(SUM(OSRRefE21_0_2x),0)</f>
        <v>186850.4323076923</v>
      </c>
    </row>
    <row r="29" spans="1:17" s="34" customFormat="1" hidden="1" outlineLevel="1" x14ac:dyDescent="0.3">
      <c r="A29" s="35"/>
      <c r="B29" s="10" t="str">
        <f>CONCATENATE("          ","6114", " - ","STATE UNEMPLOYMENT INSURANCE")</f>
        <v xml:space="preserve">          6114 - STATE UNEMPLOYMENT INSURANCE</v>
      </c>
      <c r="C29" s="14"/>
      <c r="D29" s="2">
        <v>108.7</v>
      </c>
      <c r="E29" s="2">
        <v>162.820073446154</v>
      </c>
      <c r="F29" s="2">
        <v>182.973274066154</v>
      </c>
      <c r="G29" s="2">
        <v>236.00251055769201</v>
      </c>
      <c r="H29" s="2">
        <v>152.11757716615401</v>
      </c>
      <c r="I29" s="2">
        <v>150.47579338615401</v>
      </c>
      <c r="J29" s="2">
        <v>210.961711977692</v>
      </c>
      <c r="K29" s="2">
        <v>243.62839894615399</v>
      </c>
      <c r="L29" s="2">
        <v>227.84104876615399</v>
      </c>
      <c r="M29" s="2">
        <v>275.711578977692</v>
      </c>
      <c r="N29" s="2">
        <v>198.66830005615401</v>
      </c>
      <c r="O29" s="2">
        <v>153.45064876615399</v>
      </c>
      <c r="P29" s="9"/>
      <c r="Q29" s="2">
        <f>SUM(OSRRefD21_0_3x)+IFERROR(SUM(OSRRefE21_0_3x),0)</f>
        <v>2303.3509161123079</v>
      </c>
    </row>
    <row r="30" spans="1:17" s="34" customFormat="1" hidden="1" outlineLevel="1" x14ac:dyDescent="0.3">
      <c r="A30" s="35"/>
      <c r="B30" s="10" t="str">
        <f>CONCATENATE("          ","6115", " - ","P.E.R.S.")</f>
        <v xml:space="preserve">          6115 - P.E.R.S.</v>
      </c>
      <c r="C30" s="14"/>
      <c r="D30" s="2">
        <v>2989.03</v>
      </c>
      <c r="E30" s="2">
        <v>2746.7421584615399</v>
      </c>
      <c r="F30" s="2">
        <v>2746.7421584615399</v>
      </c>
      <c r="G30" s="2">
        <v>3433.42769807693</v>
      </c>
      <c r="H30" s="2">
        <v>2746.7421584615399</v>
      </c>
      <c r="I30" s="2">
        <v>2746.7421584615399</v>
      </c>
      <c r="J30" s="2">
        <v>3998.9636980769301</v>
      </c>
      <c r="K30" s="2">
        <v>3199.1709584615401</v>
      </c>
      <c r="L30" s="2">
        <v>3199.1709584615401</v>
      </c>
      <c r="M30" s="2">
        <v>3998.9636980769301</v>
      </c>
      <c r="N30" s="2">
        <v>3199.1709584615401</v>
      </c>
      <c r="O30" s="2">
        <v>3199.1709584615401</v>
      </c>
      <c r="P30" s="9"/>
      <c r="Q30" s="2">
        <f>SUM(OSRRefD21_0_4x)+IFERROR(SUM(OSRRefE21_0_4x),0)</f>
        <v>38204.037561923098</v>
      </c>
    </row>
    <row r="31" spans="1:17" s="34" customFormat="1" hidden="1" outlineLevel="1" x14ac:dyDescent="0.3">
      <c r="A31" s="35"/>
      <c r="B31" s="10" t="str">
        <f>CONCATENATE("          ","6116", " - ","EDUCATIONAL BENEFITS")</f>
        <v xml:space="preserve">          6116 - EDUCATIONAL BENEFITS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SUM(OSRRefD21_0_5x)+IFERROR(SUM(OSRRefE21_0_5x),0)</f>
        <v>0</v>
      </c>
    </row>
    <row r="32" spans="1:17" s="34" customFormat="1" hidden="1" outlineLevel="1" x14ac:dyDescent="0.3">
      <c r="A32" s="35"/>
      <c r="B32" s="10" t="str">
        <f>CONCATENATE("          ","6118", " - ","VACATION")</f>
        <v xml:space="preserve">          6118 - VACATION</v>
      </c>
      <c r="C32" s="14"/>
      <c r="D32" s="2">
        <v>2954.94</v>
      </c>
      <c r="E32" s="2">
        <v>2525.4443184615402</v>
      </c>
      <c r="F32" s="2">
        <v>2505.8659344615398</v>
      </c>
      <c r="G32" s="2">
        <v>3156.80539807692</v>
      </c>
      <c r="H32" s="2">
        <v>2423.0940144615402</v>
      </c>
      <c r="I32" s="2">
        <v>2400.6637104615402</v>
      </c>
      <c r="J32" s="2">
        <v>3235.7892540769199</v>
      </c>
      <c r="K32" s="2">
        <v>2698.4747184615399</v>
      </c>
      <c r="L32" s="2">
        <v>2654.76409446154</v>
      </c>
      <c r="M32" s="2">
        <v>3326.9340540769199</v>
      </c>
      <c r="N32" s="2">
        <v>2683.4795664615399</v>
      </c>
      <c r="O32" s="2">
        <v>2734.63729446154</v>
      </c>
      <c r="P32" s="9"/>
      <c r="Q32" s="2">
        <f>SUM(OSRRefD21_0_6x)+IFERROR(SUM(OSRRefE21_0_6x),0)</f>
        <v>33300.892357923083</v>
      </c>
    </row>
    <row r="33" spans="1:17" s="34" customFormat="1" hidden="1" outlineLevel="1" x14ac:dyDescent="0.3">
      <c r="A33" s="35"/>
      <c r="B33" s="10" t="str">
        <f>CONCATENATE("          ","6119", " - ","SICK LEAVE")</f>
        <v xml:space="preserve">          6119 - SICK LEAVE</v>
      </c>
      <c r="C33" s="14"/>
      <c r="D33" s="2">
        <v>1898.78</v>
      </c>
      <c r="E33" s="2">
        <v>1653.4225584615399</v>
      </c>
      <c r="F33" s="2">
        <v>1917.8040524615401</v>
      </c>
      <c r="G33" s="2">
        <v>2480.2050730769201</v>
      </c>
      <c r="H33" s="2">
        <v>1550.7615224615399</v>
      </c>
      <c r="I33" s="2">
        <v>1543.43673646154</v>
      </c>
      <c r="J33" s="2">
        <v>2135.01212707692</v>
      </c>
      <c r="K33" s="2">
        <v>2655.8051084615399</v>
      </c>
      <c r="L33" s="2">
        <v>2473.1917424615399</v>
      </c>
      <c r="M33" s="2">
        <v>2889.2716270769201</v>
      </c>
      <c r="N33" s="2">
        <v>2016.77881546154</v>
      </c>
      <c r="O33" s="2">
        <v>1543.4336424615401</v>
      </c>
      <c r="P33" s="9"/>
      <c r="Q33" s="2">
        <f>SUM(OSRRefD21_0_7x)+IFERROR(SUM(OSRRefE21_0_7x),0)</f>
        <v>24757.903005923079</v>
      </c>
    </row>
    <row r="34" spans="1:17" s="34" customFormat="1" hidden="1" outlineLevel="1" x14ac:dyDescent="0.3">
      <c r="A34" s="35"/>
      <c r="B34" s="10" t="str">
        <f>CONCATENATE("          ","6156", " - ","EMPLOYEE MEALS")</f>
        <v xml:space="preserve">          6156 - EMPLOYEE MEALS</v>
      </c>
      <c r="C34" s="14"/>
      <c r="D34" s="2">
        <v>1145.8399999999999</v>
      </c>
      <c r="E34" s="2">
        <v>1961</v>
      </c>
      <c r="F34" s="2">
        <v>2121</v>
      </c>
      <c r="G34" s="2">
        <v>2345</v>
      </c>
      <c r="H34" s="2">
        <v>2121</v>
      </c>
      <c r="I34" s="2">
        <v>2025</v>
      </c>
      <c r="J34" s="2">
        <v>2145</v>
      </c>
      <c r="K34" s="2">
        <v>1961</v>
      </c>
      <c r="L34" s="2">
        <v>2121</v>
      </c>
      <c r="M34" s="2">
        <v>2345</v>
      </c>
      <c r="N34" s="2">
        <v>1961</v>
      </c>
      <c r="O34" s="2">
        <v>1945</v>
      </c>
      <c r="P34" s="9"/>
      <c r="Q34" s="2">
        <f>SUM(OSRRefD21_0_8x)+IFERROR(SUM(OSRRefE21_0_8x),0)</f>
        <v>24196.84</v>
      </c>
    </row>
    <row r="35" spans="1:17" s="34" customFormat="1" collapsed="1" x14ac:dyDescent="0.3">
      <c r="A35" s="35"/>
      <c r="B35" s="14" t="str">
        <f>CONCATENATE("     ","*Payroll                                          ")</f>
        <v xml:space="preserve">     *Payroll                                          </v>
      </c>
      <c r="C35" s="14"/>
      <c r="D35" s="1">
        <f>SUM(OSRRefD21_1x_0)</f>
        <v>52602.950000000004</v>
      </c>
      <c r="E35" s="1">
        <f>SUM(OSRRefE21_1x_0)</f>
        <v>73426.548930769204</v>
      </c>
      <c r="F35" s="1">
        <f>SUM(OSRRefE21_1x_1)</f>
        <v>82793.531770769201</v>
      </c>
      <c r="G35" s="1">
        <f>SUM(OSRRefE21_1x_2)</f>
        <v>106860.46491346152</v>
      </c>
      <c r="H35" s="1">
        <f>SUM(OSRRefE21_1x_3)</f>
        <v>68527.075970769205</v>
      </c>
      <c r="I35" s="1">
        <f>SUM(OSRRefE21_1x_4)</f>
        <v>67770.703010769197</v>
      </c>
      <c r="J35" s="1">
        <f>SUM(OSRRefE21_1x_5)</f>
        <v>95183.053853461504</v>
      </c>
      <c r="K35" s="1">
        <f>SUM(OSRRefE21_1x_6)</f>
        <v>110778.4636307692</v>
      </c>
      <c r="L35" s="1">
        <f>SUM(OSRRefE21_1x_7)</f>
        <v>103472.8268207692</v>
      </c>
      <c r="M35" s="1">
        <f>SUM(OSRRefE21_1x_8)</f>
        <v>125241.09805346149</v>
      </c>
      <c r="N35" s="1">
        <f>SUM(OSRRefE21_1x_9)</f>
        <v>90023.782950769208</v>
      </c>
      <c r="O35" s="1">
        <f>SUM(OSRRefE21_1x_10)</f>
        <v>68818.918570769194</v>
      </c>
      <c r="Q35" s="2">
        <f>SUM(OSRRefD20_1x)+IFERROR(SUM(OSRRefE20_1x),0)</f>
        <v>1045499.4184765383</v>
      </c>
    </row>
    <row r="36" spans="1:17" s="34" customFormat="1" hidden="1" outlineLevel="1" x14ac:dyDescent="0.3">
      <c r="A36" s="35"/>
      <c r="B36" s="10" t="str">
        <f>CONCATENATE("          ","6001", " - ","ADMINISTRATIVE SALARIES")</f>
        <v xml:space="preserve">          6001 - ADMINISTRATIVE SALARIES</v>
      </c>
      <c r="C36" s="14"/>
      <c r="D36" s="2">
        <v>13836.28</v>
      </c>
      <c r="E36" s="2">
        <v>10268.307692307701</v>
      </c>
      <c r="F36" s="2">
        <v>10268.307692307701</v>
      </c>
      <c r="G36" s="2">
        <v>12835.384615384601</v>
      </c>
      <c r="H36" s="2">
        <v>10268.307692307701</v>
      </c>
      <c r="I36" s="2">
        <v>10268.307692307701</v>
      </c>
      <c r="J36" s="2">
        <v>12835.384615384601</v>
      </c>
      <c r="K36" s="2">
        <v>10268.307692307701</v>
      </c>
      <c r="L36" s="2">
        <v>10268.307692307701</v>
      </c>
      <c r="M36" s="2">
        <v>12835.384615384601</v>
      </c>
      <c r="N36" s="2">
        <v>10268.307692307701</v>
      </c>
      <c r="O36" s="2">
        <v>10268.307692307701</v>
      </c>
      <c r="P36" s="9"/>
      <c r="Q36" s="2">
        <f>SUM(OSRRefD21_1_0x)+IFERROR(SUM(OSRRefE21_1_0x),0)</f>
        <v>134488.8953846154</v>
      </c>
    </row>
    <row r="37" spans="1:17" s="34" customFormat="1" hidden="1" outlineLevel="1" x14ac:dyDescent="0.3">
      <c r="A37" s="35"/>
      <c r="B37" s="10" t="str">
        <f>CONCATENATE("          ","6002", " - ","STAFF SALARIES")</f>
        <v xml:space="preserve">          6002 - STAFF SALARIES</v>
      </c>
      <c r="C37" s="14"/>
      <c r="D37" s="2">
        <v>23724.02</v>
      </c>
      <c r="E37" s="2">
        <v>18954.873038461501</v>
      </c>
      <c r="F37" s="2">
        <v>18954.873038461501</v>
      </c>
      <c r="G37" s="2">
        <v>23693.591298076899</v>
      </c>
      <c r="H37" s="2">
        <v>18954.873038461501</v>
      </c>
      <c r="I37" s="2">
        <v>18954.873038461501</v>
      </c>
      <c r="J37" s="2">
        <v>29940.7912980769</v>
      </c>
      <c r="K37" s="2">
        <v>23952.633038461499</v>
      </c>
      <c r="L37" s="2">
        <v>23952.633038461499</v>
      </c>
      <c r="M37" s="2">
        <v>29940.7912980769</v>
      </c>
      <c r="N37" s="2">
        <v>23952.633038461499</v>
      </c>
      <c r="O37" s="2">
        <v>23952.633038461499</v>
      </c>
      <c r="P37" s="9"/>
      <c r="Q37" s="2">
        <f>SUM(OSRRefD21_1_1x)+IFERROR(SUM(OSRRefE21_1_1x),0)</f>
        <v>278929.21820192272</v>
      </c>
    </row>
    <row r="38" spans="1:17" s="34" customFormat="1" hidden="1" outlineLevel="1" x14ac:dyDescent="0.3">
      <c r="A38" s="35"/>
      <c r="B38" s="10" t="str">
        <f>CONCATENATE("          ","6003", " - ","STAFF HOURLY-9 MONTH")</f>
        <v xml:space="preserve">          6003 - STAFF HOURLY-9 MONTH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SUM(OSRRefD21_1_2x)+IFERROR(SUM(OSRRefE21_1_2x),0)</f>
        <v>0</v>
      </c>
    </row>
    <row r="39" spans="1:17" s="34" customFormat="1" hidden="1" outlineLevel="1" x14ac:dyDescent="0.3">
      <c r="A39" s="35"/>
      <c r="B39" s="10" t="str">
        <f>CONCATENATE("          ","6004", " - ","STAFF HOURLY")</f>
        <v xml:space="preserve">          6004 - STAFF HOURLY</v>
      </c>
      <c r="C39" s="14"/>
      <c r="D39" s="2">
        <v>7726.26</v>
      </c>
      <c r="E39" s="2">
        <v>18615.868200000001</v>
      </c>
      <c r="F39" s="2">
        <v>18441.686040000001</v>
      </c>
      <c r="G39" s="2">
        <v>24369.579000000002</v>
      </c>
      <c r="H39" s="2">
        <v>13797.22524</v>
      </c>
      <c r="I39" s="2">
        <v>10787.657279999999</v>
      </c>
      <c r="J39" s="2">
        <v>15805.842689999999</v>
      </c>
      <c r="K39" s="2">
        <v>20689.174200000001</v>
      </c>
      <c r="L39" s="2">
        <v>17101.295190000001</v>
      </c>
      <c r="M39" s="2">
        <v>23766.23619</v>
      </c>
      <c r="N39" s="2">
        <v>17104.58022</v>
      </c>
      <c r="O39" s="2">
        <v>16098.45894</v>
      </c>
      <c r="P39" s="9"/>
      <c r="Q39" s="2">
        <f>SUM(OSRRefD21_1_3x)+IFERROR(SUM(OSRRefE21_1_3x),0)</f>
        <v>204303.86319000003</v>
      </c>
    </row>
    <row r="40" spans="1:17" s="34" customFormat="1" hidden="1" outlineLevel="1" x14ac:dyDescent="0.3">
      <c r="A40" s="35"/>
      <c r="B40" s="10" t="str">
        <f>CONCATENATE("          ","6005", " - ","TEMPORARY WAGES-HOURLY")</f>
        <v xml:space="preserve">          6005 - TEMPORARY WAGES-HOURLY</v>
      </c>
      <c r="C40" s="14"/>
      <c r="D40" s="2">
        <v>3353.39</v>
      </c>
      <c r="E40" s="2">
        <v>11127.84</v>
      </c>
      <c r="F40" s="2">
        <v>11698.2</v>
      </c>
      <c r="G40" s="2">
        <v>15478.29</v>
      </c>
      <c r="H40" s="2">
        <v>8507.8700000000008</v>
      </c>
      <c r="I40" s="2">
        <v>9345.9500000000007</v>
      </c>
      <c r="J40" s="2">
        <v>8331.2232999999997</v>
      </c>
      <c r="K40" s="2">
        <v>13448.070299999999</v>
      </c>
      <c r="L40" s="2">
        <v>12499.94865</v>
      </c>
      <c r="M40" s="2">
        <v>12853.3536</v>
      </c>
      <c r="N40" s="2">
        <v>11265.885550000001</v>
      </c>
      <c r="O40" s="2">
        <v>11716.8531</v>
      </c>
      <c r="P40" s="9"/>
      <c r="Q40" s="2">
        <f>SUM(OSRRefD21_1_4x)+IFERROR(SUM(OSRRefE21_1_4x),0)</f>
        <v>129626.87450000002</v>
      </c>
    </row>
    <row r="41" spans="1:17" s="34" customFormat="1" hidden="1" outlineLevel="1" x14ac:dyDescent="0.3">
      <c r="A41" s="35"/>
      <c r="B41" s="10" t="str">
        <f>CONCATENATE("          ","6006", " - ","TEMPORARY PART TIME")</f>
        <v xml:space="preserve">          6006 - TEMPORARY PART TIME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SUM(OSRRefD21_1_5x)+IFERROR(SUM(OSRRefE21_1_5x),0)</f>
        <v>0</v>
      </c>
    </row>
    <row r="42" spans="1:17" s="34" customFormat="1" hidden="1" outlineLevel="1" x14ac:dyDescent="0.3">
      <c r="A42" s="35"/>
      <c r="B42" s="10" t="str">
        <f>CONCATENATE("          ","6007", " - ","STUDENT HOURLY")</f>
        <v xml:space="preserve">          6007 - STUDENT HOURLY</v>
      </c>
      <c r="C42" s="14"/>
      <c r="D42" s="2">
        <v>3963</v>
      </c>
      <c r="E42" s="2">
        <v>6368.71</v>
      </c>
      <c r="F42" s="2">
        <v>1323.08</v>
      </c>
      <c r="G42" s="2">
        <v>1653.85</v>
      </c>
      <c r="H42" s="2">
        <v>992.31</v>
      </c>
      <c r="I42" s="2">
        <v>992.31</v>
      </c>
      <c r="J42" s="2">
        <v>1415.6956</v>
      </c>
      <c r="K42" s="2">
        <v>1415.6956</v>
      </c>
      <c r="L42" s="2">
        <v>1415.6956</v>
      </c>
      <c r="M42" s="2">
        <v>1415.6956</v>
      </c>
      <c r="N42" s="2">
        <v>1895.0555999999999</v>
      </c>
      <c r="O42" s="2">
        <v>0</v>
      </c>
      <c r="P42" s="9"/>
      <c r="Q42" s="2">
        <f>SUM(OSRRefD21_1_6x)+IFERROR(SUM(OSRRefE21_1_6x),0)</f>
        <v>22851.097999999994</v>
      </c>
    </row>
    <row r="43" spans="1:17" s="34" customFormat="1" hidden="1" outlineLevel="1" x14ac:dyDescent="0.3">
      <c r="A43" s="35"/>
      <c r="B43" s="10" t="str">
        <f>CONCATENATE("          ","6008", " - ","STUDENT HOURLY-FICA EXEMPT")</f>
        <v xml:space="preserve">          6008 - STUDENT HOURLY-FICA EXEMPT</v>
      </c>
      <c r="C43" s="14"/>
      <c r="D43" s="2"/>
      <c r="E43" s="2">
        <v>8090.95</v>
      </c>
      <c r="F43" s="2">
        <v>22107.384999999998</v>
      </c>
      <c r="G43" s="2">
        <v>28829.77</v>
      </c>
      <c r="H43" s="2">
        <v>16006.49</v>
      </c>
      <c r="I43" s="2">
        <v>17421.605</v>
      </c>
      <c r="J43" s="2">
        <v>26854.11635</v>
      </c>
      <c r="K43" s="2">
        <v>41004.582799999996</v>
      </c>
      <c r="L43" s="2">
        <v>38234.946649999998</v>
      </c>
      <c r="M43" s="2">
        <v>44429.636749999998</v>
      </c>
      <c r="N43" s="2">
        <v>25537.32085</v>
      </c>
      <c r="O43" s="2">
        <v>6782.6657999999998</v>
      </c>
      <c r="P43" s="9"/>
      <c r="Q43" s="2">
        <f>SUM(OSRRefD21_1_7x)+IFERROR(SUM(OSRRefE21_1_7x),0)</f>
        <v>275299.46919999999</v>
      </c>
    </row>
    <row r="44" spans="1:17" s="34" customFormat="1" hidden="1" outlineLevel="1" x14ac:dyDescent="0.3">
      <c r="A44" s="35"/>
      <c r="B44" s="10" t="str">
        <f>CONCATENATE("          ","6009", " - ","TEMPORARY-SEASONAL")</f>
        <v xml:space="preserve">          6009 - TEMPORARY-SEASONAL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SUM(OSRRefD21_1_8x)+IFERROR(SUM(OSRRefE21_1_8x),0)</f>
        <v>0</v>
      </c>
    </row>
    <row r="45" spans="1:17" s="34" customFormat="1" hidden="1" outlineLevel="1" x14ac:dyDescent="0.3">
      <c r="A45" s="35"/>
      <c r="B45" s="10" t="str">
        <f>CONCATENATE("          ","6010", " - ","GRATUITY")</f>
        <v xml:space="preserve">          6010 - GRATUITY</v>
      </c>
      <c r="C45" s="14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9"/>
      <c r="Q45" s="2">
        <f>SUM(OSRRefD21_1_9x)+IFERROR(SUM(OSRRefE21_1_9x),0)</f>
        <v>0</v>
      </c>
    </row>
    <row r="46" spans="1:17" s="34" customFormat="1" collapsed="1" x14ac:dyDescent="0.3">
      <c r="A46" s="35"/>
      <c r="B46" s="14" t="str">
        <f>CONCATENATE("     ","Advertising/Promo                                 ")</f>
        <v xml:space="preserve">     Advertising/Promo                                 </v>
      </c>
      <c r="C46" s="14"/>
      <c r="D46" s="1">
        <f>SUM(OSRRefD21_2x_0)</f>
        <v>424.79</v>
      </c>
      <c r="E46" s="1">
        <f>SUM(OSRRefE21_2x_0)</f>
        <v>0</v>
      </c>
      <c r="F46" s="1">
        <f>SUM(OSRRefE21_2x_1)</f>
        <v>0</v>
      </c>
      <c r="G46" s="1">
        <f>SUM(OSRRefE21_2x_2)</f>
        <v>0</v>
      </c>
      <c r="H46" s="1">
        <f>SUM(OSRRefE21_2x_3)</f>
        <v>0</v>
      </c>
      <c r="I46" s="1">
        <f>SUM(OSRRefE21_2x_4)</f>
        <v>0</v>
      </c>
      <c r="J46" s="1">
        <f>SUM(OSRRefE21_2x_5)</f>
        <v>0</v>
      </c>
      <c r="K46" s="1">
        <f>SUM(OSRRefE21_2x_6)</f>
        <v>0</v>
      </c>
      <c r="L46" s="1">
        <f>SUM(OSRRefE21_2x_7)</f>
        <v>0</v>
      </c>
      <c r="M46" s="1">
        <f>SUM(OSRRefE21_2x_8)</f>
        <v>0</v>
      </c>
      <c r="N46" s="1">
        <f>SUM(OSRRefE21_2x_9)</f>
        <v>0</v>
      </c>
      <c r="O46" s="1">
        <f>SUM(OSRRefE21_2x_10)</f>
        <v>0</v>
      </c>
      <c r="Q46" s="2">
        <f>SUM(OSRRefD20_2x)+IFERROR(SUM(OSRRefE20_2x),0)</f>
        <v>424.79</v>
      </c>
    </row>
    <row r="47" spans="1:17" s="34" customFormat="1" hidden="1" outlineLevel="1" x14ac:dyDescent="0.3">
      <c r="A47" s="35"/>
      <c r="B47" s="10" t="str">
        <f>CONCATENATE("          ","6362", " - ","ADVERTISING EXPENSE")</f>
        <v xml:space="preserve">          6362 - ADVERTISING EXPENSE</v>
      </c>
      <c r="C47" s="14"/>
      <c r="D47" s="2">
        <v>424.79</v>
      </c>
      <c r="E47" s="2">
        <v>0</v>
      </c>
      <c r="F47" s="2"/>
      <c r="G47" s="2">
        <v>0</v>
      </c>
      <c r="H47" s="2"/>
      <c r="I47" s="2"/>
      <c r="J47" s="2">
        <v>0</v>
      </c>
      <c r="K47" s="2"/>
      <c r="L47" s="2">
        <v>0</v>
      </c>
      <c r="M47" s="2"/>
      <c r="N47" s="2"/>
      <c r="O47" s="2"/>
      <c r="P47" s="9"/>
      <c r="Q47" s="2">
        <f>SUM(OSRRefD21_2_0x)+IFERROR(SUM(OSRRefE21_2_0x),0)</f>
        <v>424.79</v>
      </c>
    </row>
    <row r="48" spans="1:17" s="34" customFormat="1" collapsed="1" x14ac:dyDescent="0.3">
      <c r="A48" s="35"/>
      <c r="B48" s="14" t="str">
        <f>CONCATENATE("     ","Bad Debts/Over/Short                              ")</f>
        <v xml:space="preserve">     Bad Debts/Over/Short                              </v>
      </c>
      <c r="C48" s="14"/>
      <c r="D48" s="1">
        <f>SUM(OSRRefD21_3x_0)</f>
        <v>-19.02</v>
      </c>
      <c r="E48" s="1">
        <f>SUM(OSRRefE21_3x_0)</f>
        <v>10</v>
      </c>
      <c r="F48" s="1">
        <f>SUM(OSRRefE21_3x_1)</f>
        <v>10</v>
      </c>
      <c r="G48" s="1">
        <f>SUM(OSRRefE21_3x_2)</f>
        <v>10</v>
      </c>
      <c r="H48" s="1">
        <f>SUM(OSRRefE21_3x_3)</f>
        <v>0</v>
      </c>
      <c r="I48" s="1">
        <f>SUM(OSRRefE21_3x_4)</f>
        <v>10</v>
      </c>
      <c r="J48" s="1">
        <f>SUM(OSRRefE21_3x_5)</f>
        <v>0</v>
      </c>
      <c r="K48" s="1">
        <f>SUM(OSRRefE21_3x_6)</f>
        <v>10</v>
      </c>
      <c r="L48" s="1">
        <f>SUM(OSRRefE21_3x_7)</f>
        <v>0</v>
      </c>
      <c r="M48" s="1">
        <f>SUM(OSRRefE21_3x_8)</f>
        <v>10</v>
      </c>
      <c r="N48" s="1">
        <f>SUM(OSRRefE21_3x_9)</f>
        <v>0</v>
      </c>
      <c r="O48" s="1">
        <f>SUM(OSRRefE21_3x_10)</f>
        <v>10</v>
      </c>
      <c r="Q48" s="2">
        <f>SUM(OSRRefD20_3x)+IFERROR(SUM(OSRRefE20_3x),0)</f>
        <v>50.980000000000004</v>
      </c>
    </row>
    <row r="49" spans="1:17" s="34" customFormat="1" hidden="1" outlineLevel="1" x14ac:dyDescent="0.3">
      <c r="A49" s="35"/>
      <c r="B49" s="10" t="str">
        <f>CONCATENATE("          ","6272", " - ","CASH (OVER/SHORT)")</f>
        <v xml:space="preserve">          6272 - CASH (OVER/SHORT)</v>
      </c>
      <c r="C49" s="14"/>
      <c r="D49" s="2">
        <v>-19.02</v>
      </c>
      <c r="E49" s="2">
        <v>10</v>
      </c>
      <c r="F49" s="2">
        <v>10</v>
      </c>
      <c r="G49" s="2">
        <v>10</v>
      </c>
      <c r="H49" s="2">
        <v>0</v>
      </c>
      <c r="I49" s="2">
        <v>10</v>
      </c>
      <c r="J49" s="2">
        <v>0</v>
      </c>
      <c r="K49" s="2">
        <v>10</v>
      </c>
      <c r="L49" s="2">
        <v>0</v>
      </c>
      <c r="M49" s="2">
        <v>10</v>
      </c>
      <c r="N49" s="2">
        <v>0</v>
      </c>
      <c r="O49" s="2">
        <v>10</v>
      </c>
      <c r="P49" s="9"/>
      <c r="Q49" s="2">
        <f>SUM(OSRRefD21_3_0x)+IFERROR(SUM(OSRRefE21_3_0x),0)</f>
        <v>50.980000000000004</v>
      </c>
    </row>
    <row r="50" spans="1:17" s="34" customFormat="1" collapsed="1" x14ac:dyDescent="0.3">
      <c r="A50" s="35"/>
      <c r="B50" s="14" t="str">
        <f>CONCATENATE("     ","Bank/card Fees                                    ")</f>
        <v xml:space="preserve">     Bank/card Fees                                    </v>
      </c>
      <c r="C50" s="14"/>
      <c r="D50" s="1">
        <f>SUM(OSRRefD21_4x_0)</f>
        <v>1008.71</v>
      </c>
      <c r="E50" s="1">
        <f>SUM(OSRRefE21_4x_0)</f>
        <v>3221.25</v>
      </c>
      <c r="F50" s="1">
        <f>SUM(OSRRefE21_4x_1)</f>
        <v>7573.5</v>
      </c>
      <c r="G50" s="1">
        <f>SUM(OSRRefE21_4x_2)</f>
        <v>9736.5</v>
      </c>
      <c r="H50" s="1">
        <f>SUM(OSRRefE21_4x_3)</f>
        <v>5495.5</v>
      </c>
      <c r="I50" s="1">
        <f>SUM(OSRRefE21_4x_4)</f>
        <v>5830</v>
      </c>
      <c r="J50" s="1">
        <f>SUM(OSRRefE21_4x_5)</f>
        <v>8832.5</v>
      </c>
      <c r="K50" s="1">
        <f>SUM(OSRRefE21_4x_6)</f>
        <v>22231</v>
      </c>
      <c r="L50" s="1">
        <f>SUM(OSRRefE21_4x_7)</f>
        <v>21087.25</v>
      </c>
      <c r="M50" s="1">
        <f>SUM(OSRRefE21_4x_8)</f>
        <v>21424.25</v>
      </c>
      <c r="N50" s="1">
        <f>SUM(OSRRefE21_4x_9)</f>
        <v>14095</v>
      </c>
      <c r="O50" s="1">
        <f>SUM(OSRRefE21_4x_10)</f>
        <v>5145.5</v>
      </c>
      <c r="Q50" s="2">
        <f>SUM(OSRRefD20_4x)+IFERROR(SUM(OSRRefE20_4x),0)</f>
        <v>125680.96000000001</v>
      </c>
    </row>
    <row r="51" spans="1:17" s="34" customFormat="1" hidden="1" outlineLevel="1" x14ac:dyDescent="0.3">
      <c r="A51" s="35"/>
      <c r="B51" s="10" t="str">
        <f>CONCATENATE("          ","6381", " - ","BANK/CREDIT CARD FEES")</f>
        <v xml:space="preserve">          6381 - BANK/CREDIT CARD FEES</v>
      </c>
      <c r="C51" s="14"/>
      <c r="D51" s="2">
        <v>1008.71</v>
      </c>
      <c r="E51" s="2">
        <v>3221.25</v>
      </c>
      <c r="F51" s="2">
        <v>7573.5</v>
      </c>
      <c r="G51" s="2">
        <v>9736.5</v>
      </c>
      <c r="H51" s="2">
        <v>5495.5</v>
      </c>
      <c r="I51" s="2">
        <v>5830</v>
      </c>
      <c r="J51" s="2">
        <v>8832.5</v>
      </c>
      <c r="K51" s="2">
        <v>22231</v>
      </c>
      <c r="L51" s="2">
        <v>21087.25</v>
      </c>
      <c r="M51" s="2">
        <v>21424.25</v>
      </c>
      <c r="N51" s="2">
        <v>14095</v>
      </c>
      <c r="O51" s="2">
        <v>5145.5</v>
      </c>
      <c r="P51" s="9"/>
      <c r="Q51" s="2">
        <f>SUM(OSRRefD21_4_0x)+IFERROR(SUM(OSRRefE21_4_0x),0)</f>
        <v>125680.96000000001</v>
      </c>
    </row>
    <row r="52" spans="1:17" s="34" customFormat="1" collapsed="1" x14ac:dyDescent="0.3">
      <c r="A52" s="35"/>
      <c r="B52" s="14" t="str">
        <f>CONCATENATE("     ","Depreciation                                      ")</f>
        <v xml:space="preserve">     Depreciation                                      </v>
      </c>
      <c r="C52" s="14"/>
      <c r="D52" s="1">
        <f>SUM(OSRRefD21_5x_0)</f>
        <v>39961.65</v>
      </c>
      <c r="E52" s="1">
        <f>SUM(OSRRefE21_5x_0)</f>
        <v>39961</v>
      </c>
      <c r="F52" s="1">
        <f>SUM(OSRRefE21_5x_1)</f>
        <v>39917</v>
      </c>
      <c r="G52" s="1">
        <f>SUM(OSRRefE21_5x_2)</f>
        <v>39107</v>
      </c>
      <c r="H52" s="1">
        <f>SUM(OSRRefE21_5x_3)</f>
        <v>39107</v>
      </c>
      <c r="I52" s="1">
        <f>SUM(OSRRefE21_5x_4)</f>
        <v>39107</v>
      </c>
      <c r="J52" s="1">
        <f>SUM(OSRRefE21_5x_5)</f>
        <v>39107</v>
      </c>
      <c r="K52" s="1">
        <f>SUM(OSRRefE21_5x_6)</f>
        <v>39107</v>
      </c>
      <c r="L52" s="1">
        <f>SUM(OSRRefE21_5x_7)</f>
        <v>38532</v>
      </c>
      <c r="M52" s="1">
        <f>SUM(OSRRefE21_5x_8)</f>
        <v>38532</v>
      </c>
      <c r="N52" s="1">
        <f>SUM(OSRRefE21_5x_9)</f>
        <v>38532</v>
      </c>
      <c r="O52" s="1">
        <f>SUM(OSRRefE21_5x_10)</f>
        <v>38374</v>
      </c>
      <c r="Q52" s="2">
        <f>SUM(OSRRefD20_5x)+IFERROR(SUM(OSRRefE20_5x),0)</f>
        <v>469344.65</v>
      </c>
    </row>
    <row r="53" spans="1:17" s="34" customFormat="1" hidden="1" outlineLevel="1" x14ac:dyDescent="0.3">
      <c r="A53" s="35"/>
      <c r="B53" s="10" t="str">
        <f>CONCATENATE("          ","6321", " - ","BUILDING DEPRECIATION")</f>
        <v xml:space="preserve">          6321 - BUILDING DEPRECIATION</v>
      </c>
      <c r="C53" s="14"/>
      <c r="D53" s="2">
        <v>28663.98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2">
        <f>SUM(OSRRefD21_5_0x)+IFERROR(SUM(OSRRefE21_5_0x),0)</f>
        <v>28663.98</v>
      </c>
    </row>
    <row r="54" spans="1:17" s="34" customFormat="1" hidden="1" outlineLevel="1" x14ac:dyDescent="0.3">
      <c r="A54" s="35"/>
      <c r="B54" s="10" t="str">
        <f>CONCATENATE("          ","6322", " - ","EQUIPMENT DEPRECIATION EXPENSE")</f>
        <v xml:space="preserve">          6322 - EQUIPMENT DEPRECIATION EXPENSE</v>
      </c>
      <c r="C54" s="14"/>
      <c r="D54" s="2">
        <v>11297.67</v>
      </c>
      <c r="E54" s="2">
        <v>39961</v>
      </c>
      <c r="F54" s="2">
        <v>39917</v>
      </c>
      <c r="G54" s="2">
        <v>39107</v>
      </c>
      <c r="H54" s="2">
        <v>39107</v>
      </c>
      <c r="I54" s="2">
        <v>39107</v>
      </c>
      <c r="J54" s="2">
        <v>39107</v>
      </c>
      <c r="K54" s="2">
        <v>39107</v>
      </c>
      <c r="L54" s="2">
        <v>38532</v>
      </c>
      <c r="M54" s="2">
        <v>38532</v>
      </c>
      <c r="N54" s="2">
        <v>38532</v>
      </c>
      <c r="O54" s="2">
        <v>38374</v>
      </c>
      <c r="P54" s="9"/>
      <c r="Q54" s="2">
        <f>SUM(OSRRefD21_5_1x)+IFERROR(SUM(OSRRefE21_5_1x),0)</f>
        <v>440680.67</v>
      </c>
    </row>
    <row r="55" spans="1:17" s="34" customFormat="1" collapsed="1" x14ac:dyDescent="0.3">
      <c r="A55" s="35"/>
      <c r="B55" s="14" t="str">
        <f>CONCATENATE("     ","Employees' Appreciation                           ")</f>
        <v xml:space="preserve">     Employees' Appreciation                           </v>
      </c>
      <c r="C55" s="14"/>
      <c r="D55" s="1">
        <f>SUM(OSRRefD21_6x_0)</f>
        <v>0</v>
      </c>
      <c r="E55" s="1">
        <f>SUM(OSRRefE21_6x_0)</f>
        <v>40</v>
      </c>
      <c r="F55" s="1">
        <f>SUM(OSRRefE21_6x_1)</f>
        <v>0</v>
      </c>
      <c r="G55" s="1">
        <f>SUM(OSRRefE21_6x_2)</f>
        <v>40</v>
      </c>
      <c r="H55" s="1">
        <f>SUM(OSRRefE21_6x_3)</f>
        <v>40</v>
      </c>
      <c r="I55" s="1">
        <f>SUM(OSRRefE21_6x_4)</f>
        <v>140</v>
      </c>
      <c r="J55" s="1">
        <f>SUM(OSRRefE21_6x_5)</f>
        <v>20</v>
      </c>
      <c r="K55" s="1">
        <f>SUM(OSRRefE21_6x_6)</f>
        <v>0</v>
      </c>
      <c r="L55" s="1">
        <f>SUM(OSRRefE21_6x_7)</f>
        <v>40</v>
      </c>
      <c r="M55" s="1">
        <f>SUM(OSRRefE21_6x_8)</f>
        <v>20</v>
      </c>
      <c r="N55" s="1">
        <f>SUM(OSRRefE21_6x_9)</f>
        <v>140</v>
      </c>
      <c r="O55" s="1">
        <f>SUM(OSRRefE21_6x_10)</f>
        <v>0</v>
      </c>
      <c r="Q55" s="2">
        <f>SUM(OSRRefD20_6x)+IFERROR(SUM(OSRRefE20_6x),0)</f>
        <v>480</v>
      </c>
    </row>
    <row r="56" spans="1:17" s="34" customFormat="1" hidden="1" outlineLevel="1" x14ac:dyDescent="0.3">
      <c r="A56" s="35"/>
      <c r="B56" s="10" t="str">
        <f>CONCATENATE("          ","6277", " - ","EMPLOYEE APPRECIATION")</f>
        <v xml:space="preserve">          6277 - EMPLOYEE APPRECIATION</v>
      </c>
      <c r="C56" s="14"/>
      <c r="D56" s="2"/>
      <c r="E56" s="2">
        <v>40</v>
      </c>
      <c r="F56" s="2"/>
      <c r="G56" s="2">
        <v>40</v>
      </c>
      <c r="H56" s="2">
        <v>40</v>
      </c>
      <c r="I56" s="2">
        <v>140</v>
      </c>
      <c r="J56" s="2">
        <v>20</v>
      </c>
      <c r="K56" s="2"/>
      <c r="L56" s="2">
        <v>40</v>
      </c>
      <c r="M56" s="2">
        <v>20</v>
      </c>
      <c r="N56" s="2">
        <v>140</v>
      </c>
      <c r="O56" s="2"/>
      <c r="P56" s="9"/>
      <c r="Q56" s="2">
        <f>SUM(OSRRefD21_6_0x)+IFERROR(SUM(OSRRefE21_6_0x),0)</f>
        <v>480</v>
      </c>
    </row>
    <row r="57" spans="1:17" s="34" customFormat="1" collapsed="1" x14ac:dyDescent="0.3">
      <c r="A57" s="35"/>
      <c r="B57" s="14" t="str">
        <f>CONCATENATE("     ","Equipment Rental                                  ")</f>
        <v xml:space="preserve">     Equipment Rental                                  </v>
      </c>
      <c r="C57" s="14"/>
      <c r="D57" s="1">
        <f>SUM(OSRRefD21_7x_0)</f>
        <v>467.93</v>
      </c>
      <c r="E57" s="1">
        <f>SUM(OSRRefE21_7x_0)</f>
        <v>951</v>
      </c>
      <c r="F57" s="1">
        <f>SUM(OSRRefE21_7x_1)</f>
        <v>951</v>
      </c>
      <c r="G57" s="1">
        <f>SUM(OSRRefE21_7x_2)</f>
        <v>951</v>
      </c>
      <c r="H57" s="1">
        <f>SUM(OSRRefE21_7x_3)</f>
        <v>951</v>
      </c>
      <c r="I57" s="1">
        <f>SUM(OSRRefE21_7x_4)</f>
        <v>951</v>
      </c>
      <c r="J57" s="1">
        <f>SUM(OSRRefE21_7x_5)</f>
        <v>951</v>
      </c>
      <c r="K57" s="1">
        <f>SUM(OSRRefE21_7x_6)</f>
        <v>951</v>
      </c>
      <c r="L57" s="1">
        <f>SUM(OSRRefE21_7x_7)</f>
        <v>951</v>
      </c>
      <c r="M57" s="1">
        <f>SUM(OSRRefE21_7x_8)</f>
        <v>951</v>
      </c>
      <c r="N57" s="1">
        <f>SUM(OSRRefE21_7x_9)</f>
        <v>951</v>
      </c>
      <c r="O57" s="1">
        <f>SUM(OSRRefE21_7x_10)</f>
        <v>951</v>
      </c>
      <c r="Q57" s="2">
        <f>SUM(OSRRefD20_7x)+IFERROR(SUM(OSRRefE20_7x),0)</f>
        <v>10928.93</v>
      </c>
    </row>
    <row r="58" spans="1:17" s="34" customFormat="1" hidden="1" outlineLevel="1" x14ac:dyDescent="0.3">
      <c r="A58" s="35"/>
      <c r="B58" s="10" t="str">
        <f>CONCATENATE("          ","6351", " - ","EQUIPMENT RENTAL")</f>
        <v xml:space="preserve">          6351 - EQUIPMENT RENTAL</v>
      </c>
      <c r="C58" s="14"/>
      <c r="D58" s="2">
        <v>467.93</v>
      </c>
      <c r="E58" s="2">
        <v>951</v>
      </c>
      <c r="F58" s="2">
        <v>951</v>
      </c>
      <c r="G58" s="2">
        <v>951</v>
      </c>
      <c r="H58" s="2">
        <v>951</v>
      </c>
      <c r="I58" s="2">
        <v>951</v>
      </c>
      <c r="J58" s="2">
        <v>951</v>
      </c>
      <c r="K58" s="2">
        <v>951</v>
      </c>
      <c r="L58" s="2">
        <v>951</v>
      </c>
      <c r="M58" s="2">
        <v>951</v>
      </c>
      <c r="N58" s="2">
        <v>951</v>
      </c>
      <c r="O58" s="2">
        <v>951</v>
      </c>
      <c r="P58" s="9"/>
      <c r="Q58" s="2">
        <f>SUM(OSRRefD21_7_0x)+IFERROR(SUM(OSRRefE21_7_0x),0)</f>
        <v>10928.93</v>
      </c>
    </row>
    <row r="59" spans="1:17" s="34" customFormat="1" collapsed="1" x14ac:dyDescent="0.3">
      <c r="A59" s="35"/>
      <c r="B59" s="14" t="str">
        <f>CONCATENATE("     ","General                                           ")</f>
        <v xml:space="preserve">     General                                           </v>
      </c>
      <c r="C59" s="14"/>
      <c r="D59" s="1">
        <f>SUM(OSRRefD21_8x_0)</f>
        <v>165.28</v>
      </c>
      <c r="E59" s="1">
        <f>SUM(OSRRefE21_8x_0)</f>
        <v>0</v>
      </c>
      <c r="F59" s="1">
        <f>SUM(OSRRefE21_8x_1)</f>
        <v>300</v>
      </c>
      <c r="G59" s="1">
        <f>SUM(OSRRefE21_8x_2)</f>
        <v>0</v>
      </c>
      <c r="H59" s="1">
        <f>SUM(OSRRefE21_8x_3)</f>
        <v>0</v>
      </c>
      <c r="I59" s="1">
        <f>SUM(OSRRefE21_8x_4)</f>
        <v>2865</v>
      </c>
      <c r="J59" s="1">
        <f>SUM(OSRRefE21_8x_5)</f>
        <v>250</v>
      </c>
      <c r="K59" s="1">
        <f>SUM(OSRRefE21_8x_6)</f>
        <v>0</v>
      </c>
      <c r="L59" s="1">
        <f>SUM(OSRRefE21_8x_7)</f>
        <v>250</v>
      </c>
      <c r="M59" s="1">
        <f>SUM(OSRRefE21_8x_8)</f>
        <v>0</v>
      </c>
      <c r="N59" s="1">
        <f>SUM(OSRRefE21_8x_9)</f>
        <v>0</v>
      </c>
      <c r="O59" s="1">
        <f>SUM(OSRRefE21_8x_10)</f>
        <v>0</v>
      </c>
      <c r="Q59" s="2">
        <f>SUM(OSRRefD20_8x)+IFERROR(SUM(OSRRefE20_8x),0)</f>
        <v>3830.28</v>
      </c>
    </row>
    <row r="60" spans="1:17" s="34" customFormat="1" hidden="1" outlineLevel="1" x14ac:dyDescent="0.3">
      <c r="A60" s="35"/>
      <c r="B60" s="10" t="str">
        <f>CONCATENATE("          ","6269", " - ","ENTERTAINMENT")</f>
        <v xml:space="preserve">          6269 - ENTERTAINMENT</v>
      </c>
      <c r="C60" s="14"/>
      <c r="D60" s="2"/>
      <c r="E60" s="2"/>
      <c r="F60" s="2"/>
      <c r="G60" s="2"/>
      <c r="H60" s="2"/>
      <c r="I60" s="2"/>
      <c r="J60" s="2">
        <v>250</v>
      </c>
      <c r="K60" s="2"/>
      <c r="L60" s="2">
        <v>250</v>
      </c>
      <c r="M60" s="2"/>
      <c r="N60" s="2"/>
      <c r="O60" s="2"/>
      <c r="P60" s="9"/>
      <c r="Q60" s="2">
        <f>SUM(OSRRefD21_8_0x)+IFERROR(SUM(OSRRefE21_8_0x),0)</f>
        <v>500</v>
      </c>
    </row>
    <row r="61" spans="1:17" s="34" customFormat="1" hidden="1" outlineLevel="1" x14ac:dyDescent="0.3">
      <c r="A61" s="35"/>
      <c r="B61" s="10" t="str">
        <f>CONCATENATE("          ","6279", " - ","GENERAL EXPENSE")</f>
        <v xml:space="preserve">          6279 - GENERAL EXPENSE</v>
      </c>
      <c r="C61" s="14"/>
      <c r="D61" s="2">
        <v>165.28</v>
      </c>
      <c r="E61" s="2"/>
      <c r="F61" s="2">
        <v>300</v>
      </c>
      <c r="G61" s="2"/>
      <c r="H61" s="2"/>
      <c r="I61" s="2">
        <v>2865</v>
      </c>
      <c r="J61" s="2"/>
      <c r="K61" s="2"/>
      <c r="L61" s="2"/>
      <c r="M61" s="2"/>
      <c r="N61" s="2"/>
      <c r="O61" s="2"/>
      <c r="P61" s="9"/>
      <c r="Q61" s="2">
        <f>SUM(OSRRefD21_8_1x)+IFERROR(SUM(OSRRefE21_8_1x),0)</f>
        <v>3330.28</v>
      </c>
    </row>
    <row r="62" spans="1:17" s="34" customFormat="1" collapsed="1" x14ac:dyDescent="0.3">
      <c r="A62" s="35"/>
      <c r="B62" s="14" t="str">
        <f>CONCATENATE("     ","Insurance                                         ")</f>
        <v xml:space="preserve">     Insurance                                         </v>
      </c>
      <c r="C62" s="14"/>
      <c r="D62" s="1">
        <f>SUM(OSRRefD21_9x_0)</f>
        <v>6087.22</v>
      </c>
      <c r="E62" s="1">
        <f>SUM(OSRRefE21_9x_0)</f>
        <v>6000</v>
      </c>
      <c r="F62" s="1">
        <f>SUM(OSRRefE21_9x_1)</f>
        <v>6000</v>
      </c>
      <c r="G62" s="1">
        <f>SUM(OSRRefE21_9x_2)</f>
        <v>6000</v>
      </c>
      <c r="H62" s="1">
        <f>SUM(OSRRefE21_9x_3)</f>
        <v>6000</v>
      </c>
      <c r="I62" s="1">
        <f>SUM(OSRRefE21_9x_4)</f>
        <v>6000</v>
      </c>
      <c r="J62" s="1">
        <f>SUM(OSRRefE21_9x_5)</f>
        <v>6000</v>
      </c>
      <c r="K62" s="1">
        <f>SUM(OSRRefE21_9x_6)</f>
        <v>6000</v>
      </c>
      <c r="L62" s="1">
        <f>SUM(OSRRefE21_9x_7)</f>
        <v>6000</v>
      </c>
      <c r="M62" s="1">
        <f>SUM(OSRRefE21_9x_8)</f>
        <v>6000</v>
      </c>
      <c r="N62" s="1">
        <f>SUM(OSRRefE21_9x_9)</f>
        <v>6000</v>
      </c>
      <c r="O62" s="1">
        <f>SUM(OSRRefE21_9x_10)</f>
        <v>6000</v>
      </c>
      <c r="Q62" s="2">
        <f>SUM(OSRRefD20_9x)+IFERROR(SUM(OSRRefE20_9x),0)</f>
        <v>72087.22</v>
      </c>
    </row>
    <row r="63" spans="1:17" s="34" customFormat="1" hidden="1" outlineLevel="1" x14ac:dyDescent="0.3">
      <c r="A63" s="35"/>
      <c r="B63" s="10" t="str">
        <f>CONCATENATE("          ","6314", " - ","LIABILITY INSURANCE")</f>
        <v xml:space="preserve">          6314 - LIABILITY INSURANCE</v>
      </c>
      <c r="C63" s="14"/>
      <c r="D63" s="2">
        <v>6087.22</v>
      </c>
      <c r="E63" s="2">
        <v>6000</v>
      </c>
      <c r="F63" s="2">
        <v>6000</v>
      </c>
      <c r="G63" s="2">
        <v>6000</v>
      </c>
      <c r="H63" s="2">
        <v>6000</v>
      </c>
      <c r="I63" s="2">
        <v>6000</v>
      </c>
      <c r="J63" s="2">
        <v>6000</v>
      </c>
      <c r="K63" s="2">
        <v>6000</v>
      </c>
      <c r="L63" s="2">
        <v>6000</v>
      </c>
      <c r="M63" s="2">
        <v>6000</v>
      </c>
      <c r="N63" s="2">
        <v>6000</v>
      </c>
      <c r="O63" s="2">
        <v>6000</v>
      </c>
      <c r="P63" s="9"/>
      <c r="Q63" s="2">
        <f>SUM(OSRRefD21_9_0x)+IFERROR(SUM(OSRRefE21_9_0x),0)</f>
        <v>72087.22</v>
      </c>
    </row>
    <row r="64" spans="1:17" s="34" customFormat="1" collapsed="1" x14ac:dyDescent="0.3">
      <c r="A64" s="35"/>
      <c r="B64" s="14" t="str">
        <f>CONCATENATE("     ","Interest                                          ")</f>
        <v xml:space="preserve">     Interest                                          </v>
      </c>
      <c r="C64" s="14"/>
      <c r="D64" s="1">
        <f>SUM(OSRRefD21_10x_0)</f>
        <v>11158</v>
      </c>
      <c r="E64" s="1">
        <f>SUM(OSRRefE21_10x_0)</f>
        <v>11158</v>
      </c>
      <c r="F64" s="1">
        <f>SUM(OSRRefE21_10x_1)</f>
        <v>11158</v>
      </c>
      <c r="G64" s="1">
        <f>SUM(OSRRefE21_10x_2)</f>
        <v>11158</v>
      </c>
      <c r="H64" s="1">
        <f>SUM(OSRRefE21_10x_3)</f>
        <v>11158</v>
      </c>
      <c r="I64" s="1">
        <f>SUM(OSRRefE21_10x_4)</f>
        <v>11158</v>
      </c>
      <c r="J64" s="1">
        <f>SUM(OSRRefE21_10x_5)</f>
        <v>11158</v>
      </c>
      <c r="K64" s="1">
        <f>SUM(OSRRefE21_10x_6)</f>
        <v>11158</v>
      </c>
      <c r="L64" s="1">
        <f>SUM(OSRRefE21_10x_7)</f>
        <v>11158</v>
      </c>
      <c r="M64" s="1">
        <f>SUM(OSRRefE21_10x_8)</f>
        <v>11158</v>
      </c>
      <c r="N64" s="1">
        <f>SUM(OSRRefE21_10x_9)</f>
        <v>10742</v>
      </c>
      <c r="O64" s="1">
        <f>SUM(OSRRefE21_10x_10)</f>
        <v>10742</v>
      </c>
      <c r="Q64" s="2">
        <f>SUM(OSRRefD20_10x)+IFERROR(SUM(OSRRefE20_10x),0)</f>
        <v>133064</v>
      </c>
    </row>
    <row r="65" spans="1:17" s="34" customFormat="1" hidden="1" outlineLevel="1" x14ac:dyDescent="0.3">
      <c r="A65" s="35"/>
      <c r="B65" s="10" t="str">
        <f>CONCATENATE("          ","6401", " - ","INTEREST EXPENSE")</f>
        <v xml:space="preserve">          6401 - INTEREST EXPENSE</v>
      </c>
      <c r="C65" s="14"/>
      <c r="D65" s="2">
        <v>11158</v>
      </c>
      <c r="E65" s="2">
        <v>11158</v>
      </c>
      <c r="F65" s="2">
        <v>11158</v>
      </c>
      <c r="G65" s="2">
        <v>11158</v>
      </c>
      <c r="H65" s="2">
        <v>11158</v>
      </c>
      <c r="I65" s="2">
        <v>11158</v>
      </c>
      <c r="J65" s="2">
        <v>11158</v>
      </c>
      <c r="K65" s="2">
        <v>11158</v>
      </c>
      <c r="L65" s="2">
        <v>11158</v>
      </c>
      <c r="M65" s="2">
        <v>11158</v>
      </c>
      <c r="N65" s="2">
        <v>10742</v>
      </c>
      <c r="O65" s="2">
        <v>10742</v>
      </c>
      <c r="P65" s="9"/>
      <c r="Q65" s="2">
        <f>SUM(OSRRefD21_10_0x)+IFERROR(SUM(OSRRefE21_10_0x),0)</f>
        <v>133064</v>
      </c>
    </row>
    <row r="66" spans="1:17" s="34" customFormat="1" collapsed="1" x14ac:dyDescent="0.3">
      <c r="A66" s="35"/>
      <c r="B66" s="14" t="str">
        <f>CONCATENATE("     ","Rent                                              ")</f>
        <v xml:space="preserve">     Rent                                              </v>
      </c>
      <c r="C66" s="14"/>
      <c r="D66" s="1">
        <f>SUM(OSRRefD21_11x_0)</f>
        <v>1850</v>
      </c>
      <c r="E66" s="1">
        <f>SUM(OSRRefE21_11x_0)</f>
        <v>1850</v>
      </c>
      <c r="F66" s="1">
        <f>SUM(OSRRefE21_11x_1)</f>
        <v>1850</v>
      </c>
      <c r="G66" s="1">
        <f>SUM(OSRRefE21_11x_2)</f>
        <v>1850</v>
      </c>
      <c r="H66" s="1">
        <f>SUM(OSRRefE21_11x_3)</f>
        <v>1850</v>
      </c>
      <c r="I66" s="1">
        <f>SUM(OSRRefE21_11x_4)</f>
        <v>1850</v>
      </c>
      <c r="J66" s="1">
        <f>SUM(OSRRefE21_11x_5)</f>
        <v>1850</v>
      </c>
      <c r="K66" s="1">
        <f>SUM(OSRRefE21_11x_6)</f>
        <v>1850</v>
      </c>
      <c r="L66" s="1">
        <f>SUM(OSRRefE21_11x_7)</f>
        <v>1850</v>
      </c>
      <c r="M66" s="1">
        <f>SUM(OSRRefE21_11x_8)</f>
        <v>1850</v>
      </c>
      <c r="N66" s="1">
        <f>SUM(OSRRefE21_11x_9)</f>
        <v>1850</v>
      </c>
      <c r="O66" s="1">
        <f>SUM(OSRRefE21_11x_10)</f>
        <v>1850</v>
      </c>
      <c r="Q66" s="2">
        <f>SUM(OSRRefD20_11x)+IFERROR(SUM(OSRRefE20_11x),0)</f>
        <v>22200</v>
      </c>
    </row>
    <row r="67" spans="1:17" s="34" customFormat="1" hidden="1" outlineLevel="1" x14ac:dyDescent="0.3">
      <c r="A67" s="35"/>
      <c r="B67" s="10" t="str">
        <f>CONCATENATE("          ","6273", " - ","RENT")</f>
        <v xml:space="preserve">          6273 - RENT</v>
      </c>
      <c r="C67" s="14"/>
      <c r="D67" s="2">
        <v>1850</v>
      </c>
      <c r="E67" s="2">
        <v>1850</v>
      </c>
      <c r="F67" s="2">
        <v>1850</v>
      </c>
      <c r="G67" s="2">
        <v>1850</v>
      </c>
      <c r="H67" s="2">
        <v>1850</v>
      </c>
      <c r="I67" s="2">
        <v>1850</v>
      </c>
      <c r="J67" s="2">
        <v>1850</v>
      </c>
      <c r="K67" s="2">
        <v>1850</v>
      </c>
      <c r="L67" s="2">
        <v>1850</v>
      </c>
      <c r="M67" s="2">
        <v>1850</v>
      </c>
      <c r="N67" s="2">
        <v>1850</v>
      </c>
      <c r="O67" s="2">
        <v>1850</v>
      </c>
      <c r="P67" s="9"/>
      <c r="Q67" s="2">
        <f>SUM(OSRRefD21_11_0x)+IFERROR(SUM(OSRRefE21_11_0x),0)</f>
        <v>22200</v>
      </c>
    </row>
    <row r="68" spans="1:17" s="34" customFormat="1" collapsed="1" x14ac:dyDescent="0.3">
      <c r="A68" s="35"/>
      <c r="B68" s="14" t="str">
        <f>CONCATENATE("     ","Repair and Maintenance                            ")</f>
        <v xml:space="preserve">     Repair and Maintenance                            </v>
      </c>
      <c r="C68" s="14"/>
      <c r="D68" s="1">
        <f>SUM(OSRRefD21_12x_0)</f>
        <v>3131.71</v>
      </c>
      <c r="E68" s="1">
        <f>SUM(OSRRefE21_12x_0)</f>
        <v>2413</v>
      </c>
      <c r="F68" s="1">
        <f>SUM(OSRRefE21_12x_1)</f>
        <v>5579</v>
      </c>
      <c r="G68" s="1">
        <f>SUM(OSRRefE21_12x_2)</f>
        <v>3780</v>
      </c>
      <c r="H68" s="1">
        <f>SUM(OSRRefE21_12x_3)</f>
        <v>2303</v>
      </c>
      <c r="I68" s="1">
        <f>SUM(OSRRefE21_12x_4)</f>
        <v>3639</v>
      </c>
      <c r="J68" s="1">
        <f>SUM(OSRRefE21_12x_5)</f>
        <v>11531</v>
      </c>
      <c r="K68" s="1">
        <f>SUM(OSRRefE21_12x_6)</f>
        <v>3744</v>
      </c>
      <c r="L68" s="1">
        <f>SUM(OSRRefE21_12x_7)</f>
        <v>3803</v>
      </c>
      <c r="M68" s="1">
        <f>SUM(OSRRefE21_12x_8)</f>
        <v>5544</v>
      </c>
      <c r="N68" s="1">
        <f>SUM(OSRRefE21_12x_9)</f>
        <v>2894</v>
      </c>
      <c r="O68" s="1">
        <f>SUM(OSRRefE21_12x_10)</f>
        <v>1870</v>
      </c>
      <c r="Q68" s="2">
        <f>SUM(OSRRefD20_12x)+IFERROR(SUM(OSRRefE20_12x),0)</f>
        <v>50231.71</v>
      </c>
    </row>
    <row r="69" spans="1:17" s="34" customFormat="1" hidden="1" outlineLevel="1" x14ac:dyDescent="0.3">
      <c r="A69" s="35"/>
      <c r="B69" s="10" t="str">
        <f>CONCATENATE("          ","6371", " - ","COMPUTER SOFTWARE MAINTENANCE")</f>
        <v xml:space="preserve">          6371 - COMPUTER SOFTWARE MAINTENANCE</v>
      </c>
      <c r="C69" s="14"/>
      <c r="D69" s="2"/>
      <c r="E69" s="2"/>
      <c r="F69" s="2">
        <v>2623</v>
      </c>
      <c r="G69" s="2"/>
      <c r="H69" s="2"/>
      <c r="I69" s="2"/>
      <c r="J69" s="2"/>
      <c r="K69" s="2"/>
      <c r="L69" s="2"/>
      <c r="M69" s="2"/>
      <c r="N69" s="2"/>
      <c r="O69" s="2"/>
      <c r="P69" s="9"/>
      <c r="Q69" s="2">
        <f>SUM(OSRRefD21_12_0x)+IFERROR(SUM(OSRRefE21_12_0x),0)</f>
        <v>2623</v>
      </c>
    </row>
    <row r="70" spans="1:17" s="34" customFormat="1" hidden="1" outlineLevel="1" x14ac:dyDescent="0.3">
      <c r="A70" s="35"/>
      <c r="B70" s="10" t="str">
        <f>CONCATENATE("          ","6372", " - ","COMPUTER HARDWARE MAINTENANCE")</f>
        <v xml:space="preserve">          6372 - COMPUTER HARDWARE MAINTENANCE</v>
      </c>
      <c r="C70" s="14"/>
      <c r="D70" s="2"/>
      <c r="E70" s="2"/>
      <c r="F70" s="2"/>
      <c r="G70" s="2"/>
      <c r="H70" s="2"/>
      <c r="I70" s="2"/>
      <c r="J70" s="2">
        <v>8000</v>
      </c>
      <c r="K70" s="2"/>
      <c r="L70" s="2"/>
      <c r="M70" s="2"/>
      <c r="N70" s="2"/>
      <c r="O70" s="2"/>
      <c r="P70" s="9"/>
      <c r="Q70" s="2">
        <f>SUM(OSRRefD21_12_1x)+IFERROR(SUM(OSRRefE21_12_1x),0)</f>
        <v>8000</v>
      </c>
    </row>
    <row r="71" spans="1:17" s="34" customFormat="1" hidden="1" outlineLevel="1" x14ac:dyDescent="0.3">
      <c r="A71" s="35"/>
      <c r="B71" s="10" t="str">
        <f>CONCATENATE("          ","6373", " - ","MAINTENANCE CONTRACTS")</f>
        <v xml:space="preserve">          6373 - MAINTENANCE CONTRACTS</v>
      </c>
      <c r="C71" s="14"/>
      <c r="D71" s="2">
        <v>0.87</v>
      </c>
      <c r="E71" s="2"/>
      <c r="F71" s="2">
        <v>138</v>
      </c>
      <c r="G71" s="2">
        <v>1180</v>
      </c>
      <c r="H71" s="2">
        <v>400</v>
      </c>
      <c r="I71" s="2">
        <v>1263</v>
      </c>
      <c r="J71" s="2">
        <v>1180</v>
      </c>
      <c r="K71" s="2"/>
      <c r="L71" s="2">
        <v>138</v>
      </c>
      <c r="M71" s="2">
        <v>1180</v>
      </c>
      <c r="N71" s="2"/>
      <c r="O71" s="2"/>
      <c r="P71" s="9"/>
      <c r="Q71" s="2">
        <f>SUM(OSRRefD21_12_2x)+IFERROR(SUM(OSRRefE21_12_2x),0)</f>
        <v>5479.87</v>
      </c>
    </row>
    <row r="72" spans="1:17" s="34" customFormat="1" hidden="1" outlineLevel="1" x14ac:dyDescent="0.3">
      <c r="A72" s="35"/>
      <c r="B72" s="10" t="str">
        <f>CONCATENATE("          ","6375", " - ","OUTSIDE REPAIRS &amp; MAINTENANCE")</f>
        <v xml:space="preserve">          6375 - OUTSIDE REPAIRS &amp; MAINTENANCE</v>
      </c>
      <c r="C72" s="14"/>
      <c r="D72" s="2">
        <v>3130.84</v>
      </c>
      <c r="E72" s="2">
        <v>2413</v>
      </c>
      <c r="F72" s="2">
        <v>2818</v>
      </c>
      <c r="G72" s="2">
        <v>2600</v>
      </c>
      <c r="H72" s="2">
        <v>1903</v>
      </c>
      <c r="I72" s="2">
        <v>2376</v>
      </c>
      <c r="J72" s="2">
        <v>2351</v>
      </c>
      <c r="K72" s="2">
        <v>3744</v>
      </c>
      <c r="L72" s="2">
        <v>3665</v>
      </c>
      <c r="M72" s="2">
        <v>4364</v>
      </c>
      <c r="N72" s="2">
        <v>2894</v>
      </c>
      <c r="O72" s="2">
        <v>1870</v>
      </c>
      <c r="P72" s="9"/>
      <c r="Q72" s="2">
        <f>SUM(OSRRefD21_12_3x)+IFERROR(SUM(OSRRefE21_12_3x),0)</f>
        <v>34128.839999999997</v>
      </c>
    </row>
    <row r="73" spans="1:17" s="34" customFormat="1" collapsed="1" x14ac:dyDescent="0.3">
      <c r="A73" s="35"/>
      <c r="B73" s="14" t="str">
        <f>CONCATENATE("     ","Royalty &amp; Commissions                             ")</f>
        <v xml:space="preserve">     Royalty &amp; Commissions                             </v>
      </c>
      <c r="C73" s="14"/>
      <c r="D73" s="1">
        <f>SUM(OSRRefD21_13x_0)</f>
        <v>0</v>
      </c>
      <c r="E73" s="1">
        <f>SUM(OSRRefE21_13x_0)</f>
        <v>405</v>
      </c>
      <c r="F73" s="1">
        <f>SUM(OSRRefE21_13x_1)</f>
        <v>1224</v>
      </c>
      <c r="G73" s="1">
        <f>SUM(OSRRefE21_13x_2)</f>
        <v>1382</v>
      </c>
      <c r="H73" s="1">
        <f>SUM(OSRRefE21_13x_3)</f>
        <v>649</v>
      </c>
      <c r="I73" s="1">
        <f>SUM(OSRRefE21_13x_4)</f>
        <v>612</v>
      </c>
      <c r="J73" s="1">
        <f>SUM(OSRRefE21_13x_5)</f>
        <v>949</v>
      </c>
      <c r="K73" s="1">
        <f>SUM(OSRRefE21_13x_6)</f>
        <v>2644</v>
      </c>
      <c r="L73" s="1">
        <f>SUM(OSRRefE21_13x_7)</f>
        <v>2496</v>
      </c>
      <c r="M73" s="1">
        <f>SUM(OSRRefE21_13x_8)</f>
        <v>2234</v>
      </c>
      <c r="N73" s="1">
        <f>SUM(OSRRefE21_13x_9)</f>
        <v>1239</v>
      </c>
      <c r="O73" s="1">
        <f>SUM(OSRRefE21_13x_10)</f>
        <v>336</v>
      </c>
      <c r="Q73" s="2">
        <f>SUM(OSRRefD20_13x)+IFERROR(SUM(OSRRefE20_13x),0)</f>
        <v>14170</v>
      </c>
    </row>
    <row r="74" spans="1:17" s="34" customFormat="1" hidden="1" outlineLevel="1" x14ac:dyDescent="0.3">
      <c r="A74" s="35"/>
      <c r="B74" s="10" t="str">
        <f>CONCATENATE("          ","6259", " - ","ROYALTY &amp; COMMISSIONS")</f>
        <v xml:space="preserve">          6259 - ROYALTY &amp; COMMISSIONS</v>
      </c>
      <c r="C74" s="14"/>
      <c r="D74" s="2"/>
      <c r="E74" s="2">
        <v>405</v>
      </c>
      <c r="F74" s="2">
        <v>1224</v>
      </c>
      <c r="G74" s="2">
        <v>1382</v>
      </c>
      <c r="H74" s="2">
        <v>649</v>
      </c>
      <c r="I74" s="2">
        <v>612</v>
      </c>
      <c r="J74" s="2">
        <v>949</v>
      </c>
      <c r="K74" s="2">
        <v>2644</v>
      </c>
      <c r="L74" s="2">
        <v>2496</v>
      </c>
      <c r="M74" s="2">
        <v>2234</v>
      </c>
      <c r="N74" s="2">
        <v>1239</v>
      </c>
      <c r="O74" s="2">
        <v>336</v>
      </c>
      <c r="P74" s="9"/>
      <c r="Q74" s="2">
        <f>SUM(OSRRefD21_13_0x)+IFERROR(SUM(OSRRefE21_13_0x),0)</f>
        <v>14170</v>
      </c>
    </row>
    <row r="75" spans="1:17" s="34" customFormat="1" collapsed="1" x14ac:dyDescent="0.3">
      <c r="A75" s="35"/>
      <c r="B75" s="14" t="str">
        <f>CONCATENATE("     ","Services                                          ")</f>
        <v xml:space="preserve">     Services                                          </v>
      </c>
      <c r="C75" s="14"/>
      <c r="D75" s="1">
        <f>SUM(OSRRefD21_14x_0)</f>
        <v>4741.08</v>
      </c>
      <c r="E75" s="1">
        <f>SUM(OSRRefE21_14x_0)</f>
        <v>11366</v>
      </c>
      <c r="F75" s="1">
        <f>SUM(OSRRefE21_14x_1)</f>
        <v>11297</v>
      </c>
      <c r="G75" s="1">
        <f>SUM(OSRRefE21_14x_2)</f>
        <v>12304</v>
      </c>
      <c r="H75" s="1">
        <f>SUM(OSRRefE21_14x_3)</f>
        <v>11287</v>
      </c>
      <c r="I75" s="1">
        <f>SUM(OSRRefE21_14x_4)</f>
        <v>11287</v>
      </c>
      <c r="J75" s="1">
        <f>SUM(OSRRefE21_14x_5)</f>
        <v>11429</v>
      </c>
      <c r="K75" s="1">
        <f>SUM(OSRRefE21_14x_6)</f>
        <v>11297</v>
      </c>
      <c r="L75" s="1">
        <f>SUM(OSRRefE21_14x_7)</f>
        <v>11297</v>
      </c>
      <c r="M75" s="1">
        <f>SUM(OSRRefE21_14x_8)</f>
        <v>12294</v>
      </c>
      <c r="N75" s="1">
        <f>SUM(OSRRefE21_14x_9)</f>
        <v>11297</v>
      </c>
      <c r="O75" s="1">
        <f>SUM(OSRRefE21_14x_10)</f>
        <v>11384</v>
      </c>
      <c r="Q75" s="2">
        <f>SUM(OSRRefD20_14x)+IFERROR(SUM(OSRRefE20_14x),0)</f>
        <v>131280.07999999999</v>
      </c>
    </row>
    <row r="76" spans="1:17" s="34" customFormat="1" hidden="1" outlineLevel="1" x14ac:dyDescent="0.3">
      <c r="A76" s="35"/>
      <c r="B76" s="10" t="str">
        <f>CONCATENATE("          ","6282", " - ","JANITORIAL/EXTERMINATOR EXPENS")</f>
        <v xml:space="preserve">          6282 - JANITORIAL/EXTERMINATOR EXPENS</v>
      </c>
      <c r="C76" s="14"/>
      <c r="D76" s="2">
        <v>821.95</v>
      </c>
      <c r="E76" s="2">
        <v>1436</v>
      </c>
      <c r="F76" s="2">
        <v>1386</v>
      </c>
      <c r="G76" s="2">
        <v>1386</v>
      </c>
      <c r="H76" s="2">
        <v>1386</v>
      </c>
      <c r="I76" s="2">
        <v>1386</v>
      </c>
      <c r="J76" s="2">
        <v>1386</v>
      </c>
      <c r="K76" s="2">
        <v>1386</v>
      </c>
      <c r="L76" s="2">
        <v>1386</v>
      </c>
      <c r="M76" s="2">
        <v>1386</v>
      </c>
      <c r="N76" s="2">
        <v>1386</v>
      </c>
      <c r="O76" s="2">
        <v>1386</v>
      </c>
      <c r="P76" s="9"/>
      <c r="Q76" s="2">
        <f>SUM(OSRRefD21_14_0x)+IFERROR(SUM(OSRRefE21_14_0x),0)</f>
        <v>16117.95</v>
      </c>
    </row>
    <row r="77" spans="1:17" s="34" customFormat="1" hidden="1" outlineLevel="1" x14ac:dyDescent="0.3">
      <c r="A77" s="35"/>
      <c r="B77" s="10" t="str">
        <f>CONCATENATE("          ","6283", " - ","PLANT SERVICE")</f>
        <v xml:space="preserve">          6283 - PLANT SERVICE</v>
      </c>
      <c r="C77" s="14"/>
      <c r="D77" s="2"/>
      <c r="E77" s="2">
        <v>100</v>
      </c>
      <c r="F77" s="2">
        <v>100</v>
      </c>
      <c r="G77" s="2">
        <v>100</v>
      </c>
      <c r="H77" s="2">
        <v>100</v>
      </c>
      <c r="I77" s="2">
        <v>100</v>
      </c>
      <c r="J77" s="2">
        <v>100</v>
      </c>
      <c r="K77" s="2">
        <v>100</v>
      </c>
      <c r="L77" s="2">
        <v>100</v>
      </c>
      <c r="M77" s="2">
        <v>100</v>
      </c>
      <c r="N77" s="2">
        <v>100</v>
      </c>
      <c r="O77" s="2">
        <v>100</v>
      </c>
      <c r="P77" s="9"/>
      <c r="Q77" s="2">
        <f>SUM(OSRRefD21_14_1x)+IFERROR(SUM(OSRRefE21_14_1x),0)</f>
        <v>1100</v>
      </c>
    </row>
    <row r="78" spans="1:17" s="34" customFormat="1" hidden="1" outlineLevel="1" x14ac:dyDescent="0.3">
      <c r="A78" s="35"/>
      <c r="B78" s="10" t="str">
        <f>CONCATENATE("          ","6284", " - ","TRASH REMOVAL EXPENSE")</f>
        <v xml:space="preserve">          6284 - TRASH REMOVAL EXPENSE</v>
      </c>
      <c r="C78" s="14"/>
      <c r="D78" s="2"/>
      <c r="E78" s="2">
        <v>1000</v>
      </c>
      <c r="F78" s="2">
        <v>1000</v>
      </c>
      <c r="G78" s="2">
        <v>1000</v>
      </c>
      <c r="H78" s="2">
        <v>1000</v>
      </c>
      <c r="I78" s="2">
        <v>1000</v>
      </c>
      <c r="J78" s="2">
        <v>1000</v>
      </c>
      <c r="K78" s="2">
        <v>1000</v>
      </c>
      <c r="L78" s="2">
        <v>1000</v>
      </c>
      <c r="M78" s="2">
        <v>1000</v>
      </c>
      <c r="N78" s="2">
        <v>1000</v>
      </c>
      <c r="O78" s="2">
        <v>1000</v>
      </c>
      <c r="P78" s="9"/>
      <c r="Q78" s="2">
        <f>SUM(OSRRefD21_14_2x)+IFERROR(SUM(OSRRefE21_14_2x),0)</f>
        <v>11000</v>
      </c>
    </row>
    <row r="79" spans="1:17" s="34" customFormat="1" hidden="1" outlineLevel="1" x14ac:dyDescent="0.3">
      <c r="A79" s="35"/>
      <c r="B79" s="10" t="str">
        <f>CONCATENATE("          ","6285", " - ","JANITORIAL SERVICES")</f>
        <v xml:space="preserve">          6285 - JANITORIAL SERVICES</v>
      </c>
      <c r="C79" s="14"/>
      <c r="D79" s="2">
        <v>3759.39</v>
      </c>
      <c r="E79" s="2">
        <v>8224</v>
      </c>
      <c r="F79" s="2">
        <v>8224</v>
      </c>
      <c r="G79" s="2">
        <v>9099</v>
      </c>
      <c r="H79" s="2">
        <v>8224</v>
      </c>
      <c r="I79" s="2">
        <v>8224</v>
      </c>
      <c r="J79" s="2">
        <v>8224</v>
      </c>
      <c r="K79" s="2">
        <v>8224</v>
      </c>
      <c r="L79" s="2">
        <v>8224</v>
      </c>
      <c r="M79" s="2">
        <v>9099</v>
      </c>
      <c r="N79" s="2">
        <v>8224</v>
      </c>
      <c r="O79" s="2">
        <v>8224</v>
      </c>
      <c r="P79" s="9"/>
      <c r="Q79" s="2">
        <f>SUM(OSRRefD21_14_3x)+IFERROR(SUM(OSRRefE21_14_3x),0)</f>
        <v>95973.39</v>
      </c>
    </row>
    <row r="80" spans="1:17" s="34" customFormat="1" hidden="1" outlineLevel="1" x14ac:dyDescent="0.3">
      <c r="A80" s="35"/>
      <c r="B80" s="10" t="str">
        <f>CONCATENATE("          ","6286", " - ","LAUNDRY EXPENSE")</f>
        <v xml:space="preserve">          6286 - LAUNDRY EXPENSE</v>
      </c>
      <c r="C80" s="14"/>
      <c r="D80" s="2">
        <v>159.74</v>
      </c>
      <c r="E80" s="2">
        <v>606</v>
      </c>
      <c r="F80" s="2">
        <v>587</v>
      </c>
      <c r="G80" s="2">
        <v>719</v>
      </c>
      <c r="H80" s="2">
        <v>577</v>
      </c>
      <c r="I80" s="2">
        <v>577</v>
      </c>
      <c r="J80" s="2">
        <v>719</v>
      </c>
      <c r="K80" s="2">
        <v>587</v>
      </c>
      <c r="L80" s="2">
        <v>587</v>
      </c>
      <c r="M80" s="2">
        <v>709</v>
      </c>
      <c r="N80" s="2">
        <v>587</v>
      </c>
      <c r="O80" s="2">
        <v>674</v>
      </c>
      <c r="P80" s="9"/>
      <c r="Q80" s="2">
        <f>SUM(OSRRefD21_14_4x)+IFERROR(SUM(OSRRefE21_14_4x),0)</f>
        <v>7088.74</v>
      </c>
    </row>
    <row r="81" spans="1:17" s="34" customFormat="1" collapsed="1" x14ac:dyDescent="0.3">
      <c r="A81" s="35"/>
      <c r="B81" s="14" t="str">
        <f>CONCATENATE("     ","Subscriptions &amp; Dues                              ")</f>
        <v xml:space="preserve">     Subscriptions &amp; Dues                              </v>
      </c>
      <c r="C81" s="14"/>
      <c r="D81" s="1">
        <f>SUM(OSRRefD21_15x_0)</f>
        <v>130.66999999999999</v>
      </c>
      <c r="E81" s="1">
        <f>SUM(OSRRefE21_15x_0)</f>
        <v>610</v>
      </c>
      <c r="F81" s="1">
        <f>SUM(OSRRefE21_15x_1)</f>
        <v>610</v>
      </c>
      <c r="G81" s="1">
        <f>SUM(OSRRefE21_15x_2)</f>
        <v>610</v>
      </c>
      <c r="H81" s="1">
        <f>SUM(OSRRefE21_15x_3)</f>
        <v>610</v>
      </c>
      <c r="I81" s="1">
        <f>SUM(OSRRefE21_15x_4)</f>
        <v>610</v>
      </c>
      <c r="J81" s="1">
        <f>SUM(OSRRefE21_15x_5)</f>
        <v>610</v>
      </c>
      <c r="K81" s="1">
        <f>SUM(OSRRefE21_15x_6)</f>
        <v>610</v>
      </c>
      <c r="L81" s="1">
        <f>SUM(OSRRefE21_15x_7)</f>
        <v>610</v>
      </c>
      <c r="M81" s="1">
        <f>SUM(OSRRefE21_15x_8)</f>
        <v>610</v>
      </c>
      <c r="N81" s="1">
        <f>SUM(OSRRefE21_15x_9)</f>
        <v>610</v>
      </c>
      <c r="O81" s="1">
        <f>SUM(OSRRefE21_15x_10)</f>
        <v>610</v>
      </c>
      <c r="Q81" s="2">
        <f>SUM(OSRRefD20_15x)+IFERROR(SUM(OSRRefE20_15x),0)</f>
        <v>6840.67</v>
      </c>
    </row>
    <row r="82" spans="1:17" s="34" customFormat="1" hidden="1" outlineLevel="1" x14ac:dyDescent="0.3">
      <c r="A82" s="35"/>
      <c r="B82" s="10" t="str">
        <f>CONCATENATE("          ","6275", " - ","SUBSCRIPTIONS")</f>
        <v xml:space="preserve">          6275 - SUBSCRIPTIONS</v>
      </c>
      <c r="C82" s="14"/>
      <c r="D82" s="2">
        <v>130.66999999999999</v>
      </c>
      <c r="E82" s="2">
        <v>610</v>
      </c>
      <c r="F82" s="2">
        <v>610</v>
      </c>
      <c r="G82" s="2">
        <v>610</v>
      </c>
      <c r="H82" s="2">
        <v>610</v>
      </c>
      <c r="I82" s="2">
        <v>610</v>
      </c>
      <c r="J82" s="2">
        <v>610</v>
      </c>
      <c r="K82" s="2">
        <v>610</v>
      </c>
      <c r="L82" s="2">
        <v>610</v>
      </c>
      <c r="M82" s="2">
        <v>610</v>
      </c>
      <c r="N82" s="2">
        <v>610</v>
      </c>
      <c r="O82" s="2">
        <v>610</v>
      </c>
      <c r="P82" s="9"/>
      <c r="Q82" s="2">
        <f>SUM(OSRRefD21_15_0x)+IFERROR(SUM(OSRRefE21_15_0x),0)</f>
        <v>6840.67</v>
      </c>
    </row>
    <row r="83" spans="1:17" s="34" customFormat="1" collapsed="1" x14ac:dyDescent="0.3">
      <c r="A83" s="35"/>
      <c r="B83" s="14" t="str">
        <f>CONCATENATE("     ","Supplies                                          ")</f>
        <v xml:space="preserve">     Supplies                                          </v>
      </c>
      <c r="C83" s="14"/>
      <c r="D83" s="1">
        <f>SUM(OSRRefD21_16x_0)</f>
        <v>1842.65</v>
      </c>
      <c r="E83" s="1">
        <f>SUM(OSRRefE21_16x_0)</f>
        <v>9129</v>
      </c>
      <c r="F83" s="1">
        <f>SUM(OSRRefE21_16x_1)</f>
        <v>4805</v>
      </c>
      <c r="G83" s="1">
        <f>SUM(OSRRefE21_16x_2)</f>
        <v>4725</v>
      </c>
      <c r="H83" s="1">
        <f>SUM(OSRRefE21_16x_3)</f>
        <v>2675</v>
      </c>
      <c r="I83" s="1">
        <f>SUM(OSRRefE21_16x_4)</f>
        <v>2425</v>
      </c>
      <c r="J83" s="1">
        <f>SUM(OSRRefE21_16x_5)</f>
        <v>4725</v>
      </c>
      <c r="K83" s="1">
        <f>SUM(OSRRefE21_16x_6)</f>
        <v>4475</v>
      </c>
      <c r="L83" s="1">
        <f>SUM(OSRRefE21_16x_7)</f>
        <v>2525</v>
      </c>
      <c r="M83" s="1">
        <f>SUM(OSRRefE21_16x_8)</f>
        <v>2775</v>
      </c>
      <c r="N83" s="1">
        <f>SUM(OSRRefE21_16x_9)</f>
        <v>2925</v>
      </c>
      <c r="O83" s="1">
        <f>SUM(OSRRefE21_16x_10)</f>
        <v>1500</v>
      </c>
      <c r="Q83" s="2">
        <f>SUM(OSRRefD20_16x)+IFERROR(SUM(OSRRefE20_16x),0)</f>
        <v>44526.65</v>
      </c>
    </row>
    <row r="84" spans="1:17" s="34" customFormat="1" hidden="1" outlineLevel="1" x14ac:dyDescent="0.3">
      <c r="A84" s="35"/>
      <c r="B84" s="10" t="str">
        <f>CONCATENATE("          ","6234", " - ","EXPENDABLE SUPPLIES &amp; EQUIPMEN")</f>
        <v xml:space="preserve">          6234 - EXPENDABLE SUPPLIES &amp; EQUIPMEN</v>
      </c>
      <c r="C84" s="14"/>
      <c r="D84" s="2"/>
      <c r="E84" s="2">
        <v>200</v>
      </c>
      <c r="F84" s="2">
        <v>50</v>
      </c>
      <c r="G84" s="2">
        <v>50</v>
      </c>
      <c r="H84" s="2">
        <v>50</v>
      </c>
      <c r="I84" s="2">
        <v>50</v>
      </c>
      <c r="J84" s="2">
        <v>200</v>
      </c>
      <c r="K84" s="2">
        <v>50</v>
      </c>
      <c r="L84" s="2">
        <v>50</v>
      </c>
      <c r="M84" s="2">
        <v>50</v>
      </c>
      <c r="N84" s="2">
        <v>50</v>
      </c>
      <c r="O84" s="2">
        <v>50</v>
      </c>
      <c r="P84" s="9"/>
      <c r="Q84" s="2">
        <f>SUM(OSRRefD21_16_0x)+IFERROR(SUM(OSRRefE21_16_0x),0)</f>
        <v>850</v>
      </c>
    </row>
    <row r="85" spans="1:17" s="34" customFormat="1" hidden="1" outlineLevel="1" x14ac:dyDescent="0.3">
      <c r="A85" s="35"/>
      <c r="B85" s="10" t="str">
        <f>CONCATENATE("          ","6235", " - ","COVID-19 EXPENSES")</f>
        <v xml:space="preserve">          6235 - COVID-19 EXPENSES</v>
      </c>
      <c r="C85" s="14"/>
      <c r="D85" s="2"/>
      <c r="E85" s="2">
        <v>250</v>
      </c>
      <c r="F85" s="2">
        <v>250</v>
      </c>
      <c r="G85" s="2">
        <v>250</v>
      </c>
      <c r="H85" s="2">
        <v>250</v>
      </c>
      <c r="I85" s="2">
        <v>250</v>
      </c>
      <c r="J85" s="2">
        <v>250</v>
      </c>
      <c r="K85" s="2">
        <v>250</v>
      </c>
      <c r="L85" s="2">
        <v>250</v>
      </c>
      <c r="M85" s="2">
        <v>250</v>
      </c>
      <c r="N85" s="2">
        <v>250</v>
      </c>
      <c r="O85" s="2">
        <v>225</v>
      </c>
      <c r="P85" s="9"/>
      <c r="Q85" s="2">
        <f>SUM(OSRRefD21_16_1x)+IFERROR(SUM(OSRRefE21_16_1x),0)</f>
        <v>2725</v>
      </c>
    </row>
    <row r="86" spans="1:17" s="34" customFormat="1" hidden="1" outlineLevel="1" x14ac:dyDescent="0.3">
      <c r="A86" s="35"/>
      <c r="B86" s="10" t="str">
        <f>CONCATENATE("          ","6237", " - ","JANITORIAL SUPPLIES")</f>
        <v xml:space="preserve">          6237 - JANITORIAL SUPPLIES</v>
      </c>
      <c r="C86" s="14"/>
      <c r="D86" s="2">
        <v>1002.17</v>
      </c>
      <c r="E86" s="2">
        <v>844</v>
      </c>
      <c r="F86" s="2">
        <v>586</v>
      </c>
      <c r="G86" s="2">
        <v>275</v>
      </c>
      <c r="H86" s="2">
        <v>225</v>
      </c>
      <c r="I86" s="2">
        <v>225</v>
      </c>
      <c r="J86" s="2">
        <v>275</v>
      </c>
      <c r="K86" s="2">
        <v>275</v>
      </c>
      <c r="L86" s="2">
        <v>225</v>
      </c>
      <c r="M86" s="2">
        <v>275</v>
      </c>
      <c r="N86" s="2">
        <v>225</v>
      </c>
      <c r="O86" s="2">
        <v>175</v>
      </c>
      <c r="P86" s="9"/>
      <c r="Q86" s="2">
        <f>SUM(OSRRefD21_16_2x)+IFERROR(SUM(OSRRefE21_16_2x),0)</f>
        <v>4607.17</v>
      </c>
    </row>
    <row r="87" spans="1:17" s="34" customFormat="1" hidden="1" outlineLevel="1" x14ac:dyDescent="0.3">
      <c r="A87" s="35"/>
      <c r="B87" s="10" t="str">
        <f>CONCATENATE("          ","6239", " - ","KITCHEN SUPPLIES")</f>
        <v xml:space="preserve">          6239 - KITCHEN SUPPLIES</v>
      </c>
      <c r="C87" s="14"/>
      <c r="D87" s="2">
        <v>32.03</v>
      </c>
      <c r="E87" s="2">
        <v>73</v>
      </c>
      <c r="F87" s="2">
        <v>13</v>
      </c>
      <c r="G87" s="2"/>
      <c r="H87" s="2"/>
      <c r="I87" s="2"/>
      <c r="J87" s="2">
        <v>100</v>
      </c>
      <c r="K87" s="2"/>
      <c r="L87" s="2"/>
      <c r="M87" s="2"/>
      <c r="N87" s="2"/>
      <c r="O87" s="2"/>
      <c r="P87" s="9"/>
      <c r="Q87" s="2">
        <f>SUM(OSRRefD21_16_3x)+IFERROR(SUM(OSRRefE21_16_3x),0)</f>
        <v>218.03</v>
      </c>
    </row>
    <row r="88" spans="1:17" s="34" customFormat="1" hidden="1" outlineLevel="1" x14ac:dyDescent="0.3">
      <c r="A88" s="35"/>
      <c r="B88" s="10" t="str">
        <f>CONCATENATE("          ","6241", " - ","OFFICE EXPENSE")</f>
        <v xml:space="preserve">          6241 - OFFICE EXPENSE</v>
      </c>
      <c r="C88" s="14"/>
      <c r="D88" s="2">
        <v>643.07000000000005</v>
      </c>
      <c r="E88" s="2">
        <v>2550</v>
      </c>
      <c r="F88" s="2">
        <v>283</v>
      </c>
      <c r="G88" s="2">
        <v>50</v>
      </c>
      <c r="H88" s="2"/>
      <c r="I88" s="2"/>
      <c r="J88" s="2">
        <v>200</v>
      </c>
      <c r="K88" s="2"/>
      <c r="L88" s="2">
        <v>50</v>
      </c>
      <c r="M88" s="2"/>
      <c r="N88" s="2">
        <v>50</v>
      </c>
      <c r="O88" s="2"/>
      <c r="P88" s="9"/>
      <c r="Q88" s="2">
        <f>SUM(OSRRefD21_16_4x)+IFERROR(SUM(OSRRefE21_16_4x),0)</f>
        <v>3826.07</v>
      </c>
    </row>
    <row r="89" spans="1:17" s="34" customFormat="1" hidden="1" outlineLevel="1" x14ac:dyDescent="0.3">
      <c r="A89" s="35"/>
      <c r="B89" s="10" t="str">
        <f>CONCATENATE("          ","6243", " - ","PAPER SUPPLIES")</f>
        <v xml:space="preserve">          6243 - PAPER SUPPLIES</v>
      </c>
      <c r="C89" s="14"/>
      <c r="D89" s="2">
        <v>165.38</v>
      </c>
      <c r="E89" s="2">
        <v>1501</v>
      </c>
      <c r="F89" s="2">
        <v>1223</v>
      </c>
      <c r="G89" s="2">
        <v>900</v>
      </c>
      <c r="H89" s="2">
        <v>800</v>
      </c>
      <c r="I89" s="2">
        <v>800</v>
      </c>
      <c r="J89" s="2">
        <v>1100</v>
      </c>
      <c r="K89" s="2">
        <v>800</v>
      </c>
      <c r="L89" s="2">
        <v>800</v>
      </c>
      <c r="M89" s="2">
        <v>800</v>
      </c>
      <c r="N89" s="2">
        <v>800</v>
      </c>
      <c r="O89" s="2">
        <v>700</v>
      </c>
      <c r="P89" s="9"/>
      <c r="Q89" s="2">
        <f>SUM(OSRRefD21_16_5x)+IFERROR(SUM(OSRRefE21_16_5x),0)</f>
        <v>10389.379999999999</v>
      </c>
    </row>
    <row r="90" spans="1:17" s="34" customFormat="1" hidden="1" outlineLevel="1" x14ac:dyDescent="0.3">
      <c r="A90" s="35"/>
      <c r="B90" s="10" t="str">
        <f>CONCATENATE("          ","6244", " - ","SAFETY SUPPLY EXPENSE")</f>
        <v xml:space="preserve">          6244 - SAFETY SUPPLY EXPENSE</v>
      </c>
      <c r="C90" s="14"/>
      <c r="D90" s="2"/>
      <c r="E90" s="2"/>
      <c r="F90" s="2"/>
      <c r="G90" s="2"/>
      <c r="H90" s="2"/>
      <c r="I90" s="2">
        <v>50</v>
      </c>
      <c r="J90" s="2"/>
      <c r="K90" s="2"/>
      <c r="L90" s="2"/>
      <c r="M90" s="2">
        <v>50</v>
      </c>
      <c r="N90" s="2"/>
      <c r="O90" s="2"/>
      <c r="P90" s="9"/>
      <c r="Q90" s="2">
        <f>SUM(OSRRefD21_16_6x)+IFERROR(SUM(OSRRefE21_16_6x),0)</f>
        <v>100</v>
      </c>
    </row>
    <row r="91" spans="1:17" s="34" customFormat="1" hidden="1" outlineLevel="1" x14ac:dyDescent="0.3">
      <c r="A91" s="35"/>
      <c r="B91" s="10" t="str">
        <f>CONCATENATE("          ","6245", " - ","PRINTING")</f>
        <v xml:space="preserve">          6245 - PRINTING</v>
      </c>
      <c r="C91" s="14"/>
      <c r="D91" s="2"/>
      <c r="E91" s="2">
        <v>300</v>
      </c>
      <c r="F91" s="2">
        <v>100</v>
      </c>
      <c r="G91" s="2">
        <v>100</v>
      </c>
      <c r="H91" s="2">
        <v>100</v>
      </c>
      <c r="I91" s="2">
        <v>100</v>
      </c>
      <c r="J91" s="2">
        <v>400</v>
      </c>
      <c r="K91" s="2">
        <v>100</v>
      </c>
      <c r="L91" s="2">
        <v>100</v>
      </c>
      <c r="M91" s="2">
        <v>100</v>
      </c>
      <c r="N91" s="2">
        <v>100</v>
      </c>
      <c r="O91" s="2">
        <v>100</v>
      </c>
      <c r="P91" s="9"/>
      <c r="Q91" s="2">
        <f>SUM(OSRRefD21_16_7x)+IFERROR(SUM(OSRRefE21_16_7x),0)</f>
        <v>1600</v>
      </c>
    </row>
    <row r="92" spans="1:17" s="34" customFormat="1" hidden="1" outlineLevel="1" x14ac:dyDescent="0.3">
      <c r="A92" s="35"/>
      <c r="B92" s="10" t="str">
        <f>CONCATENATE("          ","6247", " - ","STORE SUPPLIES")</f>
        <v xml:space="preserve">          6247 - STORE SUPPLIES</v>
      </c>
      <c r="C92" s="14"/>
      <c r="D92" s="2"/>
      <c r="E92" s="2">
        <v>2411</v>
      </c>
      <c r="F92" s="2">
        <v>2300</v>
      </c>
      <c r="G92" s="2">
        <v>3100</v>
      </c>
      <c r="H92" s="2">
        <v>1250</v>
      </c>
      <c r="I92" s="2">
        <v>700</v>
      </c>
      <c r="J92" s="2">
        <v>1700</v>
      </c>
      <c r="K92" s="2">
        <v>2500</v>
      </c>
      <c r="L92" s="2">
        <v>1050</v>
      </c>
      <c r="M92" s="2">
        <v>1250</v>
      </c>
      <c r="N92" s="2">
        <v>1450</v>
      </c>
      <c r="O92" s="2">
        <v>250</v>
      </c>
      <c r="P92" s="9"/>
      <c r="Q92" s="2">
        <f>SUM(OSRRefD21_16_8x)+IFERROR(SUM(OSRRefE21_16_8x),0)</f>
        <v>17961</v>
      </c>
    </row>
    <row r="93" spans="1:17" s="34" customFormat="1" hidden="1" outlineLevel="1" x14ac:dyDescent="0.3">
      <c r="A93" s="35"/>
      <c r="B93" s="10" t="str">
        <f>CONCATENATE("          ","6248", " - ","UNIFORMS")</f>
        <v xml:space="preserve">          6248 - UNIFORMS</v>
      </c>
      <c r="C93" s="14"/>
      <c r="D93" s="2"/>
      <c r="E93" s="2">
        <v>1000</v>
      </c>
      <c r="F93" s="2"/>
      <c r="G93" s="2"/>
      <c r="H93" s="2"/>
      <c r="I93" s="2">
        <v>250</v>
      </c>
      <c r="J93" s="2">
        <v>500</v>
      </c>
      <c r="K93" s="2">
        <v>500</v>
      </c>
      <c r="L93" s="2"/>
      <c r="M93" s="2"/>
      <c r="N93" s="2"/>
      <c r="O93" s="2"/>
      <c r="P93" s="9"/>
      <c r="Q93" s="2">
        <f>SUM(OSRRefD21_16_9x)+IFERROR(SUM(OSRRefE21_16_9x),0)</f>
        <v>2250</v>
      </c>
    </row>
    <row r="94" spans="1:17" s="34" customFormat="1" collapsed="1" x14ac:dyDescent="0.3">
      <c r="A94" s="35"/>
      <c r="B94" s="14" t="str">
        <f>CONCATENATE("     ","Telephone/Data Lines                              ")</f>
        <v xml:space="preserve">     Telephone/Data Lines                              </v>
      </c>
      <c r="C94" s="14"/>
      <c r="D94" s="1">
        <f>SUM(OSRRefD21_17x_0)</f>
        <v>642.35</v>
      </c>
      <c r="E94" s="1">
        <f>SUM(OSRRefE21_17x_0)</f>
        <v>538</v>
      </c>
      <c r="F94" s="1">
        <f>SUM(OSRRefE21_17x_1)</f>
        <v>538</v>
      </c>
      <c r="G94" s="1">
        <f>SUM(OSRRefE21_17x_2)</f>
        <v>688</v>
      </c>
      <c r="H94" s="1">
        <f>SUM(OSRRefE21_17x_3)</f>
        <v>538</v>
      </c>
      <c r="I94" s="1">
        <f>SUM(OSRRefE21_17x_4)</f>
        <v>538</v>
      </c>
      <c r="J94" s="1">
        <f>SUM(OSRRefE21_17x_5)</f>
        <v>688</v>
      </c>
      <c r="K94" s="1">
        <f>SUM(OSRRefE21_17x_6)</f>
        <v>538</v>
      </c>
      <c r="L94" s="1">
        <f>SUM(OSRRefE21_17x_7)</f>
        <v>538</v>
      </c>
      <c r="M94" s="1">
        <f>SUM(OSRRefE21_17x_8)</f>
        <v>538</v>
      </c>
      <c r="N94" s="1">
        <f>SUM(OSRRefE21_17x_9)</f>
        <v>688</v>
      </c>
      <c r="O94" s="1">
        <f>SUM(OSRRefE21_17x_10)</f>
        <v>538</v>
      </c>
      <c r="Q94" s="2">
        <f>SUM(OSRRefD20_17x)+IFERROR(SUM(OSRRefE20_17x),0)</f>
        <v>7010.35</v>
      </c>
    </row>
    <row r="95" spans="1:17" s="34" customFormat="1" hidden="1" outlineLevel="1" x14ac:dyDescent="0.3">
      <c r="A95" s="35"/>
      <c r="B95" s="10" t="str">
        <f>CONCATENATE("          ","6303", " - ","DATA PHONE LINES")</f>
        <v xml:space="preserve">          6303 - DATA PHONE LINES</v>
      </c>
      <c r="C95" s="14"/>
      <c r="D95" s="2"/>
      <c r="E95" s="2">
        <v>185</v>
      </c>
      <c r="F95" s="2">
        <v>185</v>
      </c>
      <c r="G95" s="2">
        <v>185</v>
      </c>
      <c r="H95" s="2">
        <v>185</v>
      </c>
      <c r="I95" s="2">
        <v>185</v>
      </c>
      <c r="J95" s="2">
        <v>185</v>
      </c>
      <c r="K95" s="2">
        <v>185</v>
      </c>
      <c r="L95" s="2">
        <v>185</v>
      </c>
      <c r="M95" s="2">
        <v>185</v>
      </c>
      <c r="N95" s="2">
        <v>185</v>
      </c>
      <c r="O95" s="2">
        <v>185</v>
      </c>
      <c r="P95" s="9"/>
      <c r="Q95" s="2">
        <f>SUM(OSRRefD21_17_0x)+IFERROR(SUM(OSRRefE21_17_0x),0)</f>
        <v>2035</v>
      </c>
    </row>
    <row r="96" spans="1:17" s="34" customFormat="1" hidden="1" outlineLevel="1" x14ac:dyDescent="0.3">
      <c r="A96" s="35"/>
      <c r="B96" s="10" t="str">
        <f>CONCATENATE("          ","6309", " - ","TELEPHONE")</f>
        <v xml:space="preserve">          6309 - TELEPHONE</v>
      </c>
      <c r="C96" s="14"/>
      <c r="D96" s="2">
        <v>642.35</v>
      </c>
      <c r="E96" s="2">
        <v>353</v>
      </c>
      <c r="F96" s="2">
        <v>353</v>
      </c>
      <c r="G96" s="2">
        <v>503</v>
      </c>
      <c r="H96" s="2">
        <v>353</v>
      </c>
      <c r="I96" s="2">
        <v>353</v>
      </c>
      <c r="J96" s="2">
        <v>503</v>
      </c>
      <c r="K96" s="2">
        <v>353</v>
      </c>
      <c r="L96" s="2">
        <v>353</v>
      </c>
      <c r="M96" s="2">
        <v>353</v>
      </c>
      <c r="N96" s="2">
        <v>503</v>
      </c>
      <c r="O96" s="2">
        <v>353</v>
      </c>
      <c r="P96" s="9"/>
      <c r="Q96" s="2">
        <f>SUM(OSRRefD21_17_1x)+IFERROR(SUM(OSRRefE21_17_1x),0)</f>
        <v>4975.3500000000004</v>
      </c>
    </row>
    <row r="97" spans="1:17" s="34" customFormat="1" collapsed="1" x14ac:dyDescent="0.3">
      <c r="A97" s="35"/>
      <c r="B97" s="14" t="str">
        <f>CONCATENATE("     ","Training                                          ")</f>
        <v xml:space="preserve">     Training                                          </v>
      </c>
      <c r="C97" s="14"/>
      <c r="D97" s="1">
        <f>SUM(OSRRefD21_18x_0)</f>
        <v>0</v>
      </c>
      <c r="E97" s="1">
        <f>SUM(OSRRefE21_18x_0)</f>
        <v>355</v>
      </c>
      <c r="F97" s="1">
        <f>SUM(OSRRefE21_18x_1)</f>
        <v>200</v>
      </c>
      <c r="G97" s="1">
        <f>SUM(OSRRefE21_18x_2)</f>
        <v>0</v>
      </c>
      <c r="H97" s="1">
        <f>SUM(OSRRefE21_18x_3)</f>
        <v>0</v>
      </c>
      <c r="I97" s="1">
        <f>SUM(OSRRefE21_18x_4)</f>
        <v>0</v>
      </c>
      <c r="J97" s="1">
        <f>SUM(OSRRefE21_18x_5)</f>
        <v>1135</v>
      </c>
      <c r="K97" s="1">
        <f>SUM(OSRRefE21_18x_6)</f>
        <v>0</v>
      </c>
      <c r="L97" s="1">
        <f>SUM(OSRRefE21_18x_7)</f>
        <v>3300</v>
      </c>
      <c r="M97" s="1">
        <f>SUM(OSRRefE21_18x_8)</f>
        <v>0</v>
      </c>
      <c r="N97" s="1">
        <f>SUM(OSRRefE21_18x_9)</f>
        <v>0</v>
      </c>
      <c r="O97" s="1">
        <f>SUM(OSRRefE21_18x_10)</f>
        <v>0</v>
      </c>
      <c r="Q97" s="2">
        <f>SUM(OSRRefD20_18x)+IFERROR(SUM(OSRRefE20_18x),0)</f>
        <v>4990</v>
      </c>
    </row>
    <row r="98" spans="1:17" s="34" customFormat="1" hidden="1" outlineLevel="1" x14ac:dyDescent="0.3">
      <c r="A98" s="35"/>
      <c r="B98" s="10" t="str">
        <f>CONCATENATE("          ","6376", " - ","TRAINING")</f>
        <v xml:space="preserve">          6376 - TRAINING</v>
      </c>
      <c r="C98" s="14"/>
      <c r="D98" s="2"/>
      <c r="E98" s="2">
        <v>355</v>
      </c>
      <c r="F98" s="2">
        <v>200</v>
      </c>
      <c r="G98" s="2"/>
      <c r="H98" s="2"/>
      <c r="I98" s="2"/>
      <c r="J98" s="2">
        <v>1135</v>
      </c>
      <c r="K98" s="2"/>
      <c r="L98" s="2">
        <v>3300</v>
      </c>
      <c r="M98" s="2"/>
      <c r="N98" s="2"/>
      <c r="O98" s="2"/>
      <c r="P98" s="9"/>
      <c r="Q98" s="2">
        <f>SUM(OSRRefD21_18_0x)+IFERROR(SUM(OSRRefE21_18_0x),0)</f>
        <v>4990</v>
      </c>
    </row>
    <row r="99" spans="1:17" s="34" customFormat="1" collapsed="1" x14ac:dyDescent="0.3">
      <c r="A99" s="35"/>
      <c r="B99" s="14" t="str">
        <f>CONCATENATE("     ","Travel                                            ")</f>
        <v xml:space="preserve">     Travel                                            </v>
      </c>
      <c r="C99" s="14"/>
      <c r="D99" s="1">
        <f>SUM(OSRRefD21_19x_0)</f>
        <v>0</v>
      </c>
      <c r="E99" s="1">
        <f>SUM(OSRRefE21_19x_0)</f>
        <v>0</v>
      </c>
      <c r="F99" s="1">
        <f>SUM(OSRRefE21_19x_1)</f>
        <v>0</v>
      </c>
      <c r="G99" s="1">
        <f>SUM(OSRRefE21_19x_2)</f>
        <v>0</v>
      </c>
      <c r="H99" s="1">
        <f>SUM(OSRRefE21_19x_3)</f>
        <v>0</v>
      </c>
      <c r="I99" s="1">
        <f>SUM(OSRRefE21_19x_4)</f>
        <v>0</v>
      </c>
      <c r="J99" s="1">
        <f>SUM(OSRRefE21_19x_5)</f>
        <v>0</v>
      </c>
      <c r="K99" s="1">
        <f>SUM(OSRRefE21_19x_6)</f>
        <v>600</v>
      </c>
      <c r="L99" s="1">
        <f>SUM(OSRRefE21_19x_7)</f>
        <v>600</v>
      </c>
      <c r="M99" s="1">
        <f>SUM(OSRRefE21_19x_8)</f>
        <v>0</v>
      </c>
      <c r="N99" s="1">
        <f>SUM(OSRRefE21_19x_9)</f>
        <v>0</v>
      </c>
      <c r="O99" s="1">
        <f>SUM(OSRRefE21_19x_10)</f>
        <v>0</v>
      </c>
      <c r="Q99" s="2">
        <f>SUM(OSRRefD20_19x)+IFERROR(SUM(OSRRefE20_19x),0)</f>
        <v>1200</v>
      </c>
    </row>
    <row r="100" spans="1:17" s="34" customFormat="1" hidden="1" outlineLevel="1" x14ac:dyDescent="0.3">
      <c r="A100" s="35"/>
      <c r="B100" s="10" t="str">
        <f>CONCATENATE("          ","6292", " - ","TRAVEL/CONFERENCE")</f>
        <v xml:space="preserve">          6292 - TRAVEL/CONFERENCE</v>
      </c>
      <c r="C100" s="14"/>
      <c r="D100" s="2"/>
      <c r="E100" s="2"/>
      <c r="F100" s="2"/>
      <c r="G100" s="2"/>
      <c r="H100" s="2"/>
      <c r="I100" s="2"/>
      <c r="J100" s="2"/>
      <c r="K100" s="2">
        <v>600</v>
      </c>
      <c r="L100" s="2">
        <v>600</v>
      </c>
      <c r="M100" s="2"/>
      <c r="N100" s="2"/>
      <c r="O100" s="2"/>
      <c r="P100" s="9"/>
      <c r="Q100" s="2">
        <f>SUM(OSRRefD21_19_0x)+IFERROR(SUM(OSRRefE21_19_0x),0)</f>
        <v>1200</v>
      </c>
    </row>
    <row r="101" spans="1:17" s="34" customFormat="1" collapsed="1" x14ac:dyDescent="0.3">
      <c r="A101" s="35"/>
      <c r="B101" s="14" t="str">
        <f>CONCATENATE("     ","Utilities                                         ")</f>
        <v xml:space="preserve">     Utilities                                         </v>
      </c>
      <c r="C101" s="14"/>
      <c r="D101" s="1">
        <f>SUM(OSRRefD21_20x_0)</f>
        <v>8250</v>
      </c>
      <c r="E101" s="1">
        <f>SUM(OSRRefE21_20x_0)</f>
        <v>8667</v>
      </c>
      <c r="F101" s="1">
        <f>SUM(OSRRefE21_20x_1)</f>
        <v>8667</v>
      </c>
      <c r="G101" s="1">
        <f>SUM(OSRRefE21_20x_2)</f>
        <v>8667</v>
      </c>
      <c r="H101" s="1">
        <f>SUM(OSRRefE21_20x_3)</f>
        <v>8667</v>
      </c>
      <c r="I101" s="1">
        <f>SUM(OSRRefE21_20x_4)</f>
        <v>8667</v>
      </c>
      <c r="J101" s="1">
        <f>SUM(OSRRefE21_20x_5)</f>
        <v>8667</v>
      </c>
      <c r="K101" s="1">
        <f>SUM(OSRRefE21_20x_6)</f>
        <v>8667</v>
      </c>
      <c r="L101" s="1">
        <f>SUM(OSRRefE21_20x_7)</f>
        <v>8667</v>
      </c>
      <c r="M101" s="1">
        <f>SUM(OSRRefE21_20x_8)</f>
        <v>8667</v>
      </c>
      <c r="N101" s="1">
        <f>SUM(OSRRefE21_20x_9)</f>
        <v>8667</v>
      </c>
      <c r="O101" s="1">
        <f>SUM(OSRRefE21_20x_10)</f>
        <v>8663</v>
      </c>
      <c r="Q101" s="2">
        <f>SUM(OSRRefD20_20x)+IFERROR(SUM(OSRRefE20_20x),0)</f>
        <v>103583</v>
      </c>
    </row>
    <row r="102" spans="1:17" s="34" customFormat="1" hidden="1" outlineLevel="1" x14ac:dyDescent="0.3">
      <c r="A102" s="35"/>
      <c r="B102" s="10" t="str">
        <f>CONCATENATE("          ","6274", " - ","UTILITIES")</f>
        <v xml:space="preserve">          6274 - UTILITIES</v>
      </c>
      <c r="C102" s="14"/>
      <c r="D102" s="2">
        <v>8250</v>
      </c>
      <c r="E102" s="2">
        <v>8667</v>
      </c>
      <c r="F102" s="2">
        <v>8667</v>
      </c>
      <c r="G102" s="2">
        <v>8667</v>
      </c>
      <c r="H102" s="2">
        <v>8667</v>
      </c>
      <c r="I102" s="2">
        <v>8667</v>
      </c>
      <c r="J102" s="2">
        <v>8667</v>
      </c>
      <c r="K102" s="2">
        <v>8667</v>
      </c>
      <c r="L102" s="2">
        <v>8667</v>
      </c>
      <c r="M102" s="2">
        <v>8667</v>
      </c>
      <c r="N102" s="2">
        <v>8667</v>
      </c>
      <c r="O102" s="2">
        <v>8663</v>
      </c>
      <c r="P102" s="9"/>
      <c r="Q102" s="2">
        <f>SUM(OSRRefD21_20_0x)+IFERROR(SUM(OSRRefE21_20_0x),0)</f>
        <v>103583</v>
      </c>
    </row>
    <row r="103" spans="1:17" s="28" customFormat="1" x14ac:dyDescent="0.3">
      <c r="A103" s="21"/>
      <c r="B103" s="21"/>
      <c r="C103" s="2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Q103" s="1"/>
    </row>
    <row r="104" spans="1:17" s="9" customFormat="1" x14ac:dyDescent="0.3">
      <c r="A104" s="22"/>
      <c r="B104" s="16" t="s">
        <v>293</v>
      </c>
      <c r="C104" s="23"/>
      <c r="D104" s="3">
        <f>--2655.42</f>
        <v>2655.42</v>
      </c>
      <c r="E104" s="3"/>
      <c r="F104" s="3">
        <v>250</v>
      </c>
      <c r="G104" s="3">
        <v>250</v>
      </c>
      <c r="H104" s="3">
        <v>250</v>
      </c>
      <c r="I104" s="3">
        <v>250</v>
      </c>
      <c r="J104" s="3">
        <v>46218.59</v>
      </c>
      <c r="K104" s="3">
        <v>37154.720000000001</v>
      </c>
      <c r="L104" s="3">
        <v>21607.09</v>
      </c>
      <c r="M104" s="3">
        <v>28752.13</v>
      </c>
      <c r="N104" s="3">
        <v>29120.49</v>
      </c>
      <c r="O104" s="3">
        <v>12000</v>
      </c>
      <c r="Q104" s="2">
        <f>SUM(OSRRefD23_0x)+IFERROR(SUM(OSRRefE23_0x),0)</f>
        <v>178508.44</v>
      </c>
    </row>
    <row r="105" spans="1:17" x14ac:dyDescent="0.3">
      <c r="A105" s="5"/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Q105" s="3"/>
    </row>
    <row r="106" spans="1:17" s="15" customFormat="1" x14ac:dyDescent="0.3">
      <c r="A106" s="6"/>
      <c r="B106" s="17" t="s">
        <v>276</v>
      </c>
      <c r="C106" s="17"/>
      <c r="D106" s="8">
        <f t="shared" ref="D106:O106" si="2">IFERROR(+D21-D24+D104, 0)</f>
        <v>-140482.68</v>
      </c>
      <c r="E106" s="8">
        <f t="shared" si="2"/>
        <v>-167657.35008351071</v>
      </c>
      <c r="F106" s="8">
        <f t="shared" si="2"/>
        <v>-116262.979860369</v>
      </c>
      <c r="G106" s="8">
        <f t="shared" si="2"/>
        <v>-113444.21843376342</v>
      </c>
      <c r="H106" s="8">
        <f t="shared" si="2"/>
        <v>-122001.065009276</v>
      </c>
      <c r="I106" s="8">
        <f t="shared" si="2"/>
        <v>-122957.58750321431</v>
      </c>
      <c r="J106" s="8">
        <f t="shared" si="2"/>
        <v>-75903.552113800222</v>
      </c>
      <c r="K106" s="8">
        <f t="shared" si="2"/>
        <v>86206.175754189288</v>
      </c>
      <c r="L106" s="8">
        <f t="shared" si="2"/>
        <v>62256.738387417077</v>
      </c>
      <c r="M106" s="8">
        <f t="shared" si="2"/>
        <v>45526.472822707496</v>
      </c>
      <c r="N106" s="8">
        <f t="shared" si="2"/>
        <v>-13628.699993820326</v>
      </c>
      <c r="O106" s="8">
        <f t="shared" si="2"/>
        <v>-115008.17827967141</v>
      </c>
      <c r="Q106" s="8">
        <f>IFERROR(+Q21-Q24+Q104, 0)</f>
        <v>-793356.9243131117</v>
      </c>
    </row>
    <row r="107" spans="1:17" s="6" customFormat="1" x14ac:dyDescent="0.3">
      <c r="B107" s="16"/>
      <c r="C107" s="16"/>
      <c r="D107" s="4">
        <f t="shared" ref="D107:O107" si="3">IFERROR(D106/D10, 0)</f>
        <v>-7.130264420770966</v>
      </c>
      <c r="E107" s="4">
        <f t="shared" si="3"/>
        <v>-2.9133479892178826</v>
      </c>
      <c r="F107" s="4">
        <f t="shared" si="3"/>
        <v>-0.72104650066588727</v>
      </c>
      <c r="G107" s="4">
        <f t="shared" si="3"/>
        <v>-0.54077193674273016</v>
      </c>
      <c r="H107" s="4">
        <f t="shared" si="3"/>
        <v>-1.1401649020053271</v>
      </c>
      <c r="I107" s="4">
        <f t="shared" si="3"/>
        <v>-1.1240192292164284</v>
      </c>
      <c r="J107" s="4">
        <f t="shared" si="3"/>
        <v>-0.40599904850793089</v>
      </c>
      <c r="K107" s="4">
        <f t="shared" si="3"/>
        <v>0.17544759490015119</v>
      </c>
      <c r="L107" s="4">
        <f t="shared" si="3"/>
        <v>0.13354570713092728</v>
      </c>
      <c r="M107" s="4">
        <f t="shared" si="3"/>
        <v>9.6797077838507717E-2</v>
      </c>
      <c r="N107" s="4">
        <f t="shared" si="3"/>
        <v>-4.7209424751530477E-2</v>
      </c>
      <c r="O107" s="4">
        <f t="shared" si="3"/>
        <v>-1.178350409111294</v>
      </c>
      <c r="P107" s="18"/>
      <c r="Q107" s="4">
        <f>IFERROR(Q106/Q10, 0)</f>
        <v>-0.29760865972574818</v>
      </c>
    </row>
    <row r="108" spans="1:17" x14ac:dyDescent="0.3">
      <c r="A108" s="5"/>
      <c r="B108" s="6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Q108" s="3"/>
    </row>
    <row r="109" spans="1:17" s="15" customFormat="1" x14ac:dyDescent="0.3">
      <c r="A109" s="25"/>
      <c r="B109" s="6" t="s">
        <v>125</v>
      </c>
      <c r="C109" s="6"/>
      <c r="D109" s="3">
        <v>9102.39</v>
      </c>
      <c r="E109" s="3">
        <v>4315</v>
      </c>
      <c r="F109" s="3">
        <v>17282</v>
      </c>
      <c r="G109" s="3">
        <v>25578</v>
      </c>
      <c r="H109" s="3">
        <v>17758</v>
      </c>
      <c r="I109" s="3">
        <v>16590</v>
      </c>
      <c r="J109" s="3">
        <v>20697</v>
      </c>
      <c r="K109" s="3">
        <v>57504</v>
      </c>
      <c r="L109" s="3">
        <v>56152</v>
      </c>
      <c r="M109" s="3">
        <v>60074</v>
      </c>
      <c r="N109" s="3">
        <v>37934</v>
      </c>
      <c r="O109" s="3">
        <v>-15955</v>
      </c>
      <c r="Q109" s="2">
        <f>SUM(OSRRefD28_0x)+IFERROR(SUM(OSRRefE28_0x),0)</f>
        <v>307031.39</v>
      </c>
    </row>
    <row r="110" spans="1:17" x14ac:dyDescent="0.3">
      <c r="A110" s="5"/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Q110" s="3"/>
    </row>
    <row r="111" spans="1:17" s="15" customFormat="1" ht="15" thickBot="1" x14ac:dyDescent="0.35">
      <c r="A111" s="6"/>
      <c r="B111" s="17" t="s">
        <v>124</v>
      </c>
      <c r="C111" s="17"/>
      <c r="D111" s="7">
        <f t="shared" ref="D111:O111" si="4">IFERROR(+D106-D109, 0)</f>
        <v>-149585.07</v>
      </c>
      <c r="E111" s="7">
        <f t="shared" si="4"/>
        <v>-171972.35008351071</v>
      </c>
      <c r="F111" s="7">
        <f t="shared" si="4"/>
        <v>-133544.979860369</v>
      </c>
      <c r="G111" s="7">
        <f t="shared" si="4"/>
        <v>-139022.21843376342</v>
      </c>
      <c r="H111" s="7">
        <f t="shared" si="4"/>
        <v>-139759.065009276</v>
      </c>
      <c r="I111" s="7">
        <f t="shared" si="4"/>
        <v>-139547.58750321431</v>
      </c>
      <c r="J111" s="7">
        <f t="shared" si="4"/>
        <v>-96600.552113800222</v>
      </c>
      <c r="K111" s="7">
        <f t="shared" si="4"/>
        <v>28702.175754189288</v>
      </c>
      <c r="L111" s="7">
        <f t="shared" si="4"/>
        <v>6104.7383874170773</v>
      </c>
      <c r="M111" s="7">
        <f t="shared" si="4"/>
        <v>-14547.527177292504</v>
      </c>
      <c r="N111" s="7">
        <f t="shared" si="4"/>
        <v>-51562.699993820323</v>
      </c>
      <c r="O111" s="7">
        <f t="shared" si="4"/>
        <v>-99053.178279671411</v>
      </c>
      <c r="Q111" s="7">
        <f>IFERROR(+Q106-Q109, 0)</f>
        <v>-1100388.3143131118</v>
      </c>
    </row>
    <row r="112" spans="1:17" ht="15" thickTop="1" x14ac:dyDescent="0.3">
      <c r="A112" s="5"/>
      <c r="B112" s="5"/>
      <c r="C112" s="5"/>
      <c r="D112" s="4">
        <f t="shared" ref="D112:O112" si="5">IFERROR(D111/D10, 0)</f>
        <v>-7.5922605014335893</v>
      </c>
      <c r="E112" s="4">
        <f t="shared" si="5"/>
        <v>-2.9883288747395342</v>
      </c>
      <c r="F112" s="4">
        <f t="shared" si="5"/>
        <v>-0.82822701194706716</v>
      </c>
      <c r="G112" s="4">
        <f t="shared" si="5"/>
        <v>-0.66269850813589071</v>
      </c>
      <c r="H112" s="4">
        <f t="shared" si="5"/>
        <v>-1.3061228658007347</v>
      </c>
      <c r="I112" s="4">
        <f t="shared" si="5"/>
        <v>-1.2756770438446885</v>
      </c>
      <c r="J112" s="4">
        <f t="shared" si="5"/>
        <v>-0.51670483332245842</v>
      </c>
      <c r="K112" s="4">
        <f t="shared" si="5"/>
        <v>5.8414929793811514E-2</v>
      </c>
      <c r="L112" s="4">
        <f t="shared" si="5"/>
        <v>1.3095154450971137E-2</v>
      </c>
      <c r="M112" s="4">
        <f t="shared" si="5"/>
        <v>-3.0930534109724267E-2</v>
      </c>
      <c r="N112" s="4">
        <f t="shared" si="5"/>
        <v>-0.17861170958695718</v>
      </c>
      <c r="O112" s="4">
        <f t="shared" si="5"/>
        <v>-1.0148787233703693</v>
      </c>
      <c r="P112" s="18"/>
      <c r="Q112" s="4">
        <f>IFERROR(Q111/Q10, 0)</f>
        <v>-0.4127840589330421</v>
      </c>
    </row>
    <row r="113" spans="1:17" x14ac:dyDescent="0.3">
      <c r="A113" s="5"/>
      <c r="B113" s="5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Q113" s="3"/>
    </row>
    <row r="114" spans="1:17" x14ac:dyDescent="0.3">
      <c r="A114" s="5"/>
      <c r="B114" s="5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Q114" s="3"/>
    </row>
    <row r="115" spans="1:17" s="15" customFormat="1" ht="15" thickBot="1" x14ac:dyDescent="0.35">
      <c r="A115" s="6"/>
      <c r="B115" s="17" t="s">
        <v>294</v>
      </c>
      <c r="C115" s="17"/>
      <c r="D115" s="7">
        <f t="shared" ref="D115:O115" si="6">IFERROR(SUM(D111:D114), 0)</f>
        <v>-149592.66226050144</v>
      </c>
      <c r="E115" s="7">
        <f t="shared" si="6"/>
        <v>-171975.33841238546</v>
      </c>
      <c r="F115" s="7">
        <f t="shared" si="6"/>
        <v>-133545.80808738095</v>
      </c>
      <c r="G115" s="7">
        <f t="shared" si="6"/>
        <v>-139022.88113227155</v>
      </c>
      <c r="H115" s="7">
        <f t="shared" si="6"/>
        <v>-139760.37113214179</v>
      </c>
      <c r="I115" s="7">
        <f t="shared" si="6"/>
        <v>-139548.86318025817</v>
      </c>
      <c r="J115" s="7">
        <f t="shared" si="6"/>
        <v>-96601.068818633546</v>
      </c>
      <c r="K115" s="7">
        <f t="shared" si="6"/>
        <v>28702.234169119081</v>
      </c>
      <c r="L115" s="7">
        <f t="shared" si="6"/>
        <v>6104.751482571528</v>
      </c>
      <c r="M115" s="7">
        <f t="shared" si="6"/>
        <v>-14547.558107826613</v>
      </c>
      <c r="N115" s="7">
        <f t="shared" si="6"/>
        <v>-51562.878605529906</v>
      </c>
      <c r="O115" s="7">
        <f t="shared" si="6"/>
        <v>-99054.193158394788</v>
      </c>
      <c r="Q115" s="7">
        <f>IFERROR(SUM(Q111:Q114), 0)</f>
        <v>-1100388.7270971707</v>
      </c>
    </row>
    <row r="116" spans="1:17" ht="15" thickTop="1" x14ac:dyDescent="0.3">
      <c r="A116" s="5"/>
      <c r="C116" s="5"/>
      <c r="D116" s="4">
        <f t="shared" ref="D116:O116" si="7">IFERROR(D115/D10, 0)</f>
        <v>-7.5926458501821088</v>
      </c>
      <c r="E116" s="4">
        <f t="shared" si="7"/>
        <v>-2.9883808023282383</v>
      </c>
      <c r="F116" s="4">
        <f t="shared" si="7"/>
        <v>-0.8282321484934505</v>
      </c>
      <c r="G116" s="4">
        <f t="shared" si="7"/>
        <v>-0.66270166712240108</v>
      </c>
      <c r="H116" s="4">
        <f t="shared" si="7"/>
        <v>-1.3061350722142537</v>
      </c>
      <c r="I116" s="4">
        <f t="shared" si="7"/>
        <v>-1.2756887054717314</v>
      </c>
      <c r="J116" s="4">
        <f t="shared" si="7"/>
        <v>-0.51670759711499314</v>
      </c>
      <c r="K116" s="4">
        <f t="shared" si="7"/>
        <v>5.841504868040924E-2</v>
      </c>
      <c r="L116" s="4">
        <f t="shared" si="7"/>
        <v>1.3095182541129831E-2</v>
      </c>
      <c r="M116" s="4">
        <f t="shared" si="7"/>
        <v>-3.0930599873336777E-2</v>
      </c>
      <c r="N116" s="4">
        <f t="shared" si="7"/>
        <v>-0.17861232829278145</v>
      </c>
      <c r="O116" s="4">
        <f t="shared" si="7"/>
        <v>-1.0148891216114055</v>
      </c>
      <c r="P116" s="18"/>
      <c r="Q116" s="4">
        <f>IFERROR(Q115/Q10, 0)</f>
        <v>-0.41278421377899699</v>
      </c>
    </row>
    <row r="117" spans="1:17" x14ac:dyDescent="0.3">
      <c r="A117" s="5"/>
      <c r="B117" s="30">
        <v>44462.67837858796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Q117" s="11"/>
    </row>
    <row r="118" spans="1:17" x14ac:dyDescent="0.3">
      <c r="A118" s="5"/>
      <c r="B118" s="31" t="s">
        <v>54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Q118" s="11"/>
    </row>
    <row r="119" spans="1:17" x14ac:dyDescent="0.3">
      <c r="A119" s="5"/>
      <c r="B119" s="29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Q119" s="11"/>
    </row>
    <row r="120" spans="1:17" x14ac:dyDescent="0.3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Q120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FF00"/>
    <outlinePr summaryBelow="0" summaryRight="0"/>
    <pageSetUpPr fitToPage="1"/>
  </sheetPr>
  <dimension ref="A2:R116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103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19702.309999999998</v>
      </c>
      <c r="E10" s="3">
        <f>SUM(OSRRefE11x_0)</f>
        <v>45034</v>
      </c>
      <c r="F10" s="3">
        <f>SUM(OSRRefE11x_1)</f>
        <v>119741</v>
      </c>
      <c r="G10" s="3">
        <f>SUM(OSRRefE11x_2)</f>
        <v>158028</v>
      </c>
      <c r="H10" s="3">
        <f>SUM(OSRRefE11x_3)</f>
        <v>82127</v>
      </c>
      <c r="I10" s="3">
        <f>SUM(OSRRefE11x_4)</f>
        <v>86463</v>
      </c>
      <c r="J10" s="3">
        <f>SUM(OSRRefE11x_5)</f>
        <v>151529</v>
      </c>
      <c r="K10" s="3">
        <f>SUM(OSRRefE11x_6)</f>
        <v>394768</v>
      </c>
      <c r="L10" s="3">
        <f>SUM(OSRRefE11x_7)</f>
        <v>373729</v>
      </c>
      <c r="M10" s="3">
        <f>SUM(OSRRefE11x_8)</f>
        <v>386250</v>
      </c>
      <c r="N10" s="3">
        <f>SUM(OSRRefE11x_9)</f>
        <v>245916</v>
      </c>
      <c r="O10" s="3">
        <f>SUM(OSRRefE11x_10)</f>
        <v>84576</v>
      </c>
      <c r="P10" s="24"/>
      <c r="Q10" s="3">
        <f>SUM(OSRRefG11x)</f>
        <v>2147863.31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0</f>
        <v>0</v>
      </c>
      <c r="E11" s="2">
        <v>14284</v>
      </c>
      <c r="F11" s="2">
        <v>36592</v>
      </c>
      <c r="G11" s="2">
        <v>47889</v>
      </c>
      <c r="H11" s="2">
        <v>24656</v>
      </c>
      <c r="I11" s="2">
        <v>25526</v>
      </c>
      <c r="J11" s="2">
        <v>69166</v>
      </c>
      <c r="K11" s="2">
        <v>169849</v>
      </c>
      <c r="L11" s="2">
        <v>161911</v>
      </c>
      <c r="M11" s="2">
        <v>171644</v>
      </c>
      <c r="N11" s="2">
        <v>107544</v>
      </c>
      <c r="O11" s="2">
        <v>39337</v>
      </c>
      <c r="Q11" s="2">
        <f>SUM(OSRRefD11_0x)+IFERROR(SUM(OSRRefE11_0x),0)</f>
        <v>868398</v>
      </c>
    </row>
    <row r="12" spans="1:18" s="9" customFormat="1" hidden="1" outlineLevel="1" x14ac:dyDescent="0.3">
      <c r="A12" s="22"/>
      <c r="B12" s="10" t="str">
        <f>CONCATENATE("          ","4051", " - ","TAXABLE SALES-FOOD")</f>
        <v xml:space="preserve">          4051 - TAXABLE SALES-FOOD</v>
      </c>
      <c r="C12" s="23"/>
      <c r="D12" s="2">
        <f>--10630.93</f>
        <v>10630.93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10630.93</v>
      </c>
    </row>
    <row r="13" spans="1:18" s="9" customFormat="1" hidden="1" outlineLevel="1" x14ac:dyDescent="0.3">
      <c r="A13" s="22"/>
      <c r="B13" s="10" t="str">
        <f>CONCATENATE("          ","4100", " - ","NON-TAXABLE SALES")</f>
        <v xml:space="preserve">          4100 - NON-TAXABLE SALES</v>
      </c>
      <c r="C13" s="23"/>
      <c r="D13" s="2">
        <f>0</f>
        <v>0</v>
      </c>
      <c r="E13" s="2">
        <v>30750</v>
      </c>
      <c r="F13" s="2">
        <v>83149</v>
      </c>
      <c r="G13" s="2">
        <v>110139</v>
      </c>
      <c r="H13" s="2">
        <v>57471</v>
      </c>
      <c r="I13" s="2">
        <v>60937</v>
      </c>
      <c r="J13" s="2">
        <v>82363</v>
      </c>
      <c r="K13" s="2">
        <v>224919</v>
      </c>
      <c r="L13" s="2">
        <v>211818</v>
      </c>
      <c r="M13" s="2">
        <v>214606</v>
      </c>
      <c r="N13" s="2">
        <v>138372</v>
      </c>
      <c r="O13" s="2">
        <v>45239</v>
      </c>
      <c r="Q13" s="2">
        <f>SUM(OSRRefD11_2x)+IFERROR(SUM(OSRRefE11_2x),0)</f>
        <v>1259763</v>
      </c>
    </row>
    <row r="14" spans="1:18" s="9" customFormat="1" hidden="1" outlineLevel="1" x14ac:dyDescent="0.3">
      <c r="A14" s="22"/>
      <c r="B14" s="10" t="str">
        <f>CONCATENATE("          ","4151", " - ","NON-TAXABLE SALES-FOOD")</f>
        <v xml:space="preserve">          4151 - NON-TAXABLE SALES-FOOD</v>
      </c>
      <c r="C14" s="23"/>
      <c r="D14" s="2">
        <f>--9071.38</f>
        <v>9071.3799999999992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9071.3799999999992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5059.3799999999992</v>
      </c>
      <c r="E16" s="3">
        <f>SUM(OSRRefE14x_0)</f>
        <v>17113</v>
      </c>
      <c r="F16" s="3">
        <f>SUM(OSRRefE14x_1)</f>
        <v>42081</v>
      </c>
      <c r="G16" s="3">
        <f>SUM(OSRRefE14x_2)</f>
        <v>52085</v>
      </c>
      <c r="H16" s="3">
        <f>SUM(OSRRefE14x_3)</f>
        <v>28317</v>
      </c>
      <c r="I16" s="3">
        <f>SUM(OSRRefE14x_4)</f>
        <v>29819</v>
      </c>
      <c r="J16" s="3">
        <f>SUM(OSRRefE14x_5)</f>
        <v>52138</v>
      </c>
      <c r="K16" s="3">
        <f>SUM(OSRRefE14x_6)</f>
        <v>133564</v>
      </c>
      <c r="L16" s="3">
        <f>SUM(OSRRefE14x_7)</f>
        <v>127913</v>
      </c>
      <c r="M16" s="3">
        <f>SUM(OSRRefE14x_8)</f>
        <v>133455</v>
      </c>
      <c r="N16" s="3">
        <f>SUM(OSRRefE14x_9)</f>
        <v>85269</v>
      </c>
      <c r="O16" s="3">
        <f>SUM(OSRRefE14x_10)</f>
        <v>27475</v>
      </c>
      <c r="Q16" s="3">
        <f>SUM(OSRRefG14x)</f>
        <v>734288.38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/>
      <c r="E17" s="2">
        <v>17113</v>
      </c>
      <c r="F17" s="2">
        <v>42081</v>
      </c>
      <c r="G17" s="2">
        <v>52085</v>
      </c>
      <c r="H17" s="2">
        <v>28317</v>
      </c>
      <c r="I17" s="2">
        <v>29819</v>
      </c>
      <c r="J17" s="2">
        <v>52138</v>
      </c>
      <c r="K17" s="2">
        <v>133564</v>
      </c>
      <c r="L17" s="2">
        <v>127913</v>
      </c>
      <c r="M17" s="2">
        <v>133455</v>
      </c>
      <c r="N17" s="2">
        <v>85269</v>
      </c>
      <c r="O17" s="2">
        <v>27475</v>
      </c>
      <c r="Q17" s="2">
        <f>SUM(OSRRefD14_0x)+IFERROR(SUM(OSRRefE14_0x),0)</f>
        <v>729229</v>
      </c>
    </row>
    <row r="18" spans="1:17" s="9" customFormat="1" hidden="1" outlineLevel="1" x14ac:dyDescent="0.3">
      <c r="A18" s="22"/>
      <c r="B18" s="10" t="str">
        <f>CONCATENATE("          ","5053", " - ","PURCHASES @ COST-FOOD")</f>
        <v xml:space="preserve">          5053 - PURCHASES @ COST-FOOD</v>
      </c>
      <c r="C18" s="23"/>
      <c r="D18" s="2">
        <v>8224.3799999999992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8224.3799999999992</v>
      </c>
    </row>
    <row r="19" spans="1:17" s="9" customFormat="1" hidden="1" outlineLevel="1" x14ac:dyDescent="0.3">
      <c r="A19" s="22"/>
      <c r="B19" s="10" t="str">
        <f>CONCATENATE("          ","5059", " - ","PURCHASES @ COST-FOOD")</f>
        <v xml:space="preserve">          5059 - PURCHASES @ COST-FOOD</v>
      </c>
      <c r="C19" s="23"/>
      <c r="D19" s="2">
        <v>-3165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-3165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105</v>
      </c>
      <c r="C21" s="17"/>
      <c r="D21" s="8">
        <f t="shared" ref="D21:O21" si="0">IFERROR(+D10-D16, 0)</f>
        <v>14642.929999999998</v>
      </c>
      <c r="E21" s="8">
        <f t="shared" si="0"/>
        <v>27921</v>
      </c>
      <c r="F21" s="8">
        <f t="shared" si="0"/>
        <v>77660</v>
      </c>
      <c r="G21" s="8">
        <f t="shared" si="0"/>
        <v>105943</v>
      </c>
      <c r="H21" s="8">
        <f t="shared" si="0"/>
        <v>53810</v>
      </c>
      <c r="I21" s="8">
        <f t="shared" si="0"/>
        <v>56644</v>
      </c>
      <c r="J21" s="8">
        <f t="shared" si="0"/>
        <v>99391</v>
      </c>
      <c r="K21" s="8">
        <f t="shared" si="0"/>
        <v>261204</v>
      </c>
      <c r="L21" s="8">
        <f t="shared" si="0"/>
        <v>245816</v>
      </c>
      <c r="M21" s="8">
        <f t="shared" si="0"/>
        <v>252795</v>
      </c>
      <c r="N21" s="8">
        <f t="shared" si="0"/>
        <v>160647</v>
      </c>
      <c r="O21" s="8">
        <f t="shared" si="0"/>
        <v>57101</v>
      </c>
      <c r="Q21" s="8">
        <f>IFERROR(+Q10-Q16, 0)</f>
        <v>1413574.9300000002</v>
      </c>
    </row>
    <row r="22" spans="1:17" s="6" customFormat="1" x14ac:dyDescent="0.3">
      <c r="B22" s="16"/>
      <c r="C22" s="16"/>
      <c r="D22" s="4">
        <f t="shared" ref="D22:O22" si="1">IFERROR(D21/D10, 0)</f>
        <v>0.74320879125341144</v>
      </c>
      <c r="E22" s="4">
        <f t="shared" si="1"/>
        <v>0.61999822356441803</v>
      </c>
      <c r="F22" s="4">
        <f t="shared" si="1"/>
        <v>0.64856648933949101</v>
      </c>
      <c r="G22" s="4">
        <f t="shared" si="1"/>
        <v>0.67040651023869191</v>
      </c>
      <c r="H22" s="4">
        <f t="shared" si="1"/>
        <v>0.65520474387229533</v>
      </c>
      <c r="I22" s="4">
        <f t="shared" si="1"/>
        <v>0.65512415715392713</v>
      </c>
      <c r="J22" s="4">
        <f t="shared" si="1"/>
        <v>0.65592064885269485</v>
      </c>
      <c r="K22" s="4">
        <f t="shared" si="1"/>
        <v>0.66166457260973532</v>
      </c>
      <c r="L22" s="4">
        <f t="shared" si="1"/>
        <v>0.65773862879252076</v>
      </c>
      <c r="M22" s="4">
        <f t="shared" si="1"/>
        <v>0.65448543689320393</v>
      </c>
      <c r="N22" s="4">
        <f t="shared" si="1"/>
        <v>0.65325964963646121</v>
      </c>
      <c r="O22" s="4">
        <f t="shared" si="1"/>
        <v>0.67514424895951575</v>
      </c>
      <c r="P22" s="18"/>
      <c r="Q22" s="4">
        <f>IFERROR(Q21/Q10, 0)</f>
        <v>0.6581307681073989</v>
      </c>
    </row>
    <row r="23" spans="1:17" x14ac:dyDescent="0.3">
      <c r="A23" s="5"/>
      <c r="B23" s="6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</row>
    <row r="24" spans="1:17" s="15" customFormat="1" x14ac:dyDescent="0.3">
      <c r="A24" s="6"/>
      <c r="B24" s="16" t="s">
        <v>255</v>
      </c>
      <c r="C24" s="6"/>
      <c r="D24" s="13">
        <f>SUM(OSRRefD20x_0)</f>
        <v>145851.13</v>
      </c>
      <c r="E24" s="13">
        <f>SUM(OSRRefE20x_0)</f>
        <v>168925.66949620302</v>
      </c>
      <c r="F24" s="13">
        <f>SUM(OSRRefE20x_1)</f>
        <v>173043.14844806131</v>
      </c>
      <c r="G24" s="13">
        <f>SUM(OSRRefE20x_2)</f>
        <v>200308.79094337884</v>
      </c>
      <c r="H24" s="13">
        <f>SUM(OSRRefE20x_3)</f>
        <v>156299.09662196832</v>
      </c>
      <c r="I24" s="13">
        <f>SUM(OSRRefE20x_4)</f>
        <v>159488.08146590661</v>
      </c>
      <c r="J24" s="13">
        <f>SUM(OSRRefE20x_5)</f>
        <v>204844.33344416565</v>
      </c>
      <c r="K24" s="13">
        <f>SUM(OSRRefE20x_6)</f>
        <v>215927.304278503</v>
      </c>
      <c r="L24" s="13">
        <f>SUM(OSRRefE20x_7)</f>
        <v>211217.07392352523</v>
      </c>
      <c r="M24" s="13">
        <f>SUM(OSRRefE20x_8)</f>
        <v>232555.67857415797</v>
      </c>
      <c r="N24" s="13">
        <f>SUM(OSRRefE20x_9)</f>
        <v>192253.49540401262</v>
      </c>
      <c r="O24" s="13">
        <f>SUM(OSRRefE20x_10)</f>
        <v>162444.63287386371</v>
      </c>
      <c r="Q24" s="13">
        <f>SUM(OSRRefG20x)</f>
        <v>2223158.4354737462</v>
      </c>
    </row>
    <row r="25" spans="1:17" s="34" customFormat="1" collapsed="1" x14ac:dyDescent="0.3">
      <c r="A25" s="35"/>
      <c r="B25" s="14" t="str">
        <f>CONCATENATE("     ","*Benefits                                         ")</f>
        <v xml:space="preserve">     *Benefits                                         </v>
      </c>
      <c r="C25" s="14"/>
      <c r="D25" s="1">
        <f>SUM(OSRRefD21_0x_0)</f>
        <v>25335.059999999998</v>
      </c>
      <c r="E25" s="1">
        <f>SUM(OSRRefE21_0x_0)</f>
        <v>27551.134796203027</v>
      </c>
      <c r="F25" s="1">
        <f>SUM(OSRRefE21_0x_1)</f>
        <v>27315.685908061321</v>
      </c>
      <c r="G25" s="1">
        <f>SUM(OSRRefE21_0x_2)</f>
        <v>32886.122568378843</v>
      </c>
      <c r="H25" s="1">
        <f>SUM(OSRRefE21_0x_3)</f>
        <v>24649.384881968319</v>
      </c>
      <c r="I25" s="1">
        <f>SUM(OSRRefE21_0x_4)</f>
        <v>23952.552685906623</v>
      </c>
      <c r="J25" s="1">
        <f>SUM(OSRRefE21_0x_5)</f>
        <v>31949.354779165653</v>
      </c>
      <c r="K25" s="1">
        <f>SUM(OSRRefE21_0x_6)</f>
        <v>31781.716078503017</v>
      </c>
      <c r="L25" s="1">
        <f>SUM(OSRRefE21_0x_7)</f>
        <v>30566.730883525222</v>
      </c>
      <c r="M25" s="1">
        <f>SUM(OSRRefE21_0x_8)</f>
        <v>35753.593809157959</v>
      </c>
      <c r="N25" s="1">
        <f>SUM(OSRRefE21_0x_9)</f>
        <v>30458.518384012619</v>
      </c>
      <c r="O25" s="1">
        <f>SUM(OSRRefE21_0x_10)</f>
        <v>29806.68083386372</v>
      </c>
      <c r="Q25" s="2">
        <f>SUM(OSRRefD20_0x)+IFERROR(SUM(OSRRefE20_0x),0)</f>
        <v>352006.53560874634</v>
      </c>
    </row>
    <row r="26" spans="1:17" s="34" customFormat="1" hidden="1" outlineLevel="1" x14ac:dyDescent="0.3">
      <c r="A26" s="35"/>
      <c r="B26" s="10" t="str">
        <f>CONCATENATE("          ","6111", " - ","F.I.C.A.")</f>
        <v xml:space="preserve">          6111 - F.I.C.A.</v>
      </c>
      <c r="C26" s="14"/>
      <c r="D26" s="2">
        <v>3198.56</v>
      </c>
      <c r="E26" s="2">
        <v>3744.4438746646101</v>
      </c>
      <c r="F26" s="2">
        <v>3395.3340808306102</v>
      </c>
      <c r="G26" s="2">
        <v>4330.8557914557696</v>
      </c>
      <c r="H26" s="2">
        <v>3069.49314166061</v>
      </c>
      <c r="I26" s="2">
        <v>2873.05579990661</v>
      </c>
      <c r="J26" s="2">
        <v>4295.3860650117804</v>
      </c>
      <c r="K26" s="2">
        <v>3913.87440696461</v>
      </c>
      <c r="L26" s="2">
        <v>3693.8873301406102</v>
      </c>
      <c r="M26" s="2">
        <v>4726.7787873117804</v>
      </c>
      <c r="N26" s="2">
        <v>3835.1649550126099</v>
      </c>
      <c r="O26" s="2">
        <v>3540.0589689406102</v>
      </c>
      <c r="P26" s="9"/>
      <c r="Q26" s="2">
        <f>SUM(OSRRefD21_0_0x)+IFERROR(SUM(OSRRefE21_0_0x),0)</f>
        <v>44616.893201900202</v>
      </c>
    </row>
    <row r="27" spans="1:17" s="34" customFormat="1" hidden="1" outlineLevel="1" x14ac:dyDescent="0.3">
      <c r="A27" s="35"/>
      <c r="B27" s="10" t="str">
        <f>CONCATENATE("          ","6112", " - ","COMPENSATION INSURANCE")</f>
        <v xml:space="preserve">          6112 - COMPENSATION INSURANCE</v>
      </c>
      <c r="C27" s="14"/>
      <c r="D27" s="2">
        <v>1106.6199999999999</v>
      </c>
      <c r="E27" s="2">
        <v>2436.1282934769201</v>
      </c>
      <c r="F27" s="2">
        <v>2633.7867308569198</v>
      </c>
      <c r="G27" s="2">
        <v>3387.9871855961601</v>
      </c>
      <c r="H27" s="2">
        <v>2206.7792177569199</v>
      </c>
      <c r="I27" s="2">
        <v>2216.0722295369201</v>
      </c>
      <c r="J27" s="2">
        <v>3247.7672366761599</v>
      </c>
      <c r="K27" s="2">
        <v>3630.3646839769199</v>
      </c>
      <c r="L27" s="2">
        <v>3435.2046676569198</v>
      </c>
      <c r="M27" s="2">
        <v>4114.6744026761598</v>
      </c>
      <c r="N27" s="2">
        <v>3111.1263118669199</v>
      </c>
      <c r="O27" s="2">
        <v>2306.6535251569198</v>
      </c>
      <c r="P27" s="9"/>
      <c r="Q27" s="2">
        <f>SUM(OSRRefD21_0_1x)+IFERROR(SUM(OSRRefE21_0_1x),0)</f>
        <v>33833.164485233836</v>
      </c>
    </row>
    <row r="28" spans="1:17" s="34" customFormat="1" hidden="1" outlineLevel="1" x14ac:dyDescent="0.3">
      <c r="A28" s="35"/>
      <c r="B28" s="10" t="str">
        <f>CONCATENATE("          ","6113", " - ","GROUP INSURANCE")</f>
        <v xml:space="preserve">          6113 - GROUP INSURANCE</v>
      </c>
      <c r="C28" s="14"/>
      <c r="D28" s="2">
        <v>11932.59</v>
      </c>
      <c r="E28" s="2">
        <v>13468.461538461501</v>
      </c>
      <c r="F28" s="2">
        <v>13100.1538461538</v>
      </c>
      <c r="G28" s="2">
        <v>15156.0769230769</v>
      </c>
      <c r="H28" s="2">
        <v>11557.3807692308</v>
      </c>
      <c r="I28" s="2">
        <v>11142.123076923101</v>
      </c>
      <c r="J28" s="2">
        <v>14056.7076923077</v>
      </c>
      <c r="K28" s="2">
        <v>14850.461538461501</v>
      </c>
      <c r="L28" s="2">
        <v>14056.7076923077</v>
      </c>
      <c r="M28" s="2">
        <v>15708</v>
      </c>
      <c r="N28" s="2">
        <v>14576.723076923099</v>
      </c>
      <c r="O28" s="2">
        <v>15498.0461538462</v>
      </c>
      <c r="P28" s="9"/>
      <c r="Q28" s="2">
        <f>SUM(OSRRefD21_0_2x)+IFERROR(SUM(OSRRefE21_0_2x),0)</f>
        <v>165103.4323076923</v>
      </c>
    </row>
    <row r="29" spans="1:17" s="34" customFormat="1" hidden="1" outlineLevel="1" x14ac:dyDescent="0.3">
      <c r="A29" s="35"/>
      <c r="B29" s="10" t="str">
        <f>CONCATENATE("          ","6114", " - ","STATE UNEMPLOYMENT INSURANCE")</f>
        <v xml:space="preserve">          6114 - STATE UNEMPLOYMENT INSURANCE</v>
      </c>
      <c r="C29" s="14"/>
      <c r="D29" s="2">
        <v>108.7</v>
      </c>
      <c r="E29" s="2">
        <v>134.983361907692</v>
      </c>
      <c r="F29" s="2">
        <v>145.93541252769199</v>
      </c>
      <c r="G29" s="2">
        <v>187.72488363461599</v>
      </c>
      <c r="H29" s="2">
        <v>122.275365627692</v>
      </c>
      <c r="I29" s="2">
        <v>122.790281847692</v>
      </c>
      <c r="J29" s="2">
        <v>179.955440554615</v>
      </c>
      <c r="K29" s="2">
        <v>201.15477140769201</v>
      </c>
      <c r="L29" s="2">
        <v>190.34115572769201</v>
      </c>
      <c r="M29" s="2">
        <v>227.989874554615</v>
      </c>
      <c r="N29" s="2">
        <v>172.38430751769201</v>
      </c>
      <c r="O29" s="2">
        <v>127.809298227692</v>
      </c>
      <c r="P29" s="9"/>
      <c r="Q29" s="2">
        <f>SUM(OSRRefD21_0_3x)+IFERROR(SUM(OSRRefE21_0_3x),0)</f>
        <v>1922.0441535353816</v>
      </c>
    </row>
    <row r="30" spans="1:17" s="34" customFormat="1" hidden="1" outlineLevel="1" x14ac:dyDescent="0.3">
      <c r="A30" s="35"/>
      <c r="B30" s="10" t="str">
        <f>CONCATENATE("          ","6115", " - ","P.E.R.S.")</f>
        <v xml:space="preserve">          6115 - P.E.R.S.</v>
      </c>
      <c r="C30" s="14"/>
      <c r="D30" s="2">
        <v>2989.03</v>
      </c>
      <c r="E30" s="2">
        <v>2348.8135430769198</v>
      </c>
      <c r="F30" s="2">
        <v>2348.8135430769198</v>
      </c>
      <c r="G30" s="2">
        <v>2936.0169288461602</v>
      </c>
      <c r="H30" s="2">
        <v>2348.8135430769198</v>
      </c>
      <c r="I30" s="2">
        <v>2348.8135430769198</v>
      </c>
      <c r="J30" s="2">
        <v>3501.5529288461598</v>
      </c>
      <c r="K30" s="2">
        <v>2801.24234307692</v>
      </c>
      <c r="L30" s="2">
        <v>2801.24234307692</v>
      </c>
      <c r="M30" s="2">
        <v>3501.5529288461598</v>
      </c>
      <c r="N30" s="2">
        <v>2801.24234307692</v>
      </c>
      <c r="O30" s="2">
        <v>2801.24234307692</v>
      </c>
      <c r="P30" s="9"/>
      <c r="Q30" s="2">
        <f>SUM(OSRRefD21_0_4x)+IFERROR(SUM(OSRRefE21_0_4x),0)</f>
        <v>33528.376331153835</v>
      </c>
    </row>
    <row r="31" spans="1:17" s="34" customFormat="1" hidden="1" outlineLevel="1" x14ac:dyDescent="0.3">
      <c r="A31" s="35"/>
      <c r="B31" s="10" t="str">
        <f>CONCATENATE("          ","6116", " - ","EDUCATIONAL BENEFITS")</f>
        <v xml:space="preserve">          6116 - EDUCATIONAL BENEFITS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SUM(OSRRefD21_0_5x)+IFERROR(SUM(OSRRefE21_0_5x),0)</f>
        <v>0</v>
      </c>
    </row>
    <row r="32" spans="1:17" s="34" customFormat="1" hidden="1" outlineLevel="1" x14ac:dyDescent="0.3">
      <c r="A32" s="35"/>
      <c r="B32" s="10" t="str">
        <f>CONCATENATE("          ","6118", " - ","VACATION")</f>
        <v xml:space="preserve">          6118 - VACATION</v>
      </c>
      <c r="C32" s="14"/>
      <c r="D32" s="2">
        <v>2954.94</v>
      </c>
      <c r="E32" s="2">
        <v>2294.0904723076901</v>
      </c>
      <c r="F32" s="2">
        <v>2274.5120883076902</v>
      </c>
      <c r="G32" s="2">
        <v>2867.6130903846201</v>
      </c>
      <c r="H32" s="2">
        <v>2191.7401683076901</v>
      </c>
      <c r="I32" s="2">
        <v>2169.3098643076901</v>
      </c>
      <c r="J32" s="2">
        <v>2946.59694638462</v>
      </c>
      <c r="K32" s="2">
        <v>2467.1208723076902</v>
      </c>
      <c r="L32" s="2">
        <v>2423.4102483076899</v>
      </c>
      <c r="M32" s="2">
        <v>3037.74174638462</v>
      </c>
      <c r="N32" s="2">
        <v>2452.1257203076898</v>
      </c>
      <c r="O32" s="2">
        <v>2503.2834483076899</v>
      </c>
      <c r="P32" s="9"/>
      <c r="Q32" s="2">
        <f>SUM(OSRRefD21_0_6x)+IFERROR(SUM(OSRRefE21_0_6x),0)</f>
        <v>30582.484665615379</v>
      </c>
    </row>
    <row r="33" spans="1:17" s="34" customFormat="1" hidden="1" outlineLevel="1" x14ac:dyDescent="0.3">
      <c r="A33" s="35"/>
      <c r="B33" s="10" t="str">
        <f>CONCATENATE("          ","6119", " - ","SICK LEAVE")</f>
        <v xml:space="preserve">          6119 - SICK LEAVE</v>
      </c>
      <c r="C33" s="14"/>
      <c r="D33" s="2">
        <v>1898.78</v>
      </c>
      <c r="E33" s="2">
        <v>1163.21371230769</v>
      </c>
      <c r="F33" s="2">
        <v>1296.15020630769</v>
      </c>
      <c r="G33" s="2">
        <v>1674.8477653846201</v>
      </c>
      <c r="H33" s="2">
        <v>1031.9026763076899</v>
      </c>
      <c r="I33" s="2">
        <v>1055.38789030769</v>
      </c>
      <c r="J33" s="2">
        <v>1576.3884693846201</v>
      </c>
      <c r="K33" s="2">
        <v>1956.4974623076901</v>
      </c>
      <c r="L33" s="2">
        <v>1844.9374463076899</v>
      </c>
      <c r="M33" s="2">
        <v>2091.8560693846198</v>
      </c>
      <c r="N33" s="2">
        <v>1548.75166930769</v>
      </c>
      <c r="O33" s="2">
        <v>1084.58709630769</v>
      </c>
      <c r="P33" s="9"/>
      <c r="Q33" s="2">
        <f>SUM(OSRRefD21_0_7x)+IFERROR(SUM(OSRRefE21_0_7x),0)</f>
        <v>18223.300463615378</v>
      </c>
    </row>
    <row r="34" spans="1:17" s="34" customFormat="1" hidden="1" outlineLevel="1" x14ac:dyDescent="0.3">
      <c r="A34" s="35"/>
      <c r="B34" s="10" t="str">
        <f>CONCATENATE("          ","6156", " - ","EMPLOYEE MEALS")</f>
        <v xml:space="preserve">          6156 - EMPLOYEE MEALS</v>
      </c>
      <c r="C34" s="14"/>
      <c r="D34" s="2">
        <v>1145.8399999999999</v>
      </c>
      <c r="E34" s="2">
        <v>1961</v>
      </c>
      <c r="F34" s="2">
        <v>2121</v>
      </c>
      <c r="G34" s="2">
        <v>2345</v>
      </c>
      <c r="H34" s="2">
        <v>2121</v>
      </c>
      <c r="I34" s="2">
        <v>2025</v>
      </c>
      <c r="J34" s="2">
        <v>2145</v>
      </c>
      <c r="K34" s="2">
        <v>1961</v>
      </c>
      <c r="L34" s="2">
        <v>2121</v>
      </c>
      <c r="M34" s="2">
        <v>2345</v>
      </c>
      <c r="N34" s="2">
        <v>1961</v>
      </c>
      <c r="O34" s="2">
        <v>1945</v>
      </c>
      <c r="P34" s="9"/>
      <c r="Q34" s="2">
        <f>SUM(OSRRefD21_0_8x)+IFERROR(SUM(OSRRefE21_0_8x),0)</f>
        <v>24196.84</v>
      </c>
    </row>
    <row r="35" spans="1:17" s="34" customFormat="1" collapsed="1" x14ac:dyDescent="0.3">
      <c r="A35" s="35"/>
      <c r="B35" s="14" t="str">
        <f>CONCATENATE("     ","*Payroll                                          ")</f>
        <v xml:space="preserve">     *Payroll                                          </v>
      </c>
      <c r="C35" s="14"/>
      <c r="D35" s="1">
        <f>SUM(OSRRefD21_1x_0)</f>
        <v>52602.950000000004</v>
      </c>
      <c r="E35" s="1">
        <f>SUM(OSRRefE21_1x_0)</f>
        <v>60892.534699999997</v>
      </c>
      <c r="F35" s="1">
        <f>SUM(OSRRefE21_1x_1)</f>
        <v>66009.462540000008</v>
      </c>
      <c r="G35" s="1">
        <f>SUM(OSRRefE21_1x_2)</f>
        <v>84965.668375000008</v>
      </c>
      <c r="H35" s="1">
        <f>SUM(OSRRefE21_1x_3)</f>
        <v>55066.711739999999</v>
      </c>
      <c r="I35" s="1">
        <f>SUM(OSRRefE21_1x_4)</f>
        <v>55306.528779999993</v>
      </c>
      <c r="J35" s="1">
        <f>SUM(OSRRefE21_1x_5)</f>
        <v>81265.978665000002</v>
      </c>
      <c r="K35" s="1">
        <f>SUM(OSRRefE21_1x_6)</f>
        <v>91483.588199999998</v>
      </c>
      <c r="L35" s="1">
        <f>SUM(OSRRefE21_1x_7)</f>
        <v>86475.343039999992</v>
      </c>
      <c r="M35" s="1">
        <f>SUM(OSRRefE21_1x_8)</f>
        <v>103603.08476500001</v>
      </c>
      <c r="N35" s="1">
        <f>SUM(OSRRefE21_1x_9)</f>
        <v>78206.977019999991</v>
      </c>
      <c r="O35" s="1">
        <f>SUM(OSRRefE21_1x_10)</f>
        <v>57298.952039999996</v>
      </c>
      <c r="Q35" s="2">
        <f>SUM(OSRRefD20_1x)+IFERROR(SUM(OSRRefE20_1x),0)</f>
        <v>873177.77986499993</v>
      </c>
    </row>
    <row r="36" spans="1:17" s="34" customFormat="1" hidden="1" outlineLevel="1" x14ac:dyDescent="0.3">
      <c r="A36" s="35"/>
      <c r="B36" s="10" t="str">
        <f>CONCATENATE("          ","6001", " - ","ADMINISTRATIVE SALARIES")</f>
        <v xml:space="preserve">          6001 - ADMINISTRATIVE SALARIES</v>
      </c>
      <c r="C36" s="14"/>
      <c r="D36" s="2">
        <v>13836.28</v>
      </c>
      <c r="E36" s="2">
        <v>10268.307692307701</v>
      </c>
      <c r="F36" s="2">
        <v>10268.307692307701</v>
      </c>
      <c r="G36" s="2">
        <v>12835.384615384601</v>
      </c>
      <c r="H36" s="2">
        <v>10268.307692307701</v>
      </c>
      <c r="I36" s="2">
        <v>10268.307692307701</v>
      </c>
      <c r="J36" s="2">
        <v>12835.384615384601</v>
      </c>
      <c r="K36" s="2">
        <v>10268.307692307701</v>
      </c>
      <c r="L36" s="2">
        <v>10268.307692307701</v>
      </c>
      <c r="M36" s="2">
        <v>12835.384615384601</v>
      </c>
      <c r="N36" s="2">
        <v>10268.307692307701</v>
      </c>
      <c r="O36" s="2">
        <v>10268.307692307701</v>
      </c>
      <c r="P36" s="9"/>
      <c r="Q36" s="2">
        <f>SUM(OSRRefD21_1_0x)+IFERROR(SUM(OSRRefE21_1_0x),0)</f>
        <v>134488.8953846154</v>
      </c>
    </row>
    <row r="37" spans="1:17" s="34" customFormat="1" hidden="1" outlineLevel="1" x14ac:dyDescent="0.3">
      <c r="A37" s="35"/>
      <c r="B37" s="10" t="str">
        <f>CONCATENATE("          ","6002", " - ","STAFF SALARIES")</f>
        <v xml:space="preserve">          6002 - STAFF SALARIES</v>
      </c>
      <c r="C37" s="14"/>
      <c r="D37" s="2">
        <v>23724.02</v>
      </c>
      <c r="E37" s="2">
        <v>14790.503807692299</v>
      </c>
      <c r="F37" s="2">
        <v>14790.503807692299</v>
      </c>
      <c r="G37" s="2">
        <v>18488.1297596154</v>
      </c>
      <c r="H37" s="2">
        <v>14790.503807692299</v>
      </c>
      <c r="I37" s="2">
        <v>14790.503807692299</v>
      </c>
      <c r="J37" s="2">
        <v>24735.329759615401</v>
      </c>
      <c r="K37" s="2">
        <v>19788.263807692299</v>
      </c>
      <c r="L37" s="2">
        <v>19788.263807692299</v>
      </c>
      <c r="M37" s="2">
        <v>24735.329759615401</v>
      </c>
      <c r="N37" s="2">
        <v>19788.263807692299</v>
      </c>
      <c r="O37" s="2">
        <v>19788.263807692299</v>
      </c>
      <c r="P37" s="9"/>
      <c r="Q37" s="2">
        <f>SUM(OSRRefD21_1_1x)+IFERROR(SUM(OSRRefE21_1_1x),0)</f>
        <v>229997.87974038461</v>
      </c>
    </row>
    <row r="38" spans="1:17" s="34" customFormat="1" hidden="1" outlineLevel="1" x14ac:dyDescent="0.3">
      <c r="A38" s="35"/>
      <c r="B38" s="10" t="str">
        <f>CONCATENATE("          ","6003", " - ","STAFF HOURLY-9 MONTH")</f>
        <v xml:space="preserve">          6003 - STAFF HOURLY-9 MONTH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SUM(OSRRefD21_1_2x)+IFERROR(SUM(OSRRefE21_1_2x),0)</f>
        <v>0</v>
      </c>
    </row>
    <row r="39" spans="1:17" s="34" customFormat="1" hidden="1" outlineLevel="1" x14ac:dyDescent="0.3">
      <c r="A39" s="35"/>
      <c r="B39" s="10" t="str">
        <f>CONCATENATE("          ","6004", " - ","STAFF HOURLY")</f>
        <v xml:space="preserve">          6004 - STAFF HOURLY</v>
      </c>
      <c r="C39" s="14"/>
      <c r="D39" s="2">
        <v>7726.26</v>
      </c>
      <c r="E39" s="2">
        <v>14476.3932</v>
      </c>
      <c r="F39" s="2">
        <v>15124.286040000001</v>
      </c>
      <c r="G39" s="2">
        <v>19997.304</v>
      </c>
      <c r="H39" s="2">
        <v>11345.55024</v>
      </c>
      <c r="I39" s="2">
        <v>8816.1322799999998</v>
      </c>
      <c r="J39" s="2">
        <v>13400.50944</v>
      </c>
      <c r="K39" s="2">
        <v>16485.679199999999</v>
      </c>
      <c r="L39" s="2">
        <v>13684.00944</v>
      </c>
      <c r="M39" s="2">
        <v>18885.511439999998</v>
      </c>
      <c r="N39" s="2">
        <v>15002.83272</v>
      </c>
      <c r="O39" s="2">
        <v>13000.327439999999</v>
      </c>
      <c r="P39" s="9"/>
      <c r="Q39" s="2">
        <f>SUM(OSRRefD21_1_3x)+IFERROR(SUM(OSRRefE21_1_3x),0)</f>
        <v>167944.79543999999</v>
      </c>
    </row>
    <row r="40" spans="1:17" s="34" customFormat="1" hidden="1" outlineLevel="1" x14ac:dyDescent="0.3">
      <c r="A40" s="35"/>
      <c r="B40" s="10" t="str">
        <f>CONCATENATE("          ","6005", " - ","TEMPORARY WAGES-HOURLY")</f>
        <v xml:space="preserve">          6005 - TEMPORARY WAGES-HOURLY</v>
      </c>
      <c r="C40" s="14"/>
      <c r="D40" s="2">
        <v>3353.39</v>
      </c>
      <c r="E40" s="2">
        <v>11127.84</v>
      </c>
      <c r="F40" s="2">
        <v>11698.2</v>
      </c>
      <c r="G40" s="2">
        <v>15478.29</v>
      </c>
      <c r="H40" s="2">
        <v>8507.8700000000008</v>
      </c>
      <c r="I40" s="2">
        <v>9345.9500000000007</v>
      </c>
      <c r="J40" s="2">
        <v>8331.2232999999997</v>
      </c>
      <c r="K40" s="2">
        <v>13448.070299999999</v>
      </c>
      <c r="L40" s="2">
        <v>12499.94865</v>
      </c>
      <c r="M40" s="2">
        <v>12853.3536</v>
      </c>
      <c r="N40" s="2">
        <v>11265.885550000001</v>
      </c>
      <c r="O40" s="2">
        <v>11716.8531</v>
      </c>
      <c r="P40" s="9"/>
      <c r="Q40" s="2">
        <f>SUM(OSRRefD21_1_4x)+IFERROR(SUM(OSRRefE21_1_4x),0)</f>
        <v>129626.87450000002</v>
      </c>
    </row>
    <row r="41" spans="1:17" s="34" customFormat="1" hidden="1" outlineLevel="1" x14ac:dyDescent="0.3">
      <c r="A41" s="35"/>
      <c r="B41" s="10" t="str">
        <f>CONCATENATE("          ","6006", " - ","TEMPORARY PART TIME")</f>
        <v xml:space="preserve">          6006 - TEMPORARY PART TIME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SUM(OSRRefD21_1_5x)+IFERROR(SUM(OSRRefE21_1_5x),0)</f>
        <v>0</v>
      </c>
    </row>
    <row r="42" spans="1:17" s="34" customFormat="1" hidden="1" outlineLevel="1" x14ac:dyDescent="0.3">
      <c r="A42" s="35"/>
      <c r="B42" s="10" t="str">
        <f>CONCATENATE("          ","6007", " - ","STUDENT HOURLY")</f>
        <v xml:space="preserve">          6007 - STUDENT HOURLY</v>
      </c>
      <c r="C42" s="14"/>
      <c r="D42" s="2">
        <v>3963</v>
      </c>
      <c r="E42" s="2">
        <v>6368.71</v>
      </c>
      <c r="F42" s="2">
        <v>1323.08</v>
      </c>
      <c r="G42" s="2">
        <v>1653.85</v>
      </c>
      <c r="H42" s="2">
        <v>992.31</v>
      </c>
      <c r="I42" s="2">
        <v>992.31</v>
      </c>
      <c r="J42" s="2">
        <v>1415.6956</v>
      </c>
      <c r="K42" s="2">
        <v>1415.6956</v>
      </c>
      <c r="L42" s="2">
        <v>1415.6956</v>
      </c>
      <c r="M42" s="2">
        <v>1415.6956</v>
      </c>
      <c r="N42" s="2">
        <v>1895.0555999999999</v>
      </c>
      <c r="O42" s="2">
        <v>0</v>
      </c>
      <c r="P42" s="9"/>
      <c r="Q42" s="2">
        <f>SUM(OSRRefD21_1_6x)+IFERROR(SUM(OSRRefE21_1_6x),0)</f>
        <v>22851.097999999994</v>
      </c>
    </row>
    <row r="43" spans="1:17" s="34" customFormat="1" hidden="1" outlineLevel="1" x14ac:dyDescent="0.3">
      <c r="A43" s="35"/>
      <c r="B43" s="10" t="str">
        <f>CONCATENATE("          ","6008", " - ","STUDENT HOURLY-FICA EXEMPT")</f>
        <v xml:space="preserve">          6008 - STUDENT HOURLY-FICA EXEMPT</v>
      </c>
      <c r="C43" s="14"/>
      <c r="D43" s="2"/>
      <c r="E43" s="2">
        <v>3860.78</v>
      </c>
      <c r="F43" s="2">
        <v>12805.084999999999</v>
      </c>
      <c r="G43" s="2">
        <v>16512.71</v>
      </c>
      <c r="H43" s="2">
        <v>9162.17</v>
      </c>
      <c r="I43" s="2">
        <v>11093.325000000001</v>
      </c>
      <c r="J43" s="2">
        <v>20547.835950000001</v>
      </c>
      <c r="K43" s="2">
        <v>30077.571599999999</v>
      </c>
      <c r="L43" s="2">
        <v>28819.117849999999</v>
      </c>
      <c r="M43" s="2">
        <v>32877.80975</v>
      </c>
      <c r="N43" s="2">
        <v>19986.631649999999</v>
      </c>
      <c r="O43" s="2">
        <v>2525.1999999999998</v>
      </c>
      <c r="P43" s="9"/>
      <c r="Q43" s="2">
        <f>SUM(OSRRefD21_1_7x)+IFERROR(SUM(OSRRefE21_1_7x),0)</f>
        <v>188268.23680000001</v>
      </c>
    </row>
    <row r="44" spans="1:17" s="34" customFormat="1" hidden="1" outlineLevel="1" x14ac:dyDescent="0.3">
      <c r="A44" s="35"/>
      <c r="B44" s="10" t="str">
        <f>CONCATENATE("          ","6009", " - ","TEMPORARY-SEASONAL")</f>
        <v xml:space="preserve">          6009 - TEMPORARY-SEASONAL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SUM(OSRRefD21_1_8x)+IFERROR(SUM(OSRRefE21_1_8x),0)</f>
        <v>0</v>
      </c>
    </row>
    <row r="45" spans="1:17" s="34" customFormat="1" hidden="1" outlineLevel="1" x14ac:dyDescent="0.3">
      <c r="A45" s="35"/>
      <c r="B45" s="10" t="str">
        <f>CONCATENATE("          ","6010", " - ","GRATUITY")</f>
        <v xml:space="preserve">          6010 - GRATUITY</v>
      </c>
      <c r="C45" s="14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9"/>
      <c r="Q45" s="2">
        <f>SUM(OSRRefD21_1_9x)+IFERROR(SUM(OSRRefE21_1_9x),0)</f>
        <v>0</v>
      </c>
    </row>
    <row r="46" spans="1:17" s="34" customFormat="1" collapsed="1" x14ac:dyDescent="0.3">
      <c r="A46" s="35"/>
      <c r="B46" s="14" t="str">
        <f>CONCATENATE("     ","Advertising/Promo                                 ")</f>
        <v xml:space="preserve">     Advertising/Promo                                 </v>
      </c>
      <c r="C46" s="14"/>
      <c r="D46" s="1">
        <f>SUM(OSRRefD21_2x_0)</f>
        <v>424.79</v>
      </c>
      <c r="E46" s="1">
        <f>SUM(OSRRefE21_2x_0)</f>
        <v>0</v>
      </c>
      <c r="F46" s="1">
        <f>SUM(OSRRefE21_2x_1)</f>
        <v>0</v>
      </c>
      <c r="G46" s="1">
        <f>SUM(OSRRefE21_2x_2)</f>
        <v>0</v>
      </c>
      <c r="H46" s="1">
        <f>SUM(OSRRefE21_2x_3)</f>
        <v>0</v>
      </c>
      <c r="I46" s="1">
        <f>SUM(OSRRefE21_2x_4)</f>
        <v>0</v>
      </c>
      <c r="J46" s="1">
        <f>SUM(OSRRefE21_2x_5)</f>
        <v>0</v>
      </c>
      <c r="K46" s="1">
        <f>SUM(OSRRefE21_2x_6)</f>
        <v>0</v>
      </c>
      <c r="L46" s="1">
        <f>SUM(OSRRefE21_2x_7)</f>
        <v>0</v>
      </c>
      <c r="M46" s="1">
        <f>SUM(OSRRefE21_2x_8)</f>
        <v>0</v>
      </c>
      <c r="N46" s="1">
        <f>SUM(OSRRefE21_2x_9)</f>
        <v>0</v>
      </c>
      <c r="O46" s="1">
        <f>SUM(OSRRefE21_2x_10)</f>
        <v>0</v>
      </c>
      <c r="Q46" s="2">
        <f>SUM(OSRRefD20_2x)+IFERROR(SUM(OSRRefE20_2x),0)</f>
        <v>424.79</v>
      </c>
    </row>
    <row r="47" spans="1:17" s="34" customFormat="1" hidden="1" outlineLevel="1" x14ac:dyDescent="0.3">
      <c r="A47" s="35"/>
      <c r="B47" s="10" t="str">
        <f>CONCATENATE("          ","6362", " - ","ADVERTISING EXPENSE")</f>
        <v xml:space="preserve">          6362 - ADVERTISING EXPENSE</v>
      </c>
      <c r="C47" s="14"/>
      <c r="D47" s="2">
        <v>424.79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2">
        <f>SUM(OSRRefD21_2_0x)+IFERROR(SUM(OSRRefE21_2_0x),0)</f>
        <v>424.79</v>
      </c>
    </row>
    <row r="48" spans="1:17" s="34" customFormat="1" collapsed="1" x14ac:dyDescent="0.3">
      <c r="A48" s="35"/>
      <c r="B48" s="14" t="str">
        <f>CONCATENATE("     ","Bad Debts/Over/Short                              ")</f>
        <v xml:space="preserve">     Bad Debts/Over/Short                              </v>
      </c>
      <c r="C48" s="14"/>
      <c r="D48" s="1">
        <f>SUM(OSRRefD21_3x_0)</f>
        <v>-19.02</v>
      </c>
      <c r="E48" s="1">
        <f>SUM(OSRRefE21_3x_0)</f>
        <v>10</v>
      </c>
      <c r="F48" s="1">
        <f>SUM(OSRRefE21_3x_1)</f>
        <v>10</v>
      </c>
      <c r="G48" s="1">
        <f>SUM(OSRRefE21_3x_2)</f>
        <v>10</v>
      </c>
      <c r="H48" s="1">
        <f>SUM(OSRRefE21_3x_3)</f>
        <v>0</v>
      </c>
      <c r="I48" s="1">
        <f>SUM(OSRRefE21_3x_4)</f>
        <v>10</v>
      </c>
      <c r="J48" s="1">
        <f>SUM(OSRRefE21_3x_5)</f>
        <v>0</v>
      </c>
      <c r="K48" s="1">
        <f>SUM(OSRRefE21_3x_6)</f>
        <v>10</v>
      </c>
      <c r="L48" s="1">
        <f>SUM(OSRRefE21_3x_7)</f>
        <v>0</v>
      </c>
      <c r="M48" s="1">
        <f>SUM(OSRRefE21_3x_8)</f>
        <v>10</v>
      </c>
      <c r="N48" s="1">
        <f>SUM(OSRRefE21_3x_9)</f>
        <v>0</v>
      </c>
      <c r="O48" s="1">
        <f>SUM(OSRRefE21_3x_10)</f>
        <v>10</v>
      </c>
      <c r="Q48" s="2">
        <f>SUM(OSRRefD20_3x)+IFERROR(SUM(OSRRefE20_3x),0)</f>
        <v>50.980000000000004</v>
      </c>
    </row>
    <row r="49" spans="1:17" s="34" customFormat="1" hidden="1" outlineLevel="1" x14ac:dyDescent="0.3">
      <c r="A49" s="35"/>
      <c r="B49" s="10" t="str">
        <f>CONCATENATE("          ","6272", " - ","CASH (OVER/SHORT)")</f>
        <v xml:space="preserve">          6272 - CASH (OVER/SHORT)</v>
      </c>
      <c r="C49" s="14"/>
      <c r="D49" s="2">
        <v>-19.02</v>
      </c>
      <c r="E49" s="2">
        <v>10</v>
      </c>
      <c r="F49" s="2">
        <v>10</v>
      </c>
      <c r="G49" s="2">
        <v>10</v>
      </c>
      <c r="H49" s="2"/>
      <c r="I49" s="2">
        <v>10</v>
      </c>
      <c r="J49" s="2"/>
      <c r="K49" s="2">
        <v>10</v>
      </c>
      <c r="L49" s="2"/>
      <c r="M49" s="2">
        <v>10</v>
      </c>
      <c r="N49" s="2"/>
      <c r="O49" s="2">
        <v>10</v>
      </c>
      <c r="P49" s="9"/>
      <c r="Q49" s="2">
        <f>SUM(OSRRefD21_3_0x)+IFERROR(SUM(OSRRefE21_3_0x),0)</f>
        <v>50.980000000000004</v>
      </c>
    </row>
    <row r="50" spans="1:17" s="34" customFormat="1" collapsed="1" x14ac:dyDescent="0.3">
      <c r="A50" s="35"/>
      <c r="B50" s="14" t="str">
        <f>CONCATENATE("     ","Bank/card Fees                                    ")</f>
        <v xml:space="preserve">     Bank/card Fees                                    </v>
      </c>
      <c r="C50" s="14"/>
      <c r="D50" s="1">
        <f>SUM(OSRRefD21_4x_0)</f>
        <v>933.25</v>
      </c>
      <c r="E50" s="1">
        <f>SUM(OSRRefE21_4x_0)</f>
        <v>2759</v>
      </c>
      <c r="F50" s="1">
        <f>SUM(OSRRefE21_4x_1)</f>
        <v>5909</v>
      </c>
      <c r="G50" s="1">
        <f>SUM(OSRRefE21_4x_2)</f>
        <v>7537</v>
      </c>
      <c r="H50" s="1">
        <f>SUM(OSRRefE21_4x_3)</f>
        <v>4317</v>
      </c>
      <c r="I50" s="1">
        <f>SUM(OSRRefE21_4x_4)</f>
        <v>4450</v>
      </c>
      <c r="J50" s="1">
        <f>SUM(OSRRefE21_4x_5)</f>
        <v>7303</v>
      </c>
      <c r="K50" s="1">
        <f>SUM(OSRRefE21_4x_6)</f>
        <v>17875</v>
      </c>
      <c r="L50" s="1">
        <f>SUM(OSRRefE21_4x_7)</f>
        <v>16912</v>
      </c>
      <c r="M50" s="1">
        <f>SUM(OSRRefE21_4x_8)</f>
        <v>17370</v>
      </c>
      <c r="N50" s="1">
        <f>SUM(OSRRefE21_4x_9)</f>
        <v>11317</v>
      </c>
      <c r="O50" s="1">
        <f>SUM(OSRRefE21_4x_10)</f>
        <v>4464</v>
      </c>
      <c r="Q50" s="2">
        <f>SUM(OSRRefD20_4x)+IFERROR(SUM(OSRRefE20_4x),0)</f>
        <v>101146.25</v>
      </c>
    </row>
    <row r="51" spans="1:17" s="34" customFormat="1" hidden="1" outlineLevel="1" x14ac:dyDescent="0.3">
      <c r="A51" s="35"/>
      <c r="B51" s="10" t="str">
        <f>CONCATENATE("          ","6381", " - ","BANK/CREDIT CARD FEES")</f>
        <v xml:space="preserve">          6381 - BANK/CREDIT CARD FEES</v>
      </c>
      <c r="C51" s="14"/>
      <c r="D51" s="2">
        <v>933.25</v>
      </c>
      <c r="E51" s="2">
        <v>2759</v>
      </c>
      <c r="F51" s="2">
        <v>5909</v>
      </c>
      <c r="G51" s="2">
        <v>7537</v>
      </c>
      <c r="H51" s="2">
        <v>4317</v>
      </c>
      <c r="I51" s="2">
        <v>4450</v>
      </c>
      <c r="J51" s="2">
        <v>7303</v>
      </c>
      <c r="K51" s="2">
        <v>17875</v>
      </c>
      <c r="L51" s="2">
        <v>16912</v>
      </c>
      <c r="M51" s="2">
        <v>17370</v>
      </c>
      <c r="N51" s="2">
        <v>11317</v>
      </c>
      <c r="O51" s="2">
        <v>4464</v>
      </c>
      <c r="P51" s="9"/>
      <c r="Q51" s="2">
        <f>SUM(OSRRefD21_4_0x)+IFERROR(SUM(OSRRefE21_4_0x),0)</f>
        <v>101146.25</v>
      </c>
    </row>
    <row r="52" spans="1:17" s="34" customFormat="1" collapsed="1" x14ac:dyDescent="0.3">
      <c r="A52" s="35"/>
      <c r="B52" s="14" t="str">
        <f>CONCATENATE("     ","Depreciation                                      ")</f>
        <v xml:space="preserve">     Depreciation                                      </v>
      </c>
      <c r="C52" s="14"/>
      <c r="D52" s="1">
        <f>SUM(OSRRefD21_5x_0)</f>
        <v>32826.11</v>
      </c>
      <c r="E52" s="1">
        <f>SUM(OSRRefE21_5x_0)</f>
        <v>32827</v>
      </c>
      <c r="F52" s="1">
        <f>SUM(OSRRefE21_5x_1)</f>
        <v>32783</v>
      </c>
      <c r="G52" s="1">
        <f>SUM(OSRRefE21_5x_2)</f>
        <v>32783</v>
      </c>
      <c r="H52" s="1">
        <f>SUM(OSRRefE21_5x_3)</f>
        <v>32783</v>
      </c>
      <c r="I52" s="1">
        <f>SUM(OSRRefE21_5x_4)</f>
        <v>32783</v>
      </c>
      <c r="J52" s="1">
        <f>SUM(OSRRefE21_5x_5)</f>
        <v>32783</v>
      </c>
      <c r="K52" s="1">
        <f>SUM(OSRRefE21_5x_6)</f>
        <v>32783</v>
      </c>
      <c r="L52" s="1">
        <f>SUM(OSRRefE21_5x_7)</f>
        <v>32208</v>
      </c>
      <c r="M52" s="1">
        <f>SUM(OSRRefE21_5x_8)</f>
        <v>32208</v>
      </c>
      <c r="N52" s="1">
        <f>SUM(OSRRefE21_5x_9)</f>
        <v>32208</v>
      </c>
      <c r="O52" s="1">
        <f>SUM(OSRRefE21_5x_10)</f>
        <v>32208</v>
      </c>
      <c r="Q52" s="2">
        <f>SUM(OSRRefD20_5x)+IFERROR(SUM(OSRRefE20_5x),0)</f>
        <v>391183.11</v>
      </c>
    </row>
    <row r="53" spans="1:17" s="34" customFormat="1" hidden="1" outlineLevel="1" x14ac:dyDescent="0.3">
      <c r="A53" s="35"/>
      <c r="B53" s="10" t="str">
        <f>CONCATENATE("          ","6321", " - ","BUILDING DEPRECIATION")</f>
        <v xml:space="preserve">          6321 - BUILDING DEPRECIATION</v>
      </c>
      <c r="C53" s="14"/>
      <c r="D53" s="2">
        <v>23583.47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2">
        <f>SUM(OSRRefD21_5_0x)+IFERROR(SUM(OSRRefE21_5_0x),0)</f>
        <v>23583.47</v>
      </c>
    </row>
    <row r="54" spans="1:17" s="34" customFormat="1" hidden="1" outlineLevel="1" x14ac:dyDescent="0.3">
      <c r="A54" s="35"/>
      <c r="B54" s="10" t="str">
        <f>CONCATENATE("          ","6322", " - ","EQUIPMENT DEPRECIATION EXPENSE")</f>
        <v xml:space="preserve">          6322 - EQUIPMENT DEPRECIATION EXPENSE</v>
      </c>
      <c r="C54" s="14"/>
      <c r="D54" s="2">
        <v>9242.64</v>
      </c>
      <c r="E54" s="2">
        <v>32827</v>
      </c>
      <c r="F54" s="2">
        <v>32783</v>
      </c>
      <c r="G54" s="2">
        <v>32783</v>
      </c>
      <c r="H54" s="2">
        <v>32783</v>
      </c>
      <c r="I54" s="2">
        <v>32783</v>
      </c>
      <c r="J54" s="2">
        <v>32783</v>
      </c>
      <c r="K54" s="2">
        <v>32783</v>
      </c>
      <c r="L54" s="2">
        <v>32208</v>
      </c>
      <c r="M54" s="2">
        <v>32208</v>
      </c>
      <c r="N54" s="2">
        <v>32208</v>
      </c>
      <c r="O54" s="2">
        <v>32208</v>
      </c>
      <c r="P54" s="9"/>
      <c r="Q54" s="2">
        <f>SUM(OSRRefD21_5_1x)+IFERROR(SUM(OSRRefE21_5_1x),0)</f>
        <v>367599.64</v>
      </c>
    </row>
    <row r="55" spans="1:17" s="34" customFormat="1" collapsed="1" x14ac:dyDescent="0.3">
      <c r="A55" s="35"/>
      <c r="B55" s="14" t="str">
        <f>CONCATENATE("     ","Employees' Appreciation                           ")</f>
        <v xml:space="preserve">     Employees' Appreciation                           </v>
      </c>
      <c r="C55" s="14"/>
      <c r="D55" s="1">
        <f>SUM(OSRRefD21_6x_0)</f>
        <v>0</v>
      </c>
      <c r="E55" s="1">
        <f>SUM(OSRRefE21_6x_0)</f>
        <v>40</v>
      </c>
      <c r="F55" s="1">
        <f>SUM(OSRRefE21_6x_1)</f>
        <v>0</v>
      </c>
      <c r="G55" s="1">
        <f>SUM(OSRRefE21_6x_2)</f>
        <v>40</v>
      </c>
      <c r="H55" s="1">
        <f>SUM(OSRRefE21_6x_3)</f>
        <v>40</v>
      </c>
      <c r="I55" s="1">
        <f>SUM(OSRRefE21_6x_4)</f>
        <v>90</v>
      </c>
      <c r="J55" s="1">
        <f>SUM(OSRRefE21_6x_5)</f>
        <v>20</v>
      </c>
      <c r="K55" s="1">
        <f>SUM(OSRRefE21_6x_6)</f>
        <v>0</v>
      </c>
      <c r="L55" s="1">
        <f>SUM(OSRRefE21_6x_7)</f>
        <v>40</v>
      </c>
      <c r="M55" s="1">
        <f>SUM(OSRRefE21_6x_8)</f>
        <v>20</v>
      </c>
      <c r="N55" s="1">
        <f>SUM(OSRRefE21_6x_9)</f>
        <v>90</v>
      </c>
      <c r="O55" s="1">
        <f>SUM(OSRRefE21_6x_10)</f>
        <v>0</v>
      </c>
      <c r="Q55" s="2">
        <f>SUM(OSRRefD20_6x)+IFERROR(SUM(OSRRefE20_6x),0)</f>
        <v>380</v>
      </c>
    </row>
    <row r="56" spans="1:17" s="34" customFormat="1" hidden="1" outlineLevel="1" x14ac:dyDescent="0.3">
      <c r="A56" s="35"/>
      <c r="B56" s="10" t="str">
        <f>CONCATENATE("          ","6277", " - ","EMPLOYEE APPRECIATION")</f>
        <v xml:space="preserve">          6277 - EMPLOYEE APPRECIATION</v>
      </c>
      <c r="C56" s="14"/>
      <c r="D56" s="2"/>
      <c r="E56" s="2">
        <v>40</v>
      </c>
      <c r="F56" s="2"/>
      <c r="G56" s="2">
        <v>40</v>
      </c>
      <c r="H56" s="2">
        <v>40</v>
      </c>
      <c r="I56" s="2">
        <v>90</v>
      </c>
      <c r="J56" s="2">
        <v>20</v>
      </c>
      <c r="K56" s="2"/>
      <c r="L56" s="2">
        <v>40</v>
      </c>
      <c r="M56" s="2">
        <v>20</v>
      </c>
      <c r="N56" s="2">
        <v>90</v>
      </c>
      <c r="O56" s="2"/>
      <c r="P56" s="9"/>
      <c r="Q56" s="2">
        <f>SUM(OSRRefD21_6_0x)+IFERROR(SUM(OSRRefE21_6_0x),0)</f>
        <v>380</v>
      </c>
    </row>
    <row r="57" spans="1:17" s="34" customFormat="1" collapsed="1" x14ac:dyDescent="0.3">
      <c r="A57" s="35"/>
      <c r="B57" s="14" t="str">
        <f>CONCATENATE("     ","Equipment Rental                                  ")</f>
        <v xml:space="preserve">     Equipment Rental                                  </v>
      </c>
      <c r="C57" s="14"/>
      <c r="D57" s="1">
        <f>SUM(OSRRefD21_7x_0)</f>
        <v>467.93</v>
      </c>
      <c r="E57" s="1">
        <f>SUM(OSRRefE21_7x_0)</f>
        <v>775</v>
      </c>
      <c r="F57" s="1">
        <f>SUM(OSRRefE21_7x_1)</f>
        <v>775</v>
      </c>
      <c r="G57" s="1">
        <f>SUM(OSRRefE21_7x_2)</f>
        <v>775</v>
      </c>
      <c r="H57" s="1">
        <f>SUM(OSRRefE21_7x_3)</f>
        <v>775</v>
      </c>
      <c r="I57" s="1">
        <f>SUM(OSRRefE21_7x_4)</f>
        <v>775</v>
      </c>
      <c r="J57" s="1">
        <f>SUM(OSRRefE21_7x_5)</f>
        <v>775</v>
      </c>
      <c r="K57" s="1">
        <f>SUM(OSRRefE21_7x_6)</f>
        <v>775</v>
      </c>
      <c r="L57" s="1">
        <f>SUM(OSRRefE21_7x_7)</f>
        <v>775</v>
      </c>
      <c r="M57" s="1">
        <f>SUM(OSRRefE21_7x_8)</f>
        <v>775</v>
      </c>
      <c r="N57" s="1">
        <f>SUM(OSRRefE21_7x_9)</f>
        <v>775</v>
      </c>
      <c r="O57" s="1">
        <f>SUM(OSRRefE21_7x_10)</f>
        <v>775</v>
      </c>
      <c r="Q57" s="2">
        <f>SUM(OSRRefD20_7x)+IFERROR(SUM(OSRRefE20_7x),0)</f>
        <v>8992.93</v>
      </c>
    </row>
    <row r="58" spans="1:17" s="34" customFormat="1" hidden="1" outlineLevel="1" x14ac:dyDescent="0.3">
      <c r="A58" s="35"/>
      <c r="B58" s="10" t="str">
        <f>CONCATENATE("          ","6351", " - ","EQUIPMENT RENTAL")</f>
        <v xml:space="preserve">          6351 - EQUIPMENT RENTAL</v>
      </c>
      <c r="C58" s="14"/>
      <c r="D58" s="2">
        <v>467.93</v>
      </c>
      <c r="E58" s="2">
        <v>775</v>
      </c>
      <c r="F58" s="2">
        <v>775</v>
      </c>
      <c r="G58" s="2">
        <v>775</v>
      </c>
      <c r="H58" s="2">
        <v>775</v>
      </c>
      <c r="I58" s="2">
        <v>775</v>
      </c>
      <c r="J58" s="2">
        <v>775</v>
      </c>
      <c r="K58" s="2">
        <v>775</v>
      </c>
      <c r="L58" s="2">
        <v>775</v>
      </c>
      <c r="M58" s="2">
        <v>775</v>
      </c>
      <c r="N58" s="2">
        <v>775</v>
      </c>
      <c r="O58" s="2">
        <v>775</v>
      </c>
      <c r="P58" s="9"/>
      <c r="Q58" s="2">
        <f>SUM(OSRRefD21_7_0x)+IFERROR(SUM(OSRRefE21_7_0x),0)</f>
        <v>8992.93</v>
      </c>
    </row>
    <row r="59" spans="1:17" s="34" customFormat="1" collapsed="1" x14ac:dyDescent="0.3">
      <c r="A59" s="35"/>
      <c r="B59" s="14" t="str">
        <f>CONCATENATE("     ","General                                           ")</f>
        <v xml:space="preserve">     General                                           </v>
      </c>
      <c r="C59" s="14"/>
      <c r="D59" s="1">
        <f>SUM(OSRRefD21_8x_0)</f>
        <v>165.28</v>
      </c>
      <c r="E59" s="1">
        <f>SUM(OSRRefE21_8x_0)</f>
        <v>0</v>
      </c>
      <c r="F59" s="1">
        <f>SUM(OSRRefE21_8x_1)</f>
        <v>0</v>
      </c>
      <c r="G59" s="1">
        <f>SUM(OSRRefE21_8x_2)</f>
        <v>0</v>
      </c>
      <c r="H59" s="1">
        <f>SUM(OSRRefE21_8x_3)</f>
        <v>0</v>
      </c>
      <c r="I59" s="1">
        <f>SUM(OSRRefE21_8x_4)</f>
        <v>1955</v>
      </c>
      <c r="J59" s="1">
        <f>SUM(OSRRefE21_8x_5)</f>
        <v>250</v>
      </c>
      <c r="K59" s="1">
        <f>SUM(OSRRefE21_8x_6)</f>
        <v>0</v>
      </c>
      <c r="L59" s="1">
        <f>SUM(OSRRefE21_8x_7)</f>
        <v>250</v>
      </c>
      <c r="M59" s="1">
        <f>SUM(OSRRefE21_8x_8)</f>
        <v>0</v>
      </c>
      <c r="N59" s="1">
        <f>SUM(OSRRefE21_8x_9)</f>
        <v>0</v>
      </c>
      <c r="O59" s="1">
        <f>SUM(OSRRefE21_8x_10)</f>
        <v>0</v>
      </c>
      <c r="Q59" s="2">
        <f>SUM(OSRRefD20_8x)+IFERROR(SUM(OSRRefE20_8x),0)</f>
        <v>2620.2800000000002</v>
      </c>
    </row>
    <row r="60" spans="1:17" s="34" customFormat="1" hidden="1" outlineLevel="1" x14ac:dyDescent="0.3">
      <c r="A60" s="35"/>
      <c r="B60" s="10" t="str">
        <f>CONCATENATE("          ","6269", " - ","ENTERTAINMENT")</f>
        <v xml:space="preserve">          6269 - ENTERTAINMENT</v>
      </c>
      <c r="C60" s="14"/>
      <c r="D60" s="2"/>
      <c r="E60" s="2"/>
      <c r="F60" s="2"/>
      <c r="G60" s="2"/>
      <c r="H60" s="2"/>
      <c r="I60" s="2"/>
      <c r="J60" s="2">
        <v>250</v>
      </c>
      <c r="K60" s="2"/>
      <c r="L60" s="2">
        <v>250</v>
      </c>
      <c r="M60" s="2"/>
      <c r="N60" s="2"/>
      <c r="O60" s="2"/>
      <c r="P60" s="9"/>
      <c r="Q60" s="2">
        <f>SUM(OSRRefD21_8_0x)+IFERROR(SUM(OSRRefE21_8_0x),0)</f>
        <v>500</v>
      </c>
    </row>
    <row r="61" spans="1:17" s="34" customFormat="1" hidden="1" outlineLevel="1" x14ac:dyDescent="0.3">
      <c r="A61" s="35"/>
      <c r="B61" s="10" t="str">
        <f>CONCATENATE("          ","6279", " - ","GENERAL EXPENSE")</f>
        <v xml:space="preserve">          6279 - GENERAL EXPENSE</v>
      </c>
      <c r="C61" s="14"/>
      <c r="D61" s="2">
        <v>165.28</v>
      </c>
      <c r="E61" s="2"/>
      <c r="F61" s="2"/>
      <c r="G61" s="2"/>
      <c r="H61" s="2"/>
      <c r="I61" s="2">
        <v>1955</v>
      </c>
      <c r="J61" s="2"/>
      <c r="K61" s="2"/>
      <c r="L61" s="2"/>
      <c r="M61" s="2"/>
      <c r="N61" s="2"/>
      <c r="O61" s="2"/>
      <c r="P61" s="9"/>
      <c r="Q61" s="2">
        <f>SUM(OSRRefD21_8_1x)+IFERROR(SUM(OSRRefE21_8_1x),0)</f>
        <v>2120.2800000000002</v>
      </c>
    </row>
    <row r="62" spans="1:17" s="34" customFormat="1" collapsed="1" x14ac:dyDescent="0.3">
      <c r="A62" s="35"/>
      <c r="B62" s="14" t="str">
        <f>CONCATENATE("     ","Insurance                                         ")</f>
        <v xml:space="preserve">     Insurance                                         </v>
      </c>
      <c r="C62" s="14"/>
      <c r="D62" s="1">
        <f>SUM(OSRRefD21_9x_0)</f>
        <v>5756.21</v>
      </c>
      <c r="E62" s="1">
        <f>SUM(OSRRefE21_9x_0)</f>
        <v>5670</v>
      </c>
      <c r="F62" s="1">
        <f>SUM(OSRRefE21_9x_1)</f>
        <v>5670</v>
      </c>
      <c r="G62" s="1">
        <f>SUM(OSRRefE21_9x_2)</f>
        <v>5670</v>
      </c>
      <c r="H62" s="1">
        <f>SUM(OSRRefE21_9x_3)</f>
        <v>5670</v>
      </c>
      <c r="I62" s="1">
        <f>SUM(OSRRefE21_9x_4)</f>
        <v>5670</v>
      </c>
      <c r="J62" s="1">
        <f>SUM(OSRRefE21_9x_5)</f>
        <v>5670</v>
      </c>
      <c r="K62" s="1">
        <f>SUM(OSRRefE21_9x_6)</f>
        <v>5670</v>
      </c>
      <c r="L62" s="1">
        <f>SUM(OSRRefE21_9x_7)</f>
        <v>5670</v>
      </c>
      <c r="M62" s="1">
        <f>SUM(OSRRefE21_9x_8)</f>
        <v>5670</v>
      </c>
      <c r="N62" s="1">
        <f>SUM(OSRRefE21_9x_9)</f>
        <v>5670</v>
      </c>
      <c r="O62" s="1">
        <f>SUM(OSRRefE21_9x_10)</f>
        <v>5670</v>
      </c>
      <c r="Q62" s="2">
        <f>SUM(OSRRefD20_9x)+IFERROR(SUM(OSRRefE20_9x),0)</f>
        <v>68126.210000000006</v>
      </c>
    </row>
    <row r="63" spans="1:17" s="34" customFormat="1" hidden="1" outlineLevel="1" x14ac:dyDescent="0.3">
      <c r="A63" s="35"/>
      <c r="B63" s="10" t="str">
        <f>CONCATENATE("          ","6314", " - ","LIABILITY INSURANCE")</f>
        <v xml:space="preserve">          6314 - LIABILITY INSURANCE</v>
      </c>
      <c r="C63" s="14"/>
      <c r="D63" s="2">
        <v>5756.21</v>
      </c>
      <c r="E63" s="2">
        <v>5670</v>
      </c>
      <c r="F63" s="2">
        <v>5670</v>
      </c>
      <c r="G63" s="2">
        <v>5670</v>
      </c>
      <c r="H63" s="2">
        <v>5670</v>
      </c>
      <c r="I63" s="2">
        <v>5670</v>
      </c>
      <c r="J63" s="2">
        <v>5670</v>
      </c>
      <c r="K63" s="2">
        <v>5670</v>
      </c>
      <c r="L63" s="2">
        <v>5670</v>
      </c>
      <c r="M63" s="2">
        <v>5670</v>
      </c>
      <c r="N63" s="2">
        <v>5670</v>
      </c>
      <c r="O63" s="2">
        <v>5670</v>
      </c>
      <c r="P63" s="9"/>
      <c r="Q63" s="2">
        <f>SUM(OSRRefD21_9_0x)+IFERROR(SUM(OSRRefE21_9_0x),0)</f>
        <v>68126.210000000006</v>
      </c>
    </row>
    <row r="64" spans="1:17" s="34" customFormat="1" collapsed="1" x14ac:dyDescent="0.3">
      <c r="A64" s="35"/>
      <c r="B64" s="14" t="str">
        <f>CONCATENATE("     ","Interest                                          ")</f>
        <v xml:space="preserve">     Interest                                          </v>
      </c>
      <c r="C64" s="14"/>
      <c r="D64" s="1">
        <f>SUM(OSRRefD21_10x_0)</f>
        <v>7253</v>
      </c>
      <c r="E64" s="1">
        <f>SUM(OSRRefE21_10x_0)</f>
        <v>7253</v>
      </c>
      <c r="F64" s="1">
        <f>SUM(OSRRefE21_10x_1)</f>
        <v>7253</v>
      </c>
      <c r="G64" s="1">
        <f>SUM(OSRRefE21_10x_2)</f>
        <v>7253</v>
      </c>
      <c r="H64" s="1">
        <f>SUM(OSRRefE21_10x_3)</f>
        <v>7253</v>
      </c>
      <c r="I64" s="1">
        <f>SUM(OSRRefE21_10x_4)</f>
        <v>7253</v>
      </c>
      <c r="J64" s="1">
        <f>SUM(OSRRefE21_10x_5)</f>
        <v>7253</v>
      </c>
      <c r="K64" s="1">
        <f>SUM(OSRRefE21_10x_6)</f>
        <v>7253</v>
      </c>
      <c r="L64" s="1">
        <f>SUM(OSRRefE21_10x_7)</f>
        <v>7253</v>
      </c>
      <c r="M64" s="1">
        <f>SUM(OSRRefE21_10x_8)</f>
        <v>7253</v>
      </c>
      <c r="N64" s="1">
        <f>SUM(OSRRefE21_10x_9)</f>
        <v>6982</v>
      </c>
      <c r="O64" s="1">
        <f>SUM(OSRRefE21_10x_10)</f>
        <v>6982</v>
      </c>
      <c r="Q64" s="2">
        <f>SUM(OSRRefD20_10x)+IFERROR(SUM(OSRRefE20_10x),0)</f>
        <v>86494</v>
      </c>
    </row>
    <row r="65" spans="1:17" s="34" customFormat="1" hidden="1" outlineLevel="1" x14ac:dyDescent="0.3">
      <c r="A65" s="35"/>
      <c r="B65" s="10" t="str">
        <f>CONCATENATE("          ","6401", " - ","INTEREST EXPENSE")</f>
        <v xml:space="preserve">          6401 - INTEREST EXPENSE</v>
      </c>
      <c r="C65" s="14"/>
      <c r="D65" s="2">
        <v>7253</v>
      </c>
      <c r="E65" s="2">
        <v>7253</v>
      </c>
      <c r="F65" s="2">
        <v>7253</v>
      </c>
      <c r="G65" s="2">
        <v>7253</v>
      </c>
      <c r="H65" s="2">
        <v>7253</v>
      </c>
      <c r="I65" s="2">
        <v>7253</v>
      </c>
      <c r="J65" s="2">
        <v>7253</v>
      </c>
      <c r="K65" s="2">
        <v>7253</v>
      </c>
      <c r="L65" s="2">
        <v>7253</v>
      </c>
      <c r="M65" s="2">
        <v>7253</v>
      </c>
      <c r="N65" s="2">
        <v>6982</v>
      </c>
      <c r="O65" s="2">
        <v>6982</v>
      </c>
      <c r="P65" s="9"/>
      <c r="Q65" s="2">
        <f>SUM(OSRRefD21_10_0x)+IFERROR(SUM(OSRRefE21_10_0x),0)</f>
        <v>86494</v>
      </c>
    </row>
    <row r="66" spans="1:17" s="34" customFormat="1" collapsed="1" x14ac:dyDescent="0.3">
      <c r="A66" s="35"/>
      <c r="B66" s="14" t="str">
        <f>CONCATENATE("     ","Rent                                              ")</f>
        <v xml:space="preserve">     Rent                                              </v>
      </c>
      <c r="C66" s="14"/>
      <c r="D66" s="1">
        <f>SUM(OSRRefD21_11x_0)</f>
        <v>1850</v>
      </c>
      <c r="E66" s="1">
        <f>SUM(OSRRefE21_11x_0)</f>
        <v>1850</v>
      </c>
      <c r="F66" s="1">
        <f>SUM(OSRRefE21_11x_1)</f>
        <v>1850</v>
      </c>
      <c r="G66" s="1">
        <f>SUM(OSRRefE21_11x_2)</f>
        <v>1850</v>
      </c>
      <c r="H66" s="1">
        <f>SUM(OSRRefE21_11x_3)</f>
        <v>1850</v>
      </c>
      <c r="I66" s="1">
        <f>SUM(OSRRefE21_11x_4)</f>
        <v>1850</v>
      </c>
      <c r="J66" s="1">
        <f>SUM(OSRRefE21_11x_5)</f>
        <v>1850</v>
      </c>
      <c r="K66" s="1">
        <f>SUM(OSRRefE21_11x_6)</f>
        <v>1850</v>
      </c>
      <c r="L66" s="1">
        <f>SUM(OSRRefE21_11x_7)</f>
        <v>1850</v>
      </c>
      <c r="M66" s="1">
        <f>SUM(OSRRefE21_11x_8)</f>
        <v>1850</v>
      </c>
      <c r="N66" s="1">
        <f>SUM(OSRRefE21_11x_9)</f>
        <v>1850</v>
      </c>
      <c r="O66" s="1">
        <f>SUM(OSRRefE21_11x_10)</f>
        <v>1850</v>
      </c>
      <c r="Q66" s="2">
        <f>SUM(OSRRefD20_11x)+IFERROR(SUM(OSRRefE20_11x),0)</f>
        <v>22200</v>
      </c>
    </row>
    <row r="67" spans="1:17" s="34" customFormat="1" hidden="1" outlineLevel="1" x14ac:dyDescent="0.3">
      <c r="A67" s="35"/>
      <c r="B67" s="10" t="str">
        <f>CONCATENATE("          ","6273", " - ","RENT")</f>
        <v xml:space="preserve">          6273 - RENT</v>
      </c>
      <c r="C67" s="14"/>
      <c r="D67" s="2">
        <v>1850</v>
      </c>
      <c r="E67" s="2">
        <v>1850</v>
      </c>
      <c r="F67" s="2">
        <v>1850</v>
      </c>
      <c r="G67" s="2">
        <v>1850</v>
      </c>
      <c r="H67" s="2">
        <v>1850</v>
      </c>
      <c r="I67" s="2">
        <v>1850</v>
      </c>
      <c r="J67" s="2">
        <v>1850</v>
      </c>
      <c r="K67" s="2">
        <v>1850</v>
      </c>
      <c r="L67" s="2">
        <v>1850</v>
      </c>
      <c r="M67" s="2">
        <v>1850</v>
      </c>
      <c r="N67" s="2">
        <v>1850</v>
      </c>
      <c r="O67" s="2">
        <v>1850</v>
      </c>
      <c r="P67" s="9"/>
      <c r="Q67" s="2">
        <f>SUM(OSRRefD21_11_0x)+IFERROR(SUM(OSRRefE21_11_0x),0)</f>
        <v>22200</v>
      </c>
    </row>
    <row r="68" spans="1:17" s="34" customFormat="1" collapsed="1" x14ac:dyDescent="0.3">
      <c r="A68" s="35"/>
      <c r="B68" s="14" t="str">
        <f>CONCATENATE("     ","Repair and Maintenance                            ")</f>
        <v xml:space="preserve">     Repair and Maintenance                            </v>
      </c>
      <c r="C68" s="14"/>
      <c r="D68" s="1">
        <f>SUM(OSRRefD21_12x_0)</f>
        <v>3131.71</v>
      </c>
      <c r="E68" s="1">
        <f>SUM(OSRRefE21_12x_0)</f>
        <v>1637</v>
      </c>
      <c r="F68" s="1">
        <f>SUM(OSRRefE21_12x_1)</f>
        <v>2371</v>
      </c>
      <c r="G68" s="1">
        <f>SUM(OSRRefE21_12x_2)</f>
        <v>3415</v>
      </c>
      <c r="H68" s="1">
        <f>SUM(OSRRefE21_12x_3)</f>
        <v>2088</v>
      </c>
      <c r="I68" s="1">
        <f>SUM(OSRRefE21_12x_4)</f>
        <v>3286</v>
      </c>
      <c r="J68" s="1">
        <f>SUM(OSRRefE21_12x_5)</f>
        <v>11166</v>
      </c>
      <c r="K68" s="1">
        <f>SUM(OSRRefE21_12x_6)</f>
        <v>3529</v>
      </c>
      <c r="L68" s="1">
        <f>SUM(OSRRefE21_12x_7)</f>
        <v>3450</v>
      </c>
      <c r="M68" s="1">
        <f>SUM(OSRRefE21_12x_8)</f>
        <v>5179</v>
      </c>
      <c r="N68" s="1">
        <f>SUM(OSRRefE21_12x_9)</f>
        <v>2679</v>
      </c>
      <c r="O68" s="1">
        <f>SUM(OSRRefE21_12x_10)</f>
        <v>1655</v>
      </c>
      <c r="Q68" s="2">
        <f>SUM(OSRRefD20_12x)+IFERROR(SUM(OSRRefE20_12x),0)</f>
        <v>43586.71</v>
      </c>
    </row>
    <row r="69" spans="1:17" s="34" customFormat="1" hidden="1" outlineLevel="1" x14ac:dyDescent="0.3">
      <c r="A69" s="35"/>
      <c r="B69" s="10" t="str">
        <f>CONCATENATE("          ","6372", " - ","COMPUTER HARDWARE MAINTENANCE")</f>
        <v xml:space="preserve">          6372 - COMPUTER HARDWARE MAINTENANCE</v>
      </c>
      <c r="C69" s="14"/>
      <c r="D69" s="2"/>
      <c r="E69" s="2"/>
      <c r="F69" s="2"/>
      <c r="G69" s="2"/>
      <c r="H69" s="2"/>
      <c r="I69" s="2"/>
      <c r="J69" s="2">
        <v>8000</v>
      </c>
      <c r="K69" s="2"/>
      <c r="L69" s="2"/>
      <c r="M69" s="2"/>
      <c r="N69" s="2"/>
      <c r="O69" s="2"/>
      <c r="P69" s="9"/>
      <c r="Q69" s="2">
        <f>SUM(OSRRefD21_12_0x)+IFERROR(SUM(OSRRefE21_12_0x),0)</f>
        <v>8000</v>
      </c>
    </row>
    <row r="70" spans="1:17" s="34" customFormat="1" hidden="1" outlineLevel="1" x14ac:dyDescent="0.3">
      <c r="A70" s="35"/>
      <c r="B70" s="10" t="str">
        <f>CONCATENATE("          ","6373", " - ","MAINTENANCE CONTRACTS")</f>
        <v xml:space="preserve">          6373 - MAINTENANCE CONTRACTS</v>
      </c>
      <c r="C70" s="14"/>
      <c r="D70" s="2">
        <v>0.87</v>
      </c>
      <c r="E70" s="2"/>
      <c r="F70" s="2"/>
      <c r="G70" s="2">
        <v>1030</v>
      </c>
      <c r="H70" s="2">
        <v>400</v>
      </c>
      <c r="I70" s="2">
        <v>1125</v>
      </c>
      <c r="J70" s="2">
        <v>1030</v>
      </c>
      <c r="K70" s="2"/>
      <c r="L70" s="2"/>
      <c r="M70" s="2">
        <v>1030</v>
      </c>
      <c r="N70" s="2"/>
      <c r="O70" s="2"/>
      <c r="P70" s="9"/>
      <c r="Q70" s="2">
        <f>SUM(OSRRefD21_12_1x)+IFERROR(SUM(OSRRefE21_12_1x),0)</f>
        <v>4615.87</v>
      </c>
    </row>
    <row r="71" spans="1:17" s="34" customFormat="1" hidden="1" outlineLevel="1" x14ac:dyDescent="0.3">
      <c r="A71" s="35"/>
      <c r="B71" s="10" t="str">
        <f>CONCATENATE("          ","6375", " - ","OUTSIDE REPAIRS &amp; MAINTENANCE")</f>
        <v xml:space="preserve">          6375 - OUTSIDE REPAIRS &amp; MAINTENANCE</v>
      </c>
      <c r="C71" s="14"/>
      <c r="D71" s="2">
        <v>3130.84</v>
      </c>
      <c r="E71" s="2">
        <v>1637</v>
      </c>
      <c r="F71" s="2">
        <v>2371</v>
      </c>
      <c r="G71" s="2">
        <v>2385</v>
      </c>
      <c r="H71" s="2">
        <v>1688</v>
      </c>
      <c r="I71" s="2">
        <v>2161</v>
      </c>
      <c r="J71" s="2">
        <v>2136</v>
      </c>
      <c r="K71" s="2">
        <v>3529</v>
      </c>
      <c r="L71" s="2">
        <v>3450</v>
      </c>
      <c r="M71" s="2">
        <v>4149</v>
      </c>
      <c r="N71" s="2">
        <v>2679</v>
      </c>
      <c r="O71" s="2">
        <v>1655</v>
      </c>
      <c r="P71" s="9"/>
      <c r="Q71" s="2">
        <f>SUM(OSRRefD21_12_2x)+IFERROR(SUM(OSRRefE21_12_2x),0)</f>
        <v>30970.84</v>
      </c>
    </row>
    <row r="72" spans="1:17" s="34" customFormat="1" collapsed="1" x14ac:dyDescent="0.3">
      <c r="A72" s="35"/>
      <c r="B72" s="14" t="str">
        <f>CONCATENATE("     ","Services                                          ")</f>
        <v xml:space="preserve">     Services                                          </v>
      </c>
      <c r="C72" s="14"/>
      <c r="D72" s="1">
        <f>SUM(OSRRefD21_13x_0)</f>
        <v>4589.2299999999996</v>
      </c>
      <c r="E72" s="1">
        <f>SUM(OSRRefE21_13x_0)</f>
        <v>11065</v>
      </c>
      <c r="F72" s="1">
        <f>SUM(OSRRefE21_13x_1)</f>
        <v>11005</v>
      </c>
      <c r="G72" s="1">
        <f>SUM(OSRRefE21_13x_2)</f>
        <v>12012</v>
      </c>
      <c r="H72" s="1">
        <f>SUM(OSRRefE21_13x_3)</f>
        <v>10995</v>
      </c>
      <c r="I72" s="1">
        <f>SUM(OSRRefE21_13x_4)</f>
        <v>10995</v>
      </c>
      <c r="J72" s="1">
        <f>SUM(OSRRefE21_13x_5)</f>
        <v>11137</v>
      </c>
      <c r="K72" s="1">
        <f>SUM(OSRRefE21_13x_6)</f>
        <v>11005</v>
      </c>
      <c r="L72" s="1">
        <f>SUM(OSRRefE21_13x_7)</f>
        <v>11005</v>
      </c>
      <c r="M72" s="1">
        <f>SUM(OSRRefE21_13x_8)</f>
        <v>12002</v>
      </c>
      <c r="N72" s="1">
        <f>SUM(OSRRefE21_13x_9)</f>
        <v>11005</v>
      </c>
      <c r="O72" s="1">
        <f>SUM(OSRRefE21_13x_10)</f>
        <v>11092</v>
      </c>
      <c r="Q72" s="2">
        <f>SUM(OSRRefD20_13x)+IFERROR(SUM(OSRRefE20_13x),0)</f>
        <v>127907.23</v>
      </c>
    </row>
    <row r="73" spans="1:17" s="34" customFormat="1" hidden="1" outlineLevel="1" x14ac:dyDescent="0.3">
      <c r="A73" s="35"/>
      <c r="B73" s="10" t="str">
        <f>CONCATENATE("          ","6282", " - ","JANITORIAL/EXTERMINATOR EXPENS")</f>
        <v xml:space="preserve">          6282 - JANITORIAL/EXTERMINATOR EXPENS</v>
      </c>
      <c r="C73" s="14"/>
      <c r="D73" s="2">
        <v>670.1</v>
      </c>
      <c r="E73" s="2">
        <v>1178</v>
      </c>
      <c r="F73" s="2">
        <v>1128</v>
      </c>
      <c r="G73" s="2">
        <v>1128</v>
      </c>
      <c r="H73" s="2">
        <v>1128</v>
      </c>
      <c r="I73" s="2">
        <v>1128</v>
      </c>
      <c r="J73" s="2">
        <v>1128</v>
      </c>
      <c r="K73" s="2">
        <v>1128</v>
      </c>
      <c r="L73" s="2">
        <v>1128</v>
      </c>
      <c r="M73" s="2">
        <v>1128</v>
      </c>
      <c r="N73" s="2">
        <v>1128</v>
      </c>
      <c r="O73" s="2">
        <v>1128</v>
      </c>
      <c r="P73" s="9"/>
      <c r="Q73" s="2">
        <f>SUM(OSRRefD21_13_0x)+IFERROR(SUM(OSRRefE21_13_0x),0)</f>
        <v>13128.1</v>
      </c>
    </row>
    <row r="74" spans="1:17" s="34" customFormat="1" hidden="1" outlineLevel="1" x14ac:dyDescent="0.3">
      <c r="A74" s="35"/>
      <c r="B74" s="10" t="str">
        <f>CONCATENATE("          ","6283", " - ","PLANT SERVICE")</f>
        <v xml:space="preserve">          6283 - PLANT SERVICE</v>
      </c>
      <c r="C74" s="14"/>
      <c r="D74" s="2"/>
      <c r="E74" s="2">
        <v>100</v>
      </c>
      <c r="F74" s="2">
        <v>100</v>
      </c>
      <c r="G74" s="2">
        <v>100</v>
      </c>
      <c r="H74" s="2">
        <v>100</v>
      </c>
      <c r="I74" s="2">
        <v>100</v>
      </c>
      <c r="J74" s="2">
        <v>100</v>
      </c>
      <c r="K74" s="2">
        <v>100</v>
      </c>
      <c r="L74" s="2">
        <v>100</v>
      </c>
      <c r="M74" s="2">
        <v>100</v>
      </c>
      <c r="N74" s="2">
        <v>100</v>
      </c>
      <c r="O74" s="2">
        <v>100</v>
      </c>
      <c r="P74" s="9"/>
      <c r="Q74" s="2">
        <f>SUM(OSRRefD21_13_1x)+IFERROR(SUM(OSRRefE21_13_1x),0)</f>
        <v>1100</v>
      </c>
    </row>
    <row r="75" spans="1:17" s="34" customFormat="1" hidden="1" outlineLevel="1" x14ac:dyDescent="0.3">
      <c r="A75" s="35"/>
      <c r="B75" s="10" t="str">
        <f>CONCATENATE("          ","6284", " - ","TRASH REMOVAL EXPENSE")</f>
        <v xml:space="preserve">          6284 - TRASH REMOVAL EXPENSE</v>
      </c>
      <c r="C75" s="14"/>
      <c r="D75" s="2"/>
      <c r="E75" s="2">
        <v>1000</v>
      </c>
      <c r="F75" s="2">
        <v>1000</v>
      </c>
      <c r="G75" s="2">
        <v>1000</v>
      </c>
      <c r="H75" s="2">
        <v>1000</v>
      </c>
      <c r="I75" s="2">
        <v>1000</v>
      </c>
      <c r="J75" s="2">
        <v>1000</v>
      </c>
      <c r="K75" s="2">
        <v>1000</v>
      </c>
      <c r="L75" s="2">
        <v>1000</v>
      </c>
      <c r="M75" s="2">
        <v>1000</v>
      </c>
      <c r="N75" s="2">
        <v>1000</v>
      </c>
      <c r="O75" s="2">
        <v>1000</v>
      </c>
      <c r="P75" s="9"/>
      <c r="Q75" s="2">
        <f>SUM(OSRRefD21_13_2x)+IFERROR(SUM(OSRRefE21_13_2x),0)</f>
        <v>11000</v>
      </c>
    </row>
    <row r="76" spans="1:17" s="34" customFormat="1" hidden="1" outlineLevel="1" x14ac:dyDescent="0.3">
      <c r="A76" s="35"/>
      <c r="B76" s="10" t="str">
        <f>CONCATENATE("          ","6285", " - ","JANITORIAL SERVICES")</f>
        <v xml:space="preserve">          6285 - JANITORIAL SERVICES</v>
      </c>
      <c r="C76" s="14"/>
      <c r="D76" s="2">
        <v>3759.39</v>
      </c>
      <c r="E76" s="2">
        <v>8224</v>
      </c>
      <c r="F76" s="2">
        <v>8224</v>
      </c>
      <c r="G76" s="2">
        <v>9099</v>
      </c>
      <c r="H76" s="2">
        <v>8224</v>
      </c>
      <c r="I76" s="2">
        <v>8224</v>
      </c>
      <c r="J76" s="2">
        <v>8224</v>
      </c>
      <c r="K76" s="2">
        <v>8224</v>
      </c>
      <c r="L76" s="2">
        <v>8224</v>
      </c>
      <c r="M76" s="2">
        <v>9099</v>
      </c>
      <c r="N76" s="2">
        <v>8224</v>
      </c>
      <c r="O76" s="2">
        <v>8224</v>
      </c>
      <c r="P76" s="9"/>
      <c r="Q76" s="2">
        <f>SUM(OSRRefD21_13_3x)+IFERROR(SUM(OSRRefE21_13_3x),0)</f>
        <v>95973.39</v>
      </c>
    </row>
    <row r="77" spans="1:17" s="34" customFormat="1" hidden="1" outlineLevel="1" x14ac:dyDescent="0.3">
      <c r="A77" s="35"/>
      <c r="B77" s="10" t="str">
        <f>CONCATENATE("          ","6286", " - ","LAUNDRY EXPENSE")</f>
        <v xml:space="preserve">          6286 - LAUNDRY EXPENSE</v>
      </c>
      <c r="C77" s="14"/>
      <c r="D77" s="2">
        <v>159.74</v>
      </c>
      <c r="E77" s="2">
        <v>563</v>
      </c>
      <c r="F77" s="2">
        <v>553</v>
      </c>
      <c r="G77" s="2">
        <v>685</v>
      </c>
      <c r="H77" s="2">
        <v>543</v>
      </c>
      <c r="I77" s="2">
        <v>543</v>
      </c>
      <c r="J77" s="2">
        <v>685</v>
      </c>
      <c r="K77" s="2">
        <v>553</v>
      </c>
      <c r="L77" s="2">
        <v>553</v>
      </c>
      <c r="M77" s="2">
        <v>675</v>
      </c>
      <c r="N77" s="2">
        <v>553</v>
      </c>
      <c r="O77" s="2">
        <v>640</v>
      </c>
      <c r="P77" s="9"/>
      <c r="Q77" s="2">
        <f>SUM(OSRRefD21_13_4x)+IFERROR(SUM(OSRRefE21_13_4x),0)</f>
        <v>6705.74</v>
      </c>
    </row>
    <row r="78" spans="1:17" s="34" customFormat="1" collapsed="1" x14ac:dyDescent="0.3">
      <c r="A78" s="35"/>
      <c r="B78" s="14" t="str">
        <f>CONCATENATE("     ","Subscriptions &amp; Dues                              ")</f>
        <v xml:space="preserve">     Subscriptions &amp; Dues                              </v>
      </c>
      <c r="C78" s="14"/>
      <c r="D78" s="1">
        <f>SUM(OSRRefD21_14x_0)</f>
        <v>130.66999999999999</v>
      </c>
      <c r="E78" s="1">
        <f>SUM(OSRRefE21_14x_0)</f>
        <v>610</v>
      </c>
      <c r="F78" s="1">
        <f>SUM(OSRRefE21_14x_1)</f>
        <v>610</v>
      </c>
      <c r="G78" s="1">
        <f>SUM(OSRRefE21_14x_2)</f>
        <v>610</v>
      </c>
      <c r="H78" s="1">
        <f>SUM(OSRRefE21_14x_3)</f>
        <v>610</v>
      </c>
      <c r="I78" s="1">
        <f>SUM(OSRRefE21_14x_4)</f>
        <v>610</v>
      </c>
      <c r="J78" s="1">
        <f>SUM(OSRRefE21_14x_5)</f>
        <v>610</v>
      </c>
      <c r="K78" s="1">
        <f>SUM(OSRRefE21_14x_6)</f>
        <v>610</v>
      </c>
      <c r="L78" s="1">
        <f>SUM(OSRRefE21_14x_7)</f>
        <v>610</v>
      </c>
      <c r="M78" s="1">
        <f>SUM(OSRRefE21_14x_8)</f>
        <v>610</v>
      </c>
      <c r="N78" s="1">
        <f>SUM(OSRRefE21_14x_9)</f>
        <v>610</v>
      </c>
      <c r="O78" s="1">
        <f>SUM(OSRRefE21_14x_10)</f>
        <v>610</v>
      </c>
      <c r="Q78" s="2">
        <f>SUM(OSRRefD20_14x)+IFERROR(SUM(OSRRefE20_14x),0)</f>
        <v>6840.67</v>
      </c>
    </row>
    <row r="79" spans="1:17" s="34" customFormat="1" hidden="1" outlineLevel="1" x14ac:dyDescent="0.3">
      <c r="A79" s="35"/>
      <c r="B79" s="10" t="str">
        <f>CONCATENATE("          ","6275", " - ","SUBSCRIPTIONS")</f>
        <v xml:space="preserve">          6275 - SUBSCRIPTIONS</v>
      </c>
      <c r="C79" s="14"/>
      <c r="D79" s="2">
        <v>130.66999999999999</v>
      </c>
      <c r="E79" s="2">
        <v>610</v>
      </c>
      <c r="F79" s="2">
        <v>610</v>
      </c>
      <c r="G79" s="2">
        <v>610</v>
      </c>
      <c r="H79" s="2">
        <v>610</v>
      </c>
      <c r="I79" s="2">
        <v>610</v>
      </c>
      <c r="J79" s="2">
        <v>610</v>
      </c>
      <c r="K79" s="2">
        <v>610</v>
      </c>
      <c r="L79" s="2">
        <v>610</v>
      </c>
      <c r="M79" s="2">
        <v>610</v>
      </c>
      <c r="N79" s="2">
        <v>610</v>
      </c>
      <c r="O79" s="2">
        <v>610</v>
      </c>
      <c r="P79" s="9"/>
      <c r="Q79" s="2">
        <f>SUM(OSRRefD21_14_0x)+IFERROR(SUM(OSRRefE21_14_0x),0)</f>
        <v>6840.67</v>
      </c>
    </row>
    <row r="80" spans="1:17" s="34" customFormat="1" collapsed="1" x14ac:dyDescent="0.3">
      <c r="A80" s="35"/>
      <c r="B80" s="14" t="str">
        <f>CONCATENATE("     ","Supplies                                          ")</f>
        <v xml:space="preserve">     Supplies                                          </v>
      </c>
      <c r="C80" s="14"/>
      <c r="D80" s="1">
        <f>SUM(OSRRefD21_15x_0)</f>
        <v>1730.4100000000003</v>
      </c>
      <c r="E80" s="1">
        <f>SUM(OSRRefE21_15x_0)</f>
        <v>6679</v>
      </c>
      <c r="F80" s="1">
        <f>SUM(OSRRefE21_15x_1)</f>
        <v>2255</v>
      </c>
      <c r="G80" s="1">
        <f>SUM(OSRRefE21_15x_2)</f>
        <v>1325</v>
      </c>
      <c r="H80" s="1">
        <f>SUM(OSRRefE21_15x_3)</f>
        <v>1175</v>
      </c>
      <c r="I80" s="1">
        <f>SUM(OSRRefE21_15x_4)</f>
        <v>1475</v>
      </c>
      <c r="J80" s="1">
        <f>SUM(OSRRefE21_15x_5)</f>
        <v>2575</v>
      </c>
      <c r="K80" s="1">
        <f>SUM(OSRRefE21_15x_6)</f>
        <v>1675</v>
      </c>
      <c r="L80" s="1">
        <f>SUM(OSRRefE21_15x_7)</f>
        <v>1225</v>
      </c>
      <c r="M80" s="1">
        <f>SUM(OSRRefE21_15x_8)</f>
        <v>1225</v>
      </c>
      <c r="N80" s="1">
        <f>SUM(OSRRefE21_15x_9)</f>
        <v>1225</v>
      </c>
      <c r="O80" s="1">
        <f>SUM(OSRRefE21_15x_10)</f>
        <v>1000</v>
      </c>
      <c r="Q80" s="2">
        <f>SUM(OSRRefD20_15x)+IFERROR(SUM(OSRRefE20_15x),0)</f>
        <v>23564.41</v>
      </c>
    </row>
    <row r="81" spans="1:17" s="34" customFormat="1" hidden="1" outlineLevel="1" x14ac:dyDescent="0.3">
      <c r="A81" s="35"/>
      <c r="B81" s="10" t="str">
        <f>CONCATENATE("          ","6235", " - ","COVID-19 EXPENSES")</f>
        <v xml:space="preserve">          6235 - COVID-19 EXPENSES</v>
      </c>
      <c r="C81" s="14"/>
      <c r="D81" s="2"/>
      <c r="E81" s="2">
        <v>250</v>
      </c>
      <c r="F81" s="2">
        <v>250</v>
      </c>
      <c r="G81" s="2">
        <v>250</v>
      </c>
      <c r="H81" s="2">
        <v>250</v>
      </c>
      <c r="I81" s="2">
        <v>250</v>
      </c>
      <c r="J81" s="2">
        <v>250</v>
      </c>
      <c r="K81" s="2">
        <v>250</v>
      </c>
      <c r="L81" s="2">
        <v>250</v>
      </c>
      <c r="M81" s="2">
        <v>250</v>
      </c>
      <c r="N81" s="2">
        <v>250</v>
      </c>
      <c r="O81" s="2">
        <v>225</v>
      </c>
      <c r="P81" s="9"/>
      <c r="Q81" s="2">
        <f>SUM(OSRRefD21_15_0x)+IFERROR(SUM(OSRRefE21_15_0x),0)</f>
        <v>2725</v>
      </c>
    </row>
    <row r="82" spans="1:17" s="34" customFormat="1" hidden="1" outlineLevel="1" x14ac:dyDescent="0.3">
      <c r="A82" s="35"/>
      <c r="B82" s="10" t="str">
        <f>CONCATENATE("          ","6237", " - ","JANITORIAL SUPPLIES")</f>
        <v xml:space="preserve">          6237 - JANITORIAL SUPPLIES</v>
      </c>
      <c r="C82" s="14"/>
      <c r="D82" s="2">
        <v>1002.17</v>
      </c>
      <c r="E82" s="2">
        <v>794</v>
      </c>
      <c r="F82" s="2">
        <v>586</v>
      </c>
      <c r="G82" s="2">
        <v>225</v>
      </c>
      <c r="H82" s="2">
        <v>225</v>
      </c>
      <c r="I82" s="2">
        <v>225</v>
      </c>
      <c r="J82" s="2">
        <v>225</v>
      </c>
      <c r="K82" s="2">
        <v>225</v>
      </c>
      <c r="L82" s="2">
        <v>225</v>
      </c>
      <c r="M82" s="2">
        <v>225</v>
      </c>
      <c r="N82" s="2">
        <v>225</v>
      </c>
      <c r="O82" s="2">
        <v>175</v>
      </c>
      <c r="P82" s="9"/>
      <c r="Q82" s="2">
        <f>SUM(OSRRefD21_15_1x)+IFERROR(SUM(OSRRefE21_15_1x),0)</f>
        <v>4357.17</v>
      </c>
    </row>
    <row r="83" spans="1:17" s="34" customFormat="1" hidden="1" outlineLevel="1" x14ac:dyDescent="0.3">
      <c r="A83" s="35"/>
      <c r="B83" s="10" t="str">
        <f>CONCATENATE("          ","6239", " - ","KITCHEN SUPPLIES")</f>
        <v xml:space="preserve">          6239 - KITCHEN SUPPLIES</v>
      </c>
      <c r="C83" s="14"/>
      <c r="D83" s="2">
        <v>32.03</v>
      </c>
      <c r="E83" s="2">
        <v>73</v>
      </c>
      <c r="F83" s="2">
        <v>13</v>
      </c>
      <c r="G83" s="2"/>
      <c r="H83" s="2"/>
      <c r="I83" s="2"/>
      <c r="J83" s="2">
        <v>100</v>
      </c>
      <c r="K83" s="2"/>
      <c r="L83" s="2"/>
      <c r="M83" s="2"/>
      <c r="N83" s="2"/>
      <c r="O83" s="2"/>
      <c r="P83" s="9"/>
      <c r="Q83" s="2">
        <f>SUM(OSRRefD21_15_2x)+IFERROR(SUM(OSRRefE21_15_2x),0)</f>
        <v>218.03</v>
      </c>
    </row>
    <row r="84" spans="1:17" s="34" customFormat="1" hidden="1" outlineLevel="1" x14ac:dyDescent="0.3">
      <c r="A84" s="35"/>
      <c r="B84" s="10" t="str">
        <f>CONCATENATE("          ","6241", " - ","OFFICE EXPENSE")</f>
        <v xml:space="preserve">          6241 - OFFICE EXPENSE</v>
      </c>
      <c r="C84" s="14"/>
      <c r="D84" s="2">
        <v>530.83000000000004</v>
      </c>
      <c r="E84" s="2">
        <v>2550</v>
      </c>
      <c r="F84" s="2">
        <v>283</v>
      </c>
      <c r="G84" s="2">
        <v>50</v>
      </c>
      <c r="H84" s="2"/>
      <c r="I84" s="2"/>
      <c r="J84" s="2">
        <v>200</v>
      </c>
      <c r="K84" s="2"/>
      <c r="L84" s="2">
        <v>50</v>
      </c>
      <c r="M84" s="2"/>
      <c r="N84" s="2">
        <v>50</v>
      </c>
      <c r="O84" s="2"/>
      <c r="P84" s="9"/>
      <c r="Q84" s="2">
        <f>SUM(OSRRefD21_15_3x)+IFERROR(SUM(OSRRefE21_15_3x),0)</f>
        <v>3713.83</v>
      </c>
    </row>
    <row r="85" spans="1:17" s="34" customFormat="1" hidden="1" outlineLevel="1" x14ac:dyDescent="0.3">
      <c r="A85" s="35"/>
      <c r="B85" s="10" t="str">
        <f>CONCATENATE("          ","6243", " - ","PAPER SUPPLIES")</f>
        <v xml:space="preserve">          6243 - PAPER SUPPLIES</v>
      </c>
      <c r="C85" s="14"/>
      <c r="D85" s="2">
        <v>165.38</v>
      </c>
      <c r="E85" s="2">
        <v>1301</v>
      </c>
      <c r="F85" s="2">
        <v>1023</v>
      </c>
      <c r="G85" s="2">
        <v>700</v>
      </c>
      <c r="H85" s="2">
        <v>600</v>
      </c>
      <c r="I85" s="2">
        <v>600</v>
      </c>
      <c r="J85" s="2">
        <v>900</v>
      </c>
      <c r="K85" s="2">
        <v>600</v>
      </c>
      <c r="L85" s="2">
        <v>600</v>
      </c>
      <c r="M85" s="2">
        <v>600</v>
      </c>
      <c r="N85" s="2">
        <v>600</v>
      </c>
      <c r="O85" s="2">
        <v>500</v>
      </c>
      <c r="P85" s="9"/>
      <c r="Q85" s="2">
        <f>SUM(OSRRefD21_15_4x)+IFERROR(SUM(OSRRefE21_15_4x),0)</f>
        <v>8189.38</v>
      </c>
    </row>
    <row r="86" spans="1:17" s="34" customFormat="1" hidden="1" outlineLevel="1" x14ac:dyDescent="0.3">
      <c r="A86" s="35"/>
      <c r="B86" s="10" t="str">
        <f>CONCATENATE("          ","6244", " - ","SAFETY SUPPLY EXPENSE")</f>
        <v xml:space="preserve">          6244 - SAFETY SUPPLY EXPENSE</v>
      </c>
      <c r="C86" s="14"/>
      <c r="D86" s="2"/>
      <c r="E86" s="2"/>
      <c r="F86" s="2"/>
      <c r="G86" s="2"/>
      <c r="H86" s="2"/>
      <c r="I86" s="2">
        <v>50</v>
      </c>
      <c r="J86" s="2"/>
      <c r="K86" s="2"/>
      <c r="L86" s="2"/>
      <c r="M86" s="2">
        <v>50</v>
      </c>
      <c r="N86" s="2"/>
      <c r="O86" s="2"/>
      <c r="P86" s="9"/>
      <c r="Q86" s="2">
        <f>SUM(OSRRefD21_15_5x)+IFERROR(SUM(OSRRefE21_15_5x),0)</f>
        <v>100</v>
      </c>
    </row>
    <row r="87" spans="1:17" s="34" customFormat="1" hidden="1" outlineLevel="1" x14ac:dyDescent="0.3">
      <c r="A87" s="35"/>
      <c r="B87" s="10" t="str">
        <f>CONCATENATE("          ","6245", " - ","PRINTING")</f>
        <v xml:space="preserve">          6245 - PRINTING</v>
      </c>
      <c r="C87" s="14"/>
      <c r="D87" s="2"/>
      <c r="E87" s="2">
        <v>300</v>
      </c>
      <c r="F87" s="2">
        <v>100</v>
      </c>
      <c r="G87" s="2">
        <v>100</v>
      </c>
      <c r="H87" s="2">
        <v>100</v>
      </c>
      <c r="I87" s="2">
        <v>100</v>
      </c>
      <c r="J87" s="2">
        <v>400</v>
      </c>
      <c r="K87" s="2">
        <v>100</v>
      </c>
      <c r="L87" s="2">
        <v>100</v>
      </c>
      <c r="M87" s="2">
        <v>100</v>
      </c>
      <c r="N87" s="2">
        <v>100</v>
      </c>
      <c r="O87" s="2">
        <v>100</v>
      </c>
      <c r="P87" s="9"/>
      <c r="Q87" s="2">
        <f>SUM(OSRRefD21_15_6x)+IFERROR(SUM(OSRRefE21_15_6x),0)</f>
        <v>1600</v>
      </c>
    </row>
    <row r="88" spans="1:17" s="34" customFormat="1" hidden="1" outlineLevel="1" x14ac:dyDescent="0.3">
      <c r="A88" s="35"/>
      <c r="B88" s="10" t="str">
        <f>CONCATENATE("          ","6247", " - ","STORE SUPPLIES")</f>
        <v xml:space="preserve">          6247 - STORE SUPPLIES</v>
      </c>
      <c r="C88" s="14"/>
      <c r="D88" s="2"/>
      <c r="E88" s="2">
        <v>411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2">
        <f>SUM(OSRRefD21_15_7x)+IFERROR(SUM(OSRRefE21_15_7x),0)</f>
        <v>411</v>
      </c>
    </row>
    <row r="89" spans="1:17" s="34" customFormat="1" hidden="1" outlineLevel="1" x14ac:dyDescent="0.3">
      <c r="A89" s="35"/>
      <c r="B89" s="10" t="str">
        <f>CONCATENATE("          ","6248", " - ","UNIFORMS")</f>
        <v xml:space="preserve">          6248 - UNIFORMS</v>
      </c>
      <c r="C89" s="14"/>
      <c r="D89" s="2"/>
      <c r="E89" s="2">
        <v>1000</v>
      </c>
      <c r="F89" s="2"/>
      <c r="G89" s="2"/>
      <c r="H89" s="2"/>
      <c r="I89" s="2">
        <v>250</v>
      </c>
      <c r="J89" s="2">
        <v>500</v>
      </c>
      <c r="K89" s="2">
        <v>500</v>
      </c>
      <c r="L89" s="2"/>
      <c r="M89" s="2"/>
      <c r="N89" s="2"/>
      <c r="O89" s="2"/>
      <c r="P89" s="9"/>
      <c r="Q89" s="2">
        <f>SUM(OSRRefD21_15_8x)+IFERROR(SUM(OSRRefE21_15_8x),0)</f>
        <v>2250</v>
      </c>
    </row>
    <row r="90" spans="1:17" s="34" customFormat="1" collapsed="1" x14ac:dyDescent="0.3">
      <c r="A90" s="35"/>
      <c r="B90" s="14" t="str">
        <f>CONCATENATE("     ","Telephone/Data Lines                              ")</f>
        <v xml:space="preserve">     Telephone/Data Lines                              </v>
      </c>
      <c r="C90" s="14"/>
      <c r="D90" s="1">
        <f>SUM(OSRRefD21_16x_0)</f>
        <v>523.54999999999995</v>
      </c>
      <c r="E90" s="1">
        <f>SUM(OSRRefE21_16x_0)</f>
        <v>360</v>
      </c>
      <c r="F90" s="1">
        <f>SUM(OSRRefE21_16x_1)</f>
        <v>360</v>
      </c>
      <c r="G90" s="1">
        <f>SUM(OSRRefE21_16x_2)</f>
        <v>510</v>
      </c>
      <c r="H90" s="1">
        <f>SUM(OSRRefE21_16x_3)</f>
        <v>360</v>
      </c>
      <c r="I90" s="1">
        <f>SUM(OSRRefE21_16x_4)</f>
        <v>360</v>
      </c>
      <c r="J90" s="1">
        <f>SUM(OSRRefE21_16x_5)</f>
        <v>510</v>
      </c>
      <c r="K90" s="1">
        <f>SUM(OSRRefE21_16x_6)</f>
        <v>360</v>
      </c>
      <c r="L90" s="1">
        <f>SUM(OSRRefE21_16x_7)</f>
        <v>360</v>
      </c>
      <c r="M90" s="1">
        <f>SUM(OSRRefE21_16x_8)</f>
        <v>360</v>
      </c>
      <c r="N90" s="1">
        <f>SUM(OSRRefE21_16x_9)</f>
        <v>510</v>
      </c>
      <c r="O90" s="1">
        <f>SUM(OSRRefE21_16x_10)</f>
        <v>360</v>
      </c>
      <c r="Q90" s="2">
        <f>SUM(OSRRefD20_16x)+IFERROR(SUM(OSRRefE20_16x),0)</f>
        <v>4933.55</v>
      </c>
    </row>
    <row r="91" spans="1:17" s="34" customFormat="1" hidden="1" outlineLevel="1" x14ac:dyDescent="0.3">
      <c r="A91" s="35"/>
      <c r="B91" s="10" t="str">
        <f>CONCATENATE("          ","6303", " - ","DATA PHONE LINES")</f>
        <v xml:space="preserve">          6303 - DATA PHONE LINES</v>
      </c>
      <c r="C91" s="14"/>
      <c r="D91" s="2"/>
      <c r="E91" s="2">
        <v>135</v>
      </c>
      <c r="F91" s="2">
        <v>135</v>
      </c>
      <c r="G91" s="2">
        <v>135</v>
      </c>
      <c r="H91" s="2">
        <v>135</v>
      </c>
      <c r="I91" s="2">
        <v>135</v>
      </c>
      <c r="J91" s="2">
        <v>135</v>
      </c>
      <c r="K91" s="2">
        <v>135</v>
      </c>
      <c r="L91" s="2">
        <v>135</v>
      </c>
      <c r="M91" s="2">
        <v>135</v>
      </c>
      <c r="N91" s="2">
        <v>135</v>
      </c>
      <c r="O91" s="2">
        <v>135</v>
      </c>
      <c r="P91" s="9"/>
      <c r="Q91" s="2">
        <f>SUM(OSRRefD21_16_0x)+IFERROR(SUM(OSRRefE21_16_0x),0)</f>
        <v>1485</v>
      </c>
    </row>
    <row r="92" spans="1:17" s="34" customFormat="1" hidden="1" outlineLevel="1" x14ac:dyDescent="0.3">
      <c r="A92" s="35"/>
      <c r="B92" s="10" t="str">
        <f>CONCATENATE("          ","6309", " - ","TELEPHONE")</f>
        <v xml:space="preserve">          6309 - TELEPHONE</v>
      </c>
      <c r="C92" s="14"/>
      <c r="D92" s="2">
        <v>523.54999999999995</v>
      </c>
      <c r="E92" s="2">
        <v>225</v>
      </c>
      <c r="F92" s="2">
        <v>225</v>
      </c>
      <c r="G92" s="2">
        <v>375</v>
      </c>
      <c r="H92" s="2">
        <v>225</v>
      </c>
      <c r="I92" s="2">
        <v>225</v>
      </c>
      <c r="J92" s="2">
        <v>375</v>
      </c>
      <c r="K92" s="2">
        <v>225</v>
      </c>
      <c r="L92" s="2">
        <v>225</v>
      </c>
      <c r="M92" s="2">
        <v>225</v>
      </c>
      <c r="N92" s="2">
        <v>375</v>
      </c>
      <c r="O92" s="2">
        <v>225</v>
      </c>
      <c r="P92" s="9"/>
      <c r="Q92" s="2">
        <f>SUM(OSRRefD21_16_1x)+IFERROR(SUM(OSRRefE21_16_1x),0)</f>
        <v>3448.55</v>
      </c>
    </row>
    <row r="93" spans="1:17" s="34" customFormat="1" collapsed="1" x14ac:dyDescent="0.3">
      <c r="A93" s="35"/>
      <c r="B93" s="14" t="str">
        <f>CONCATENATE("     ","Training                                          ")</f>
        <v xml:space="preserve">     Training                                          </v>
      </c>
      <c r="C93" s="14"/>
      <c r="D93" s="1">
        <f>SUM(OSRRefD21_17x_0)</f>
        <v>0</v>
      </c>
      <c r="E93" s="1">
        <f>SUM(OSRRefE21_17x_0)</f>
        <v>280</v>
      </c>
      <c r="F93" s="1">
        <f>SUM(OSRRefE21_17x_1)</f>
        <v>200</v>
      </c>
      <c r="G93" s="1">
        <f>SUM(OSRRefE21_17x_2)</f>
        <v>0</v>
      </c>
      <c r="H93" s="1">
        <f>SUM(OSRRefE21_17x_3)</f>
        <v>0</v>
      </c>
      <c r="I93" s="1">
        <f>SUM(OSRRefE21_17x_4)</f>
        <v>0</v>
      </c>
      <c r="J93" s="1">
        <f>SUM(OSRRefE21_17x_5)</f>
        <v>1060</v>
      </c>
      <c r="K93" s="1">
        <f>SUM(OSRRefE21_17x_6)</f>
        <v>0</v>
      </c>
      <c r="L93" s="1">
        <f>SUM(OSRRefE21_17x_7)</f>
        <v>3300</v>
      </c>
      <c r="M93" s="1">
        <f>SUM(OSRRefE21_17x_8)</f>
        <v>0</v>
      </c>
      <c r="N93" s="1">
        <f>SUM(OSRRefE21_17x_9)</f>
        <v>0</v>
      </c>
      <c r="O93" s="1">
        <f>SUM(OSRRefE21_17x_10)</f>
        <v>0</v>
      </c>
      <c r="Q93" s="2">
        <f>SUM(OSRRefD20_17x)+IFERROR(SUM(OSRRefE20_17x),0)</f>
        <v>4840</v>
      </c>
    </row>
    <row r="94" spans="1:17" s="34" customFormat="1" hidden="1" outlineLevel="1" x14ac:dyDescent="0.3">
      <c r="A94" s="35"/>
      <c r="B94" s="10" t="str">
        <f>CONCATENATE("          ","6376", " - ","TRAINING")</f>
        <v xml:space="preserve">          6376 - TRAINING</v>
      </c>
      <c r="C94" s="14"/>
      <c r="D94" s="2"/>
      <c r="E94" s="2">
        <v>280</v>
      </c>
      <c r="F94" s="2">
        <v>200</v>
      </c>
      <c r="G94" s="2"/>
      <c r="H94" s="2"/>
      <c r="I94" s="2"/>
      <c r="J94" s="2">
        <v>1060</v>
      </c>
      <c r="K94" s="2"/>
      <c r="L94" s="2">
        <v>3300</v>
      </c>
      <c r="M94" s="2"/>
      <c r="N94" s="2"/>
      <c r="O94" s="2"/>
      <c r="P94" s="9"/>
      <c r="Q94" s="2">
        <f>SUM(OSRRefD21_17_0x)+IFERROR(SUM(OSRRefE21_17_0x),0)</f>
        <v>4840</v>
      </c>
    </row>
    <row r="95" spans="1:17" s="34" customFormat="1" collapsed="1" x14ac:dyDescent="0.3">
      <c r="A95" s="35"/>
      <c r="B95" s="14" t="str">
        <f>CONCATENATE("     ","Travel                                            ")</f>
        <v xml:space="preserve">     Travel                                            </v>
      </c>
      <c r="C95" s="14"/>
      <c r="D95" s="1">
        <f>SUM(OSRRefD21_18x_0)</f>
        <v>0</v>
      </c>
      <c r="E95" s="1">
        <f>SUM(OSRRefE21_18x_0)</f>
        <v>0</v>
      </c>
      <c r="F95" s="1">
        <f>SUM(OSRRefE21_18x_1)</f>
        <v>0</v>
      </c>
      <c r="G95" s="1">
        <f>SUM(OSRRefE21_18x_2)</f>
        <v>0</v>
      </c>
      <c r="H95" s="1">
        <f>SUM(OSRRefE21_18x_3)</f>
        <v>0</v>
      </c>
      <c r="I95" s="1">
        <f>SUM(OSRRefE21_18x_4)</f>
        <v>0</v>
      </c>
      <c r="J95" s="1">
        <f>SUM(OSRRefE21_18x_5)</f>
        <v>0</v>
      </c>
      <c r="K95" s="1">
        <f>SUM(OSRRefE21_18x_6)</f>
        <v>600</v>
      </c>
      <c r="L95" s="1">
        <f>SUM(OSRRefE21_18x_7)</f>
        <v>600</v>
      </c>
      <c r="M95" s="1">
        <f>SUM(OSRRefE21_18x_8)</f>
        <v>0</v>
      </c>
      <c r="N95" s="1">
        <f>SUM(OSRRefE21_18x_9)</f>
        <v>0</v>
      </c>
      <c r="O95" s="1">
        <f>SUM(OSRRefE21_18x_10)</f>
        <v>0</v>
      </c>
      <c r="Q95" s="2">
        <f>SUM(OSRRefD20_18x)+IFERROR(SUM(OSRRefE20_18x),0)</f>
        <v>1200</v>
      </c>
    </row>
    <row r="96" spans="1:17" s="34" customFormat="1" hidden="1" outlineLevel="1" x14ac:dyDescent="0.3">
      <c r="A96" s="35"/>
      <c r="B96" s="10" t="str">
        <f>CONCATENATE("          ","6292", " - ","TRAVEL/CONFERENCE")</f>
        <v xml:space="preserve">          6292 - TRAVEL/CONFERENCE</v>
      </c>
      <c r="C96" s="14"/>
      <c r="D96" s="2"/>
      <c r="E96" s="2"/>
      <c r="F96" s="2"/>
      <c r="G96" s="2"/>
      <c r="H96" s="2"/>
      <c r="I96" s="2"/>
      <c r="J96" s="2"/>
      <c r="K96" s="2">
        <v>600</v>
      </c>
      <c r="L96" s="2">
        <v>600</v>
      </c>
      <c r="M96" s="2"/>
      <c r="N96" s="2"/>
      <c r="O96" s="2"/>
      <c r="P96" s="9"/>
      <c r="Q96" s="2">
        <f>SUM(OSRRefD21_18_0x)+IFERROR(SUM(OSRRefE21_18_0x),0)</f>
        <v>1200</v>
      </c>
    </row>
    <row r="97" spans="1:17" s="34" customFormat="1" collapsed="1" x14ac:dyDescent="0.3">
      <c r="A97" s="35"/>
      <c r="B97" s="14" t="str">
        <f>CONCATENATE("     ","Utilities                                         ")</f>
        <v xml:space="preserve">     Utilities                                         </v>
      </c>
      <c r="C97" s="14"/>
      <c r="D97" s="1">
        <f>SUM(OSRRefD21_19x_0)</f>
        <v>8150</v>
      </c>
      <c r="E97" s="1">
        <f>SUM(OSRRefE21_19x_0)</f>
        <v>8667</v>
      </c>
      <c r="F97" s="1">
        <f>SUM(OSRRefE21_19x_1)</f>
        <v>8667</v>
      </c>
      <c r="G97" s="1">
        <f>SUM(OSRRefE21_19x_2)</f>
        <v>8667</v>
      </c>
      <c r="H97" s="1">
        <f>SUM(OSRRefE21_19x_3)</f>
        <v>8667</v>
      </c>
      <c r="I97" s="1">
        <f>SUM(OSRRefE21_19x_4)</f>
        <v>8667</v>
      </c>
      <c r="J97" s="1">
        <f>SUM(OSRRefE21_19x_5)</f>
        <v>8667</v>
      </c>
      <c r="K97" s="1">
        <f>SUM(OSRRefE21_19x_6)</f>
        <v>8667</v>
      </c>
      <c r="L97" s="1">
        <f>SUM(OSRRefE21_19x_7)</f>
        <v>8667</v>
      </c>
      <c r="M97" s="1">
        <f>SUM(OSRRefE21_19x_8)</f>
        <v>8667</v>
      </c>
      <c r="N97" s="1">
        <f>SUM(OSRRefE21_19x_9)</f>
        <v>8667</v>
      </c>
      <c r="O97" s="1">
        <f>SUM(OSRRefE21_19x_10)</f>
        <v>8663</v>
      </c>
      <c r="Q97" s="2">
        <f>SUM(OSRRefD20_19x)+IFERROR(SUM(OSRRefE20_19x),0)</f>
        <v>103483</v>
      </c>
    </row>
    <row r="98" spans="1:17" s="34" customFormat="1" hidden="1" outlineLevel="1" x14ac:dyDescent="0.3">
      <c r="A98" s="35"/>
      <c r="B98" s="10" t="str">
        <f>CONCATENATE("          ","6274", " - ","UTILITIES")</f>
        <v xml:space="preserve">          6274 - UTILITIES</v>
      </c>
      <c r="C98" s="14"/>
      <c r="D98" s="2">
        <v>8150</v>
      </c>
      <c r="E98" s="2">
        <v>8667</v>
      </c>
      <c r="F98" s="2">
        <v>8667</v>
      </c>
      <c r="G98" s="2">
        <v>8667</v>
      </c>
      <c r="H98" s="2">
        <v>8667</v>
      </c>
      <c r="I98" s="2">
        <v>8667</v>
      </c>
      <c r="J98" s="2">
        <v>8667</v>
      </c>
      <c r="K98" s="2">
        <v>8667</v>
      </c>
      <c r="L98" s="2">
        <v>8667</v>
      </c>
      <c r="M98" s="2">
        <v>8667</v>
      </c>
      <c r="N98" s="2">
        <v>8667</v>
      </c>
      <c r="O98" s="2">
        <v>8663</v>
      </c>
      <c r="P98" s="9"/>
      <c r="Q98" s="2">
        <f>SUM(OSRRefD21_19_0x)+IFERROR(SUM(OSRRefE21_19_0x),0)</f>
        <v>103483</v>
      </c>
    </row>
    <row r="99" spans="1:17" s="28" customFormat="1" x14ac:dyDescent="0.3">
      <c r="A99" s="21"/>
      <c r="B99" s="21"/>
      <c r="C99" s="2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Q99" s="1"/>
    </row>
    <row r="100" spans="1:17" s="9" customFormat="1" x14ac:dyDescent="0.3">
      <c r="A100" s="22"/>
      <c r="B100" s="16" t="s">
        <v>293</v>
      </c>
      <c r="C100" s="23"/>
      <c r="D100" s="3">
        <f>--2655.42</f>
        <v>2655.42</v>
      </c>
      <c r="E100" s="3"/>
      <c r="F100" s="3">
        <v>250</v>
      </c>
      <c r="G100" s="3">
        <v>250</v>
      </c>
      <c r="H100" s="3">
        <v>250</v>
      </c>
      <c r="I100" s="3">
        <v>250</v>
      </c>
      <c r="J100" s="3">
        <v>46218.59</v>
      </c>
      <c r="K100" s="3">
        <v>37154.720000000001</v>
      </c>
      <c r="L100" s="3">
        <v>21607.09</v>
      </c>
      <c r="M100" s="3">
        <v>28752.13</v>
      </c>
      <c r="N100" s="3">
        <v>29120.49</v>
      </c>
      <c r="O100" s="3">
        <v>12000</v>
      </c>
      <c r="Q100" s="2">
        <f>SUM(OSRRefD23_0x)+IFERROR(SUM(OSRRefE23_0x),0)</f>
        <v>178508.44</v>
      </c>
    </row>
    <row r="101" spans="1:17" x14ac:dyDescent="0.3">
      <c r="A101" s="5"/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</row>
    <row r="102" spans="1:17" s="15" customFormat="1" x14ac:dyDescent="0.3">
      <c r="A102" s="6"/>
      <c r="B102" s="17" t="s">
        <v>276</v>
      </c>
      <c r="C102" s="17"/>
      <c r="D102" s="8">
        <f t="shared" ref="D102:O102" si="2">IFERROR(+D21-D24+D100, 0)</f>
        <v>-128552.78000000001</v>
      </c>
      <c r="E102" s="8">
        <f t="shared" si="2"/>
        <v>-141004.66949620302</v>
      </c>
      <c r="F102" s="8">
        <f t="shared" si="2"/>
        <v>-95133.148448061314</v>
      </c>
      <c r="G102" s="8">
        <f t="shared" si="2"/>
        <v>-94115.790943378845</v>
      </c>
      <c r="H102" s="8">
        <f t="shared" si="2"/>
        <v>-102239.09662196832</v>
      </c>
      <c r="I102" s="8">
        <f t="shared" si="2"/>
        <v>-102594.08146590661</v>
      </c>
      <c r="J102" s="8">
        <f t="shared" si="2"/>
        <v>-59234.743444165651</v>
      </c>
      <c r="K102" s="8">
        <f t="shared" si="2"/>
        <v>82431.415721497004</v>
      </c>
      <c r="L102" s="8">
        <f t="shared" si="2"/>
        <v>56206.016076474771</v>
      </c>
      <c r="M102" s="8">
        <f t="shared" si="2"/>
        <v>48991.451425842039</v>
      </c>
      <c r="N102" s="8">
        <f t="shared" si="2"/>
        <v>-2486.0054040126161</v>
      </c>
      <c r="O102" s="8">
        <f t="shared" si="2"/>
        <v>-93343.632873863709</v>
      </c>
      <c r="Q102" s="8">
        <f>IFERROR(+Q21-Q24+Q100, 0)</f>
        <v>-631075.06547374604</v>
      </c>
    </row>
    <row r="103" spans="1:17" s="6" customFormat="1" x14ac:dyDescent="0.3">
      <c r="B103" s="16"/>
      <c r="C103" s="16"/>
      <c r="D103" s="4">
        <f t="shared" ref="D103:O103" si="3">IFERROR(D102/D10, 0)</f>
        <v>-6.5247567417221646</v>
      </c>
      <c r="E103" s="4">
        <f t="shared" si="3"/>
        <v>-3.1310714015233603</v>
      </c>
      <c r="F103" s="4">
        <f t="shared" si="3"/>
        <v>-0.79449101350465856</v>
      </c>
      <c r="G103" s="4">
        <f t="shared" si="3"/>
        <v>-0.59556401994190167</v>
      </c>
      <c r="H103" s="4">
        <f t="shared" si="3"/>
        <v>-1.2448901898519162</v>
      </c>
      <c r="I103" s="4">
        <f t="shared" si="3"/>
        <v>-1.1865662938587211</v>
      </c>
      <c r="J103" s="4">
        <f t="shared" si="3"/>
        <v>-0.39091357723053444</v>
      </c>
      <c r="K103" s="4">
        <f t="shared" si="3"/>
        <v>0.20880977110985946</v>
      </c>
      <c r="L103" s="4">
        <f t="shared" si="3"/>
        <v>0.15039243964603971</v>
      </c>
      <c r="M103" s="4">
        <f t="shared" si="3"/>
        <v>0.12683870919311854</v>
      </c>
      <c r="N103" s="4">
        <f t="shared" si="3"/>
        <v>-1.0109164934419134E-2</v>
      </c>
      <c r="O103" s="4">
        <f t="shared" si="3"/>
        <v>-1.1036657311041396</v>
      </c>
      <c r="P103" s="18"/>
      <c r="Q103" s="4">
        <f>IFERROR(Q102/Q10, 0)</f>
        <v>-0.29381528262789963</v>
      </c>
    </row>
    <row r="104" spans="1:17" x14ac:dyDescent="0.3">
      <c r="A104" s="5"/>
      <c r="B104" s="6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Q104" s="3"/>
    </row>
    <row r="105" spans="1:17" s="15" customFormat="1" x14ac:dyDescent="0.3">
      <c r="A105" s="25"/>
      <c r="B105" s="6" t="s">
        <v>125</v>
      </c>
      <c r="C105" s="6"/>
      <c r="D105" s="3">
        <v>9102.39</v>
      </c>
      <c r="E105" s="3">
        <v>2914</v>
      </c>
      <c r="F105" s="3">
        <v>12819</v>
      </c>
      <c r="G105" s="3">
        <v>19281</v>
      </c>
      <c r="H105" s="3">
        <v>13588</v>
      </c>
      <c r="I105" s="3">
        <v>13038</v>
      </c>
      <c r="J105" s="3">
        <v>16900</v>
      </c>
      <c r="K105" s="3">
        <v>46273</v>
      </c>
      <c r="L105" s="3">
        <v>45026</v>
      </c>
      <c r="M105" s="3">
        <v>49265</v>
      </c>
      <c r="N105" s="3">
        <v>32195</v>
      </c>
      <c r="O105" s="3">
        <v>-12096</v>
      </c>
      <c r="Q105" s="2">
        <f>SUM(OSRRefD28_0x)+IFERROR(SUM(OSRRefE28_0x),0)</f>
        <v>248305.39</v>
      </c>
    </row>
    <row r="106" spans="1:17" x14ac:dyDescent="0.3">
      <c r="A106" s="5"/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Q106" s="3"/>
    </row>
    <row r="107" spans="1:17" s="15" customFormat="1" ht="15" thickBot="1" x14ac:dyDescent="0.35">
      <c r="A107" s="6"/>
      <c r="B107" s="17" t="s">
        <v>124</v>
      </c>
      <c r="C107" s="17"/>
      <c r="D107" s="7">
        <f t="shared" ref="D107:O107" si="4">IFERROR(+D102-D105, 0)</f>
        <v>-137655.17000000001</v>
      </c>
      <c r="E107" s="7">
        <f t="shared" si="4"/>
        <v>-143918.66949620302</v>
      </c>
      <c r="F107" s="7">
        <f t="shared" si="4"/>
        <v>-107952.14844806131</v>
      </c>
      <c r="G107" s="7">
        <f t="shared" si="4"/>
        <v>-113396.79094337884</v>
      </c>
      <c r="H107" s="7">
        <f t="shared" si="4"/>
        <v>-115827.09662196832</v>
      </c>
      <c r="I107" s="7">
        <f t="shared" si="4"/>
        <v>-115632.08146590661</v>
      </c>
      <c r="J107" s="7">
        <f t="shared" si="4"/>
        <v>-76134.743444165651</v>
      </c>
      <c r="K107" s="7">
        <f t="shared" si="4"/>
        <v>36158.415721497004</v>
      </c>
      <c r="L107" s="7">
        <f t="shared" si="4"/>
        <v>11180.016076474771</v>
      </c>
      <c r="M107" s="7">
        <f t="shared" si="4"/>
        <v>-273.54857415796141</v>
      </c>
      <c r="N107" s="7">
        <f t="shared" si="4"/>
        <v>-34681.005404012612</v>
      </c>
      <c r="O107" s="7">
        <f t="shared" si="4"/>
        <v>-81247.632873863709</v>
      </c>
      <c r="Q107" s="7">
        <f>IFERROR(+Q102-Q105, 0)</f>
        <v>-879380.45547374606</v>
      </c>
    </row>
    <row r="108" spans="1:17" ht="15" thickTop="1" x14ac:dyDescent="0.3">
      <c r="A108" s="5"/>
      <c r="B108" s="5"/>
      <c r="C108" s="5"/>
      <c r="D108" s="4">
        <f t="shared" ref="D108:O108" si="5">IFERROR(D107/D10, 0)</f>
        <v>-6.9867528223847879</v>
      </c>
      <c r="E108" s="4">
        <f t="shared" si="5"/>
        <v>-3.1957780675978817</v>
      </c>
      <c r="F108" s="4">
        <f t="shared" si="5"/>
        <v>-0.90154707617325158</v>
      </c>
      <c r="G108" s="4">
        <f t="shared" si="5"/>
        <v>-0.7175740434820338</v>
      </c>
      <c r="H108" s="4">
        <f t="shared" si="5"/>
        <v>-1.4103412595366727</v>
      </c>
      <c r="I108" s="4">
        <f t="shared" si="5"/>
        <v>-1.3373591185351723</v>
      </c>
      <c r="J108" s="4">
        <f t="shared" si="5"/>
        <v>-0.50244338340624994</v>
      </c>
      <c r="K108" s="4">
        <f t="shared" si="5"/>
        <v>9.1594090000955003E-2</v>
      </c>
      <c r="L108" s="4">
        <f t="shared" si="5"/>
        <v>2.9914767321976007E-2</v>
      </c>
      <c r="M108" s="4">
        <f t="shared" si="5"/>
        <v>-7.0821637322449559E-4</v>
      </c>
      <c r="N108" s="4">
        <f t="shared" si="5"/>
        <v>-0.14102785261639184</v>
      </c>
      <c r="O108" s="4">
        <f t="shared" si="5"/>
        <v>-0.9606464348498831</v>
      </c>
      <c r="P108" s="18"/>
      <c r="Q108" s="4">
        <f>IFERROR(Q107/Q10, 0)</f>
        <v>-0.40942105178645938</v>
      </c>
    </row>
    <row r="109" spans="1:17" x14ac:dyDescent="0.3">
      <c r="A109" s="5"/>
      <c r="B109" s="5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Q109" s="3"/>
    </row>
    <row r="110" spans="1:17" x14ac:dyDescent="0.3">
      <c r="A110" s="5"/>
      <c r="B110" s="5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Q110" s="3"/>
    </row>
    <row r="111" spans="1:17" s="15" customFormat="1" ht="15" thickBot="1" x14ac:dyDescent="0.35">
      <c r="A111" s="6"/>
      <c r="B111" s="17" t="s">
        <v>294</v>
      </c>
      <c r="C111" s="17"/>
      <c r="D111" s="7">
        <f t="shared" ref="D111:O111" si="6">IFERROR(SUM(D107:D110), 0)</f>
        <v>-137662.1567528224</v>
      </c>
      <c r="E111" s="7">
        <f t="shared" si="6"/>
        <v>-143921.86527427062</v>
      </c>
      <c r="F111" s="7">
        <f t="shared" si="6"/>
        <v>-107953.04999513748</v>
      </c>
      <c r="G111" s="7">
        <f t="shared" si="6"/>
        <v>-113397.50851742232</v>
      </c>
      <c r="H111" s="7">
        <f t="shared" si="6"/>
        <v>-115828.50696322786</v>
      </c>
      <c r="I111" s="7">
        <f t="shared" si="6"/>
        <v>-115633.41882502515</v>
      </c>
      <c r="J111" s="7">
        <f t="shared" si="6"/>
        <v>-76135.245887549056</v>
      </c>
      <c r="K111" s="7">
        <f t="shared" si="6"/>
        <v>36158.507315587005</v>
      </c>
      <c r="L111" s="7">
        <f t="shared" si="6"/>
        <v>11180.045991242092</v>
      </c>
      <c r="M111" s="7">
        <f t="shared" si="6"/>
        <v>-273.54928237433461</v>
      </c>
      <c r="N111" s="7">
        <f t="shared" si="6"/>
        <v>-34681.146431865229</v>
      </c>
      <c r="O111" s="7">
        <f t="shared" si="6"/>
        <v>-81248.593520298557</v>
      </c>
      <c r="Q111" s="7">
        <f>IFERROR(SUM(Q107:Q110), 0)</f>
        <v>-879380.86489479779</v>
      </c>
    </row>
    <row r="112" spans="1:17" ht="15" thickTop="1" x14ac:dyDescent="0.3">
      <c r="A112" s="5"/>
      <c r="C112" s="5"/>
      <c r="D112" s="4">
        <f t="shared" ref="D112:O112" si="7">IFERROR(D111/D10, 0)</f>
        <v>-6.9871074383065954</v>
      </c>
      <c r="E112" s="4">
        <f t="shared" si="7"/>
        <v>-3.1958490312712753</v>
      </c>
      <c r="F112" s="4">
        <f t="shared" si="7"/>
        <v>-0.90155460531595255</v>
      </c>
      <c r="G112" s="4">
        <f t="shared" si="7"/>
        <v>-0.7175785842852046</v>
      </c>
      <c r="H112" s="4">
        <f t="shared" si="7"/>
        <v>-1.4103584322236031</v>
      </c>
      <c r="I112" s="4">
        <f t="shared" si="7"/>
        <v>-1.3373745859503503</v>
      </c>
      <c r="J112" s="4">
        <f t="shared" si="7"/>
        <v>-0.50244669922951424</v>
      </c>
      <c r="K112" s="4">
        <f t="shared" si="7"/>
        <v>9.159432202100222E-2</v>
      </c>
      <c r="L112" s="4">
        <f t="shared" si="7"/>
        <v>2.9914847365984688E-2</v>
      </c>
      <c r="M112" s="4">
        <f t="shared" si="7"/>
        <v>-7.0821820679439383E-4</v>
      </c>
      <c r="N112" s="4">
        <f t="shared" si="7"/>
        <v>-0.14102842609616792</v>
      </c>
      <c r="O112" s="4">
        <f t="shared" si="7"/>
        <v>-0.96065779323092315</v>
      </c>
      <c r="P112" s="18"/>
      <c r="Q112" s="4">
        <f>IFERROR(Q111/Q10, 0)</f>
        <v>-0.40942124240429328</v>
      </c>
    </row>
    <row r="113" spans="1:17" x14ac:dyDescent="0.3">
      <c r="A113" s="5"/>
      <c r="B113" s="30">
        <v>44462.67839641204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Q113" s="11"/>
    </row>
    <row r="114" spans="1:17" x14ac:dyDescent="0.3">
      <c r="A114" s="5"/>
      <c r="B114" s="31" t="s">
        <v>54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Q114" s="11"/>
    </row>
    <row r="115" spans="1:17" x14ac:dyDescent="0.3">
      <c r="A115" s="5"/>
      <c r="B115" s="2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Q115" s="11"/>
    </row>
    <row r="116" spans="1:17" x14ac:dyDescent="0.3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Q11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92D050"/>
    <outlinePr summaryBelow="0" summaryRight="0"/>
    <pageSetUpPr fitToPage="1"/>
  </sheetPr>
  <dimension ref="A2:R9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","405", " - ", "Caffeine Lab")</f>
        <v>Department 405 - Caffeine Lab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8038</v>
      </c>
      <c r="F10" s="3">
        <f>SUM(OSRRefE11x_1)</f>
        <v>31318</v>
      </c>
      <c r="G10" s="3">
        <f>SUM(OSRRefE11x_2)</f>
        <v>43745</v>
      </c>
      <c r="H10" s="3">
        <f>SUM(OSRRefE11x_3)</f>
        <v>24302</v>
      </c>
      <c r="I10" s="3">
        <f>SUM(OSRRefE11x_4)</f>
        <v>29819</v>
      </c>
      <c r="J10" s="3">
        <f>SUM(OSRRefE11x_5)</f>
        <v>30508</v>
      </c>
      <c r="K10" s="3">
        <f>SUM(OSRRefE11x_6)</f>
        <v>87554</v>
      </c>
      <c r="L10" s="3">
        <f>SUM(OSRRefE11x_7)</f>
        <v>84222</v>
      </c>
      <c r="M10" s="3">
        <f>SUM(OSRRefE11x_8)</f>
        <v>83684</v>
      </c>
      <c r="N10" s="3">
        <f>SUM(OSRRefE11x_9)</f>
        <v>59955</v>
      </c>
      <c r="O10" s="3">
        <f>SUM(OSRRefE11x_10)</f>
        <v>14389</v>
      </c>
      <c r="P10" s="24"/>
      <c r="Q10" s="3">
        <f>SUM(OSRRefG11x)</f>
        <v>497534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1683</v>
      </c>
      <c r="F11" s="2">
        <v>6558</v>
      </c>
      <c r="G11" s="2">
        <v>9161</v>
      </c>
      <c r="H11" s="2">
        <v>5089</v>
      </c>
      <c r="I11" s="2">
        <v>6244</v>
      </c>
      <c r="J11" s="2">
        <v>6389</v>
      </c>
      <c r="K11" s="2">
        <v>18335</v>
      </c>
      <c r="L11" s="2">
        <v>17637</v>
      </c>
      <c r="M11" s="2">
        <v>17524</v>
      </c>
      <c r="N11" s="2">
        <v>12555</v>
      </c>
      <c r="O11" s="2">
        <v>3013</v>
      </c>
      <c r="Q11" s="2">
        <f>SUM(OSRRefD11_0x)+IFERROR(SUM(OSRRefE11_0x),0)</f>
        <v>104188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6355</v>
      </c>
      <c r="F12" s="2">
        <v>24760</v>
      </c>
      <c r="G12" s="2">
        <v>34584</v>
      </c>
      <c r="H12" s="2">
        <v>19213</v>
      </c>
      <c r="I12" s="2">
        <v>23575</v>
      </c>
      <c r="J12" s="2">
        <v>24119</v>
      </c>
      <c r="K12" s="2">
        <v>69219</v>
      </c>
      <c r="L12" s="2">
        <v>66585</v>
      </c>
      <c r="M12" s="2">
        <v>66160</v>
      </c>
      <c r="N12" s="2">
        <v>47400</v>
      </c>
      <c r="O12" s="2">
        <v>11376</v>
      </c>
      <c r="Q12" s="2">
        <f>SUM(OSRRefD11_1x)+IFERROR(SUM(OSRRefE11_1x),0)</f>
        <v>393346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3054</v>
      </c>
      <c r="F14" s="3">
        <f>SUM(OSRRefE14x_1)</f>
        <v>11901</v>
      </c>
      <c r="G14" s="3">
        <f>SUM(OSRRefE14x_2)</f>
        <v>16623</v>
      </c>
      <c r="H14" s="3">
        <f>SUM(OSRRefE14x_3)</f>
        <v>9235</v>
      </c>
      <c r="I14" s="3">
        <f>SUM(OSRRefE14x_4)</f>
        <v>11331</v>
      </c>
      <c r="J14" s="3">
        <f>SUM(OSRRefE14x_5)</f>
        <v>11593</v>
      </c>
      <c r="K14" s="3">
        <f>SUM(OSRRefE14x_6)</f>
        <v>33270</v>
      </c>
      <c r="L14" s="3">
        <f>SUM(OSRRefE14x_7)</f>
        <v>32004</v>
      </c>
      <c r="M14" s="3">
        <f>SUM(OSRRefE14x_8)</f>
        <v>31800</v>
      </c>
      <c r="N14" s="3">
        <f>SUM(OSRRefE14x_9)</f>
        <v>22783</v>
      </c>
      <c r="O14" s="3">
        <f>SUM(OSRRefE14x_10)</f>
        <v>5468</v>
      </c>
      <c r="Q14" s="3">
        <f>SUM(OSRRefG14x)</f>
        <v>189062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3054</v>
      </c>
      <c r="F15" s="2">
        <v>11901</v>
      </c>
      <c r="G15" s="2">
        <v>16623</v>
      </c>
      <c r="H15" s="2">
        <v>9235</v>
      </c>
      <c r="I15" s="2">
        <v>11331</v>
      </c>
      <c r="J15" s="2">
        <v>11593</v>
      </c>
      <c r="K15" s="2">
        <v>33270</v>
      </c>
      <c r="L15" s="2">
        <v>32004</v>
      </c>
      <c r="M15" s="2">
        <v>31800</v>
      </c>
      <c r="N15" s="2">
        <v>22783</v>
      </c>
      <c r="O15" s="2">
        <v>5468</v>
      </c>
      <c r="Q15" s="2">
        <f>SUM(OSRRefD14_0x)+IFERROR(SUM(OSRRefE14_0x),0)</f>
        <v>189062</v>
      </c>
    </row>
    <row r="16" spans="1:18" x14ac:dyDescent="0.3">
      <c r="A16" s="5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15" customFormat="1" x14ac:dyDescent="0.3">
      <c r="A17" s="6"/>
      <c r="B17" s="17" t="s">
        <v>105</v>
      </c>
      <c r="C17" s="17"/>
      <c r="D17" s="8">
        <f t="shared" ref="D17:O17" si="1">IFERROR(+D10-D14, 0)</f>
        <v>0</v>
      </c>
      <c r="E17" s="8">
        <f t="shared" si="1"/>
        <v>4984</v>
      </c>
      <c r="F17" s="8">
        <f t="shared" si="1"/>
        <v>19417</v>
      </c>
      <c r="G17" s="8">
        <f t="shared" si="1"/>
        <v>27122</v>
      </c>
      <c r="H17" s="8">
        <f t="shared" si="1"/>
        <v>15067</v>
      </c>
      <c r="I17" s="8">
        <f t="shared" si="1"/>
        <v>18488</v>
      </c>
      <c r="J17" s="8">
        <f t="shared" si="1"/>
        <v>18915</v>
      </c>
      <c r="K17" s="8">
        <f t="shared" si="1"/>
        <v>54284</v>
      </c>
      <c r="L17" s="8">
        <f t="shared" si="1"/>
        <v>52218</v>
      </c>
      <c r="M17" s="8">
        <f t="shared" si="1"/>
        <v>51884</v>
      </c>
      <c r="N17" s="8">
        <f t="shared" si="1"/>
        <v>37172</v>
      </c>
      <c r="O17" s="8">
        <f t="shared" si="1"/>
        <v>8921</v>
      </c>
      <c r="Q17" s="8">
        <f>IFERROR(+Q10-Q14, 0)</f>
        <v>308472</v>
      </c>
    </row>
    <row r="18" spans="1:17" s="6" customFormat="1" x14ac:dyDescent="0.3">
      <c r="B18" s="16"/>
      <c r="C18" s="16"/>
      <c r="D18" s="4">
        <f t="shared" ref="D18:O18" si="2">IFERROR(D17/D10, 0)</f>
        <v>0</v>
      </c>
      <c r="E18" s="4">
        <f t="shared" si="2"/>
        <v>0.62005473998507088</v>
      </c>
      <c r="F18" s="4">
        <f t="shared" si="2"/>
        <v>0.61999489111692951</v>
      </c>
      <c r="G18" s="4">
        <f t="shared" si="2"/>
        <v>0.62000228597554008</v>
      </c>
      <c r="H18" s="4">
        <f t="shared" si="2"/>
        <v>0.61999012426960742</v>
      </c>
      <c r="I18" s="4">
        <f t="shared" si="2"/>
        <v>0.62000737784633964</v>
      </c>
      <c r="J18" s="4">
        <f t="shared" si="2"/>
        <v>0.62000131113150647</v>
      </c>
      <c r="K18" s="4">
        <f t="shared" si="2"/>
        <v>0.62000593919181302</v>
      </c>
      <c r="L18" s="4">
        <f t="shared" si="2"/>
        <v>0.62000427441761063</v>
      </c>
      <c r="M18" s="4">
        <f t="shared" si="2"/>
        <v>0.6199990440227523</v>
      </c>
      <c r="N18" s="4">
        <f t="shared" si="2"/>
        <v>0.61999833208239508</v>
      </c>
      <c r="O18" s="4">
        <f t="shared" si="2"/>
        <v>0.61998749044408918</v>
      </c>
      <c r="P18" s="18"/>
      <c r="Q18" s="4">
        <f>IFERROR(Q17/Q10, 0)</f>
        <v>0.62000184911985912</v>
      </c>
    </row>
    <row r="19" spans="1:17" x14ac:dyDescent="0.3">
      <c r="A19" s="5"/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s="15" customFormat="1" x14ac:dyDescent="0.3">
      <c r="A20" s="6"/>
      <c r="B20" s="16" t="s">
        <v>255</v>
      </c>
      <c r="C20" s="6"/>
      <c r="D20" s="13">
        <f>SUM(OSRRefD20x_0)</f>
        <v>13284.030000000002</v>
      </c>
      <c r="E20" s="13">
        <f>SUM(OSRRefE20x_0)</f>
        <v>30219.919177692303</v>
      </c>
      <c r="F20" s="13">
        <f>SUM(OSRRefE20x_1)</f>
        <v>34458.074307692303</v>
      </c>
      <c r="G20" s="13">
        <f>SUM(OSRRefE20x_2)</f>
        <v>40678.542884615381</v>
      </c>
      <c r="H20" s="13">
        <f>SUM(OSRRefE20x_3)</f>
        <v>29473.314307692304</v>
      </c>
      <c r="I20" s="13">
        <f>SUM(OSRRefE20x_4)</f>
        <v>31200.914307692303</v>
      </c>
      <c r="J20" s="13">
        <f>SUM(OSRRefE20x_5)</f>
        <v>36595.223972307693</v>
      </c>
      <c r="K20" s="13">
        <f>SUM(OSRRefE20x_6)</f>
        <v>42852.71597784615</v>
      </c>
      <c r="L20" s="13">
        <f>SUM(OSRRefE20x_7)</f>
        <v>40826.971977846151</v>
      </c>
      <c r="M20" s="13">
        <f>SUM(OSRRefE20x_8)</f>
        <v>42784.477572307696</v>
      </c>
      <c r="N20" s="13">
        <f>SUM(OSRRefE20x_9)</f>
        <v>34389.386377846153</v>
      </c>
      <c r="O20" s="13">
        <f>SUM(OSRRefE20x_10)</f>
        <v>25762.653577846155</v>
      </c>
      <c r="Q20" s="13">
        <f>SUM(OSRRefG20x)</f>
        <v>402526.22444138455</v>
      </c>
    </row>
    <row r="21" spans="1:17" s="34" customFormat="1" collapsed="1" x14ac:dyDescent="0.3">
      <c r="A21" s="35"/>
      <c r="B21" s="14" t="str">
        <f>CONCATENATE("     ","*Benefits                                         ")</f>
        <v xml:space="preserve">     *Benefits                                         </v>
      </c>
      <c r="C21" s="14"/>
      <c r="D21" s="1">
        <f>SUM(OSRRefD21_0x_0)</f>
        <v>1243.8900000000001</v>
      </c>
      <c r="E21" s="1">
        <f>SUM(OSRRefE21_0x_0)</f>
        <v>4225.2122546153851</v>
      </c>
      <c r="F21" s="1">
        <f>SUM(OSRRefE21_0x_1)</f>
        <v>4143.4523846153843</v>
      </c>
      <c r="G21" s="1">
        <f>SUM(OSRRefE21_0x_2)</f>
        <v>4720.1967307692303</v>
      </c>
      <c r="H21" s="1">
        <f>SUM(OSRRefE21_0x_3)</f>
        <v>3845.4973846153853</v>
      </c>
      <c r="I21" s="1">
        <f>SUM(OSRRefE21_0x_4)</f>
        <v>3913.9223846153841</v>
      </c>
      <c r="J21" s="1">
        <f>SUM(OSRRefE21_0x_5)</f>
        <v>4474.4476453846146</v>
      </c>
      <c r="K21" s="1">
        <f>SUM(OSRRefE21_0x_6)</f>
        <v>4598.9500163076918</v>
      </c>
      <c r="L21" s="1">
        <f>SUM(OSRRefE21_0x_7)</f>
        <v>4506.8230163076923</v>
      </c>
      <c r="M21" s="1">
        <f>SUM(OSRRefE21_0x_8)</f>
        <v>4840.4839453846162</v>
      </c>
      <c r="N21" s="1">
        <f>SUM(OSRRefE21_0x_9)</f>
        <v>4135.9182163076921</v>
      </c>
      <c r="O21" s="1">
        <f>SUM(OSRRefE21_0x_10)</f>
        <v>3684.570816307692</v>
      </c>
      <c r="Q21" s="2">
        <f>SUM(OSRRefD20_0x)+IFERROR(SUM(OSRRefE20_0x),0)</f>
        <v>48333.364795230766</v>
      </c>
    </row>
    <row r="22" spans="1:17" s="34" customFormat="1" hidden="1" outlineLevel="1" x14ac:dyDescent="0.3">
      <c r="A22" s="35"/>
      <c r="B22" s="10" t="str">
        <f>CONCATENATE("          ","6111", " - ","F.I.C.A.")</f>
        <v xml:space="preserve">          6111 - F.I.C.A.</v>
      </c>
      <c r="C22" s="14"/>
      <c r="D22" s="2">
        <v>247.14</v>
      </c>
      <c r="E22" s="2">
        <v>677.743793076923</v>
      </c>
      <c r="F22" s="2">
        <v>342.61892307692301</v>
      </c>
      <c r="G22" s="2">
        <v>428.27365384615399</v>
      </c>
      <c r="H22" s="2">
        <v>342.61892307692301</v>
      </c>
      <c r="I22" s="2">
        <v>342.61892307692301</v>
      </c>
      <c r="J22" s="2">
        <v>459.10935692307697</v>
      </c>
      <c r="K22" s="2">
        <v>367.28748553846202</v>
      </c>
      <c r="L22" s="2">
        <v>367.28748553846202</v>
      </c>
      <c r="M22" s="2">
        <v>459.10935692307697</v>
      </c>
      <c r="N22" s="2">
        <v>367.28748553846202</v>
      </c>
      <c r="O22" s="2">
        <v>367.28748553846202</v>
      </c>
      <c r="P22" s="9"/>
      <c r="Q22" s="2">
        <f>SUM(OSRRefD21_0_0x)+IFERROR(SUM(OSRRefE21_0_0x),0)</f>
        <v>4768.3828721538475</v>
      </c>
    </row>
    <row r="23" spans="1:17" s="34" customFormat="1" hidden="1" outlineLevel="1" x14ac:dyDescent="0.3">
      <c r="A23" s="35"/>
      <c r="B23" s="10" t="str">
        <f>CONCATENATE("          ","6112", " - ","COMPENSATION INSURANCE")</f>
        <v xml:space="preserve">          6112 - COMPENSATION INSURANCE</v>
      </c>
      <c r="C23" s="14"/>
      <c r="D23" s="2">
        <v>116.31</v>
      </c>
      <c r="E23" s="2">
        <v>593.35948461538499</v>
      </c>
      <c r="F23" s="2">
        <v>730.53853461538495</v>
      </c>
      <c r="G23" s="2">
        <v>932.19423076923101</v>
      </c>
      <c r="H23" s="2">
        <v>569.21718461538501</v>
      </c>
      <c r="I23" s="2">
        <v>606.26443461538497</v>
      </c>
      <c r="J23" s="2">
        <v>759.318992884615</v>
      </c>
      <c r="K23" s="2">
        <v>945.30223730769205</v>
      </c>
      <c r="L23" s="2">
        <v>895.42204730769197</v>
      </c>
      <c r="M23" s="2">
        <v>957.50150388461498</v>
      </c>
      <c r="N23" s="2">
        <v>694.603591307692</v>
      </c>
      <c r="O23" s="2">
        <v>450.23121330769197</v>
      </c>
      <c r="P23" s="9"/>
      <c r="Q23" s="2">
        <f>SUM(OSRRefD21_0_1x)+IFERROR(SUM(OSRRefE21_0_1x),0)</f>
        <v>8250.26345523077</v>
      </c>
    </row>
    <row r="24" spans="1:17" s="34" customFormat="1" hidden="1" outlineLevel="1" x14ac:dyDescent="0.3">
      <c r="A24" s="35"/>
      <c r="B24" s="10" t="str">
        <f>CONCATENATE("          ","6113", " - ","GROUP INSURANCE")</f>
        <v xml:space="preserve">          6113 - GROUP INSURANCE</v>
      </c>
      <c r="C24" s="14"/>
      <c r="D24" s="2">
        <v>42.95</v>
      </c>
      <c r="E24" s="2">
        <v>1977</v>
      </c>
      <c r="F24" s="2">
        <v>1977</v>
      </c>
      <c r="G24" s="2">
        <v>1977</v>
      </c>
      <c r="H24" s="2">
        <v>1977</v>
      </c>
      <c r="I24" s="2">
        <v>1977</v>
      </c>
      <c r="J24" s="2">
        <v>1977</v>
      </c>
      <c r="K24" s="2">
        <v>1977</v>
      </c>
      <c r="L24" s="2">
        <v>1977</v>
      </c>
      <c r="M24" s="2">
        <v>1977</v>
      </c>
      <c r="N24" s="2">
        <v>1977</v>
      </c>
      <c r="O24" s="2">
        <v>1977</v>
      </c>
      <c r="P24" s="9"/>
      <c r="Q24" s="2">
        <f>SUM(OSRRefD21_0_2x)+IFERROR(SUM(OSRRefE21_0_2x),0)</f>
        <v>21789.95</v>
      </c>
    </row>
    <row r="25" spans="1:17" s="34" customFormat="1" hidden="1" outlineLevel="1" x14ac:dyDescent="0.3">
      <c r="A25" s="35"/>
      <c r="B25" s="10" t="str">
        <f>CONCATENATE("          ","6114", " - ","STATE UNEMPLOYMENT INSURANCE")</f>
        <v xml:space="preserve">          6114 - STATE UNEMPLOYMENT INSURANCE</v>
      </c>
      <c r="C25" s="14"/>
      <c r="D25" s="2">
        <v>8.4</v>
      </c>
      <c r="E25" s="2">
        <v>32.877438461538503</v>
      </c>
      <c r="F25" s="2">
        <v>40.478388461538501</v>
      </c>
      <c r="G25" s="2">
        <v>51.651923076923097</v>
      </c>
      <c r="H25" s="2">
        <v>31.539738461538501</v>
      </c>
      <c r="I25" s="2">
        <v>33.592488461538501</v>
      </c>
      <c r="J25" s="2">
        <v>42.073084038461502</v>
      </c>
      <c r="K25" s="2">
        <v>52.378224230769199</v>
      </c>
      <c r="L25" s="2">
        <v>49.614414230769199</v>
      </c>
      <c r="M25" s="2">
        <v>53.054173038461499</v>
      </c>
      <c r="N25" s="2">
        <v>38.487270230769198</v>
      </c>
      <c r="O25" s="2">
        <v>24.946848230769199</v>
      </c>
      <c r="P25" s="9"/>
      <c r="Q25" s="2">
        <f>SUM(OSRRefD21_0_3x)+IFERROR(SUM(OSRRefE21_0_3x),0)</f>
        <v>459.09399092307689</v>
      </c>
    </row>
    <row r="26" spans="1:17" s="34" customFormat="1" hidden="1" outlineLevel="1" x14ac:dyDescent="0.3">
      <c r="A26" s="35"/>
      <c r="B26" s="10" t="str">
        <f>CONCATENATE("          ","6115", " - ","P.E.R.S.")</f>
        <v xml:space="preserve">          6115 - P.E.R.S.</v>
      </c>
      <c r="C26" s="14"/>
      <c r="D26" s="2">
        <v>245.21</v>
      </c>
      <c r="E26" s="2">
        <v>385.01538461538502</v>
      </c>
      <c r="F26" s="2">
        <v>385.01538461538502</v>
      </c>
      <c r="G26" s="2">
        <v>481.269230769231</v>
      </c>
      <c r="H26" s="2">
        <v>385.01538461538502</v>
      </c>
      <c r="I26" s="2">
        <v>385.01538461538502</v>
      </c>
      <c r="J26" s="2">
        <v>515.92061538461496</v>
      </c>
      <c r="K26" s="2">
        <v>412.736492307692</v>
      </c>
      <c r="L26" s="2">
        <v>412.736492307692</v>
      </c>
      <c r="M26" s="2">
        <v>515.92061538461496</v>
      </c>
      <c r="N26" s="2">
        <v>412.736492307692</v>
      </c>
      <c r="O26" s="2">
        <v>412.736492307692</v>
      </c>
      <c r="P26" s="9"/>
      <c r="Q26" s="2">
        <f>SUM(OSRRefD21_0_4x)+IFERROR(SUM(OSRRefE21_0_4x),0)</f>
        <v>4949.3279692307688</v>
      </c>
    </row>
    <row r="27" spans="1:17" s="34" customFormat="1" hidden="1" outlineLevel="1" x14ac:dyDescent="0.3">
      <c r="A27" s="35"/>
      <c r="B27" s="10" t="str">
        <f>CONCATENATE("          ","6116", " - ","EDUCATIONAL BENEFITS")</f>
        <v xml:space="preserve">          6116 - EDUCATIONAL BENEFITS</v>
      </c>
      <c r="C27" s="14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9"/>
      <c r="Q27" s="2">
        <f>SUM(OSRRefD21_0_5x)+IFERROR(SUM(OSRRefE21_0_5x),0)</f>
        <v>0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>
        <v>207.3</v>
      </c>
      <c r="E28" s="2">
        <v>134.30769230769201</v>
      </c>
      <c r="F28" s="2">
        <v>134.30769230769201</v>
      </c>
      <c r="G28" s="2">
        <v>167.88461538461499</v>
      </c>
      <c r="H28" s="2">
        <v>134.30769230769201</v>
      </c>
      <c r="I28" s="2">
        <v>134.30769230769201</v>
      </c>
      <c r="J28" s="2">
        <v>179.97230769230799</v>
      </c>
      <c r="K28" s="2">
        <v>143.977846153846</v>
      </c>
      <c r="L28" s="2">
        <v>143.977846153846</v>
      </c>
      <c r="M28" s="2">
        <v>179.97230769230799</v>
      </c>
      <c r="N28" s="2">
        <v>143.977846153846</v>
      </c>
      <c r="O28" s="2">
        <v>143.977846153846</v>
      </c>
      <c r="P28" s="9"/>
      <c r="Q28" s="2">
        <f>SUM(OSRRefD21_0_6x)+IFERROR(SUM(OSRRefE21_0_6x),0)</f>
        <v>1848.2713846153831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>
        <v>248.36</v>
      </c>
      <c r="E29" s="2">
        <v>424.90846153846201</v>
      </c>
      <c r="F29" s="2">
        <v>533.49346153846102</v>
      </c>
      <c r="G29" s="2">
        <v>681.92307692307702</v>
      </c>
      <c r="H29" s="2">
        <v>405.79846153846199</v>
      </c>
      <c r="I29" s="2">
        <v>435.12346153846102</v>
      </c>
      <c r="J29" s="2">
        <v>541.05328846153895</v>
      </c>
      <c r="K29" s="2">
        <v>700.26773076923098</v>
      </c>
      <c r="L29" s="2">
        <v>660.78473076923103</v>
      </c>
      <c r="M29" s="2">
        <v>697.92598846153896</v>
      </c>
      <c r="N29" s="2">
        <v>501.82553076923102</v>
      </c>
      <c r="O29" s="2">
        <v>308.39093076923098</v>
      </c>
      <c r="P29" s="9"/>
      <c r="Q29" s="2">
        <f>SUM(OSRRefD21_0_7x)+IFERROR(SUM(OSRRefE21_0_7x),0)</f>
        <v>6139.8551230769244</v>
      </c>
    </row>
    <row r="30" spans="1:17" s="34" customFormat="1" hidden="1" outlineLevel="1" x14ac:dyDescent="0.3">
      <c r="A30" s="35"/>
      <c r="B30" s="10" t="str">
        <f>CONCATENATE("          ","6156", " - ","EMPLOYEE MEALS")</f>
        <v xml:space="preserve">          6156 - EMPLOYEE MEALS</v>
      </c>
      <c r="C30" s="14"/>
      <c r="D30" s="2">
        <v>128.22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2">
        <f>SUM(OSRRefD21_0_8x)+IFERROR(SUM(OSRRefE21_0_8x),0)</f>
        <v>128.22</v>
      </c>
    </row>
    <row r="31" spans="1:17" s="34" customFormat="1" collapsed="1" x14ac:dyDescent="0.3">
      <c r="A31" s="35"/>
      <c r="B31" s="14" t="str">
        <f>CONCATENATE("     ","*Payroll                                          ")</f>
        <v xml:space="preserve">     *Payroll                                          </v>
      </c>
      <c r="C31" s="14"/>
      <c r="D31" s="1">
        <f>SUM(OSRRefD21_1x_0)</f>
        <v>4990.76</v>
      </c>
      <c r="E31" s="1">
        <f>SUM(OSRRefE21_1x_0)</f>
        <v>15096.706923076919</v>
      </c>
      <c r="F31" s="1">
        <f>SUM(OSRRefE21_1x_1)</f>
        <v>18607.62192307692</v>
      </c>
      <c r="G31" s="1">
        <f>SUM(OSRRefE21_1x_2)</f>
        <v>23746.346153846149</v>
      </c>
      <c r="H31" s="1">
        <f>SUM(OSRRefE21_1x_3)</f>
        <v>14478.81692307692</v>
      </c>
      <c r="I31" s="1">
        <f>SUM(OSRRefE21_1x_4)</f>
        <v>15426.991923076919</v>
      </c>
      <c r="J31" s="1">
        <f>SUM(OSRRefE21_1x_5)</f>
        <v>19313.776326923078</v>
      </c>
      <c r="K31" s="1">
        <f>SUM(OSRRefE21_1x_6)</f>
        <v>24097.765961538462</v>
      </c>
      <c r="L31" s="1">
        <f>SUM(OSRRefE21_1x_7)</f>
        <v>22821.14896153846</v>
      </c>
      <c r="M31" s="1">
        <f>SUM(OSRRefE21_1x_8)</f>
        <v>24385.993626923078</v>
      </c>
      <c r="N31" s="1">
        <f>SUM(OSRRefE21_1x_9)</f>
        <v>17681.468161538462</v>
      </c>
      <c r="O31" s="1">
        <f>SUM(OSRRefE21_1x_10)</f>
        <v>11427.082761538461</v>
      </c>
      <c r="Q31" s="2">
        <f>SUM(OSRRefD20_1x)+IFERROR(SUM(OSRRefE20_1x),0)</f>
        <v>212074.47964615381</v>
      </c>
    </row>
    <row r="32" spans="1:17" s="34" customFormat="1" hidden="1" outlineLevel="1" x14ac:dyDescent="0.3">
      <c r="A32" s="35"/>
      <c r="B32" s="10" t="str">
        <f>CONCATENATE("          ","6001", " - ","ADMINISTRATIVE SALARIES")</f>
        <v xml:space="preserve">          6001 - ADMINISTRATIVE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SUM(OSRRefD21_1_0x)+IFERROR(SUM(OSRRefE21_1_0x),0)</f>
        <v>0</v>
      </c>
    </row>
    <row r="33" spans="1:17" s="34" customFormat="1" hidden="1" outlineLevel="1" x14ac:dyDescent="0.3">
      <c r="A33" s="35"/>
      <c r="B33" s="10" t="str">
        <f>CONCATENATE("          ","6002", " - ","STAFF SALARIES")</f>
        <v xml:space="preserve">          6002 - STAFF SALARIES</v>
      </c>
      <c r="C33" s="14"/>
      <c r="D33" s="2">
        <v>4576.76</v>
      </c>
      <c r="E33" s="2">
        <v>4253.0769230769201</v>
      </c>
      <c r="F33" s="2">
        <v>4253.0769230769201</v>
      </c>
      <c r="G33" s="2">
        <v>5316.3461538461497</v>
      </c>
      <c r="H33" s="2">
        <v>4253.0769230769201</v>
      </c>
      <c r="I33" s="2">
        <v>4253.0769230769201</v>
      </c>
      <c r="J33" s="2">
        <v>5699.1230769230797</v>
      </c>
      <c r="K33" s="2">
        <v>4559.2984615384603</v>
      </c>
      <c r="L33" s="2">
        <v>4559.2984615384603</v>
      </c>
      <c r="M33" s="2">
        <v>5699.1230769230797</v>
      </c>
      <c r="N33" s="2">
        <v>4559.2984615384603</v>
      </c>
      <c r="O33" s="2">
        <v>4559.2984615384603</v>
      </c>
      <c r="P33" s="9"/>
      <c r="Q33" s="2">
        <f>SUM(OSRRefD21_1_1x)+IFERROR(SUM(OSRRefE21_1_1x),0)</f>
        <v>56540.853846153841</v>
      </c>
    </row>
    <row r="34" spans="1:17" s="34" customFormat="1" hidden="1" outlineLevel="1" x14ac:dyDescent="0.3">
      <c r="A34" s="35"/>
      <c r="B34" s="10" t="str">
        <f>CONCATENATE("          ","6003", " - ","STAFF HOURLY-9 MONTH")</f>
        <v xml:space="preserve">          6003 - STAFF HOURLY-9 MONTH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SUM(OSRRefD21_1_2x)+IFERROR(SUM(OSRRefE21_1_2x),0)</f>
        <v>0</v>
      </c>
    </row>
    <row r="35" spans="1:17" s="34" customFormat="1" hidden="1" outlineLevel="1" x14ac:dyDescent="0.3">
      <c r="A35" s="35"/>
      <c r="B35" s="10" t="str">
        <f>CONCATENATE("          ","6004", " - ","STAFF HOURLY")</f>
        <v xml:space="preserve">          6004 - STAFF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SUM(OSRRefD21_1_3x)+IFERROR(SUM(OSRRefE21_1_3x),0)</f>
        <v>0</v>
      </c>
    </row>
    <row r="36" spans="1:17" s="34" customFormat="1" hidden="1" outlineLevel="1" x14ac:dyDescent="0.3">
      <c r="A36" s="35"/>
      <c r="B36" s="10" t="str">
        <f>CONCATENATE("          ","6005", " - ","TEMPORARY WAGES-HOURLY")</f>
        <v xml:space="preserve">          6005 - TEMPORARY WAGES-HOURLY</v>
      </c>
      <c r="C36" s="14"/>
      <c r="D36" s="2"/>
      <c r="E36" s="2">
        <v>6596</v>
      </c>
      <c r="F36" s="2">
        <v>7026.68</v>
      </c>
      <c r="G36" s="2">
        <v>9231.49</v>
      </c>
      <c r="H36" s="2">
        <v>5077.95</v>
      </c>
      <c r="I36" s="2">
        <v>5590.11</v>
      </c>
      <c r="J36" s="2">
        <v>5292.2520999999997</v>
      </c>
      <c r="K36" s="2">
        <v>8100.8095000000003</v>
      </c>
      <c r="L36" s="2">
        <v>7501.4222499999996</v>
      </c>
      <c r="M36" s="2">
        <v>7655.5504000000001</v>
      </c>
      <c r="N36" s="2">
        <v>6665.9127500000004</v>
      </c>
      <c r="O36" s="2">
        <v>6867.7843000000003</v>
      </c>
      <c r="P36" s="9"/>
      <c r="Q36" s="2">
        <f>SUM(OSRRefD21_1_4x)+IFERROR(SUM(OSRRefE21_1_4x),0)</f>
        <v>75605.961299999995</v>
      </c>
    </row>
    <row r="37" spans="1:17" s="34" customFormat="1" hidden="1" outlineLevel="1" x14ac:dyDescent="0.3">
      <c r="A37" s="35"/>
      <c r="B37" s="10" t="str">
        <f>CONCATENATE("          ","6006", " - ","TEMPORARY PART TIME")</f>
        <v xml:space="preserve">          6006 - TEMPORARY PART TIME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SUM(OSRRefD21_1_5x)+IFERROR(SUM(OSRRefE21_1_5x),0)</f>
        <v>0</v>
      </c>
    </row>
    <row r="38" spans="1:17" s="34" customFormat="1" hidden="1" outlineLevel="1" x14ac:dyDescent="0.3">
      <c r="A38" s="35"/>
      <c r="B38" s="10" t="str">
        <f>CONCATENATE("          ","6007", " - ","STUDENT HOURLY")</f>
        <v xml:space="preserve">          6007 - STUDENT HOURLY</v>
      </c>
      <c r="C38" s="14"/>
      <c r="D38" s="2">
        <v>414</v>
      </c>
      <c r="E38" s="2">
        <v>4247.63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SUM(OSRRefD21_1_6x)+IFERROR(SUM(OSRRefE21_1_6x),0)</f>
        <v>4661.63</v>
      </c>
    </row>
    <row r="39" spans="1:17" s="34" customFormat="1" hidden="1" outlineLevel="1" x14ac:dyDescent="0.3">
      <c r="A39" s="35"/>
      <c r="B39" s="10" t="str">
        <f>CONCATENATE("          ","6008", " - ","STUDENT HOURLY-FICA EXEMPT")</f>
        <v xml:space="preserve">          6008 - STUDENT HOURLY-FICA EXEMPT</v>
      </c>
      <c r="C39" s="14"/>
      <c r="D39" s="2"/>
      <c r="E39" s="2">
        <v>0</v>
      </c>
      <c r="F39" s="2">
        <v>7327.8649999999998</v>
      </c>
      <c r="G39" s="2">
        <v>9198.51</v>
      </c>
      <c r="H39" s="2">
        <v>5147.79</v>
      </c>
      <c r="I39" s="2">
        <v>5583.8050000000003</v>
      </c>
      <c r="J39" s="2">
        <v>8322.4011499999997</v>
      </c>
      <c r="K39" s="2">
        <v>11437.657999999999</v>
      </c>
      <c r="L39" s="2">
        <v>10760.428250000001</v>
      </c>
      <c r="M39" s="2">
        <v>11031.32015</v>
      </c>
      <c r="N39" s="2">
        <v>6456.25695</v>
      </c>
      <c r="O39" s="2">
        <v>0</v>
      </c>
      <c r="P39" s="9"/>
      <c r="Q39" s="2">
        <f>SUM(OSRRefD21_1_7x)+IFERROR(SUM(OSRRefE21_1_7x),0)</f>
        <v>75266.034499999994</v>
      </c>
    </row>
    <row r="40" spans="1:17" s="34" customFormat="1" hidden="1" outlineLevel="1" x14ac:dyDescent="0.3">
      <c r="A40" s="35"/>
      <c r="B40" s="10" t="str">
        <f>CONCATENATE("          ","6009", " - ","TEMPORARY-SEASONAL")</f>
        <v xml:space="preserve">          6009 - TEMPORARY-SEASONAL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SUM(OSRRefD21_1_8x)+IFERROR(SUM(OSRRefE21_1_8x),0)</f>
        <v>0</v>
      </c>
    </row>
    <row r="41" spans="1:17" s="34" customFormat="1" hidden="1" outlineLevel="1" x14ac:dyDescent="0.3">
      <c r="A41" s="35"/>
      <c r="B41" s="10" t="str">
        <f>CONCATENATE("          ","6010", " - ","GRATUITY")</f>
        <v xml:space="preserve">          6010 - GRATUITY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SUM(OSRRefD21_1_9x)+IFERROR(SUM(OSRRefE21_1_9x),0)</f>
        <v>0</v>
      </c>
    </row>
    <row r="42" spans="1:17" s="34" customFormat="1" collapsed="1" x14ac:dyDescent="0.3">
      <c r="A42" s="35"/>
      <c r="B42" s="14" t="str">
        <f>CONCATENATE("     ","Advertising/Promo                                 ")</f>
        <v xml:space="preserve">     Advertising/Promo                                 </v>
      </c>
      <c r="C42" s="14"/>
      <c r="D42" s="1">
        <f>SUM(OSRRefD21_2x_0)</f>
        <v>48.14</v>
      </c>
      <c r="E42" s="1">
        <f>SUM(OSRRefE21_2x_0)</f>
        <v>0</v>
      </c>
      <c r="F42" s="1">
        <f>SUM(OSRRefE21_2x_1)</f>
        <v>0</v>
      </c>
      <c r="G42" s="1">
        <f>SUM(OSRRefE21_2x_2)</f>
        <v>0</v>
      </c>
      <c r="H42" s="1">
        <f>SUM(OSRRefE21_2x_3)</f>
        <v>0</v>
      </c>
      <c r="I42" s="1">
        <f>SUM(OSRRefE21_2x_4)</f>
        <v>0</v>
      </c>
      <c r="J42" s="1">
        <f>SUM(OSRRefE21_2x_5)</f>
        <v>0</v>
      </c>
      <c r="K42" s="1">
        <f>SUM(OSRRefE21_2x_6)</f>
        <v>0</v>
      </c>
      <c r="L42" s="1">
        <f>SUM(OSRRefE21_2x_7)</f>
        <v>0</v>
      </c>
      <c r="M42" s="1">
        <f>SUM(OSRRefE21_2x_8)</f>
        <v>0</v>
      </c>
      <c r="N42" s="1">
        <f>SUM(OSRRefE21_2x_9)</f>
        <v>0</v>
      </c>
      <c r="O42" s="1">
        <f>SUM(OSRRefE21_2x_10)</f>
        <v>0</v>
      </c>
      <c r="Q42" s="2">
        <f>SUM(OSRRefD20_2x)+IFERROR(SUM(OSRRefE20_2x),0)</f>
        <v>48.14</v>
      </c>
    </row>
    <row r="43" spans="1:17" s="34" customFormat="1" hidden="1" outlineLevel="1" x14ac:dyDescent="0.3">
      <c r="A43" s="35"/>
      <c r="B43" s="10" t="str">
        <f>CONCATENATE("          ","6362", " - ","ADVERTISING EXPENSE")</f>
        <v xml:space="preserve">          6362 - ADVERTISING EXPENSE</v>
      </c>
      <c r="C43" s="14"/>
      <c r="D43" s="2">
        <v>48.14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2">
        <f>SUM(OSRRefD21_2_0x)+IFERROR(SUM(OSRRefE21_2_0x),0)</f>
        <v>48.14</v>
      </c>
    </row>
    <row r="44" spans="1:17" s="34" customFormat="1" collapsed="1" x14ac:dyDescent="0.3">
      <c r="A44" s="35"/>
      <c r="B44" s="14" t="str">
        <f>CONCATENATE("     ","Bank/card Fees                                    ")</f>
        <v xml:space="preserve">     Bank/card Fees                                    </v>
      </c>
      <c r="C44" s="14"/>
      <c r="D44" s="1">
        <f>SUM(OSRRefD21_3x_0)</f>
        <v>0</v>
      </c>
      <c r="E44" s="1">
        <f>SUM(OSRRefE21_3x_0)</f>
        <v>307</v>
      </c>
      <c r="F44" s="1">
        <f>SUM(OSRRefE21_3x_1)</f>
        <v>1196</v>
      </c>
      <c r="G44" s="1">
        <f>SUM(OSRRefE21_3x_2)</f>
        <v>1671</v>
      </c>
      <c r="H44" s="1">
        <f>SUM(OSRRefE21_3x_3)</f>
        <v>928</v>
      </c>
      <c r="I44" s="1">
        <f>SUM(OSRRefE21_3x_4)</f>
        <v>1139</v>
      </c>
      <c r="J44" s="1">
        <f>SUM(OSRRefE21_3x_5)</f>
        <v>1166</v>
      </c>
      <c r="K44" s="1">
        <f>SUM(OSRRefE21_3x_6)</f>
        <v>3345</v>
      </c>
      <c r="L44" s="1">
        <f>SUM(OSRRefE21_3x_7)</f>
        <v>3218</v>
      </c>
      <c r="M44" s="1">
        <f>SUM(OSRRefE21_3x_8)</f>
        <v>3197</v>
      </c>
      <c r="N44" s="1">
        <f>SUM(OSRRefE21_3x_9)</f>
        <v>2291</v>
      </c>
      <c r="O44" s="1">
        <f>SUM(OSRRefE21_3x_10)</f>
        <v>550</v>
      </c>
      <c r="Q44" s="2">
        <f>SUM(OSRRefD20_3x)+IFERROR(SUM(OSRRefE20_3x),0)</f>
        <v>19008</v>
      </c>
    </row>
    <row r="45" spans="1:17" s="34" customFormat="1" hidden="1" outlineLevel="1" x14ac:dyDescent="0.3">
      <c r="A45" s="35"/>
      <c r="B45" s="10" t="str">
        <f>CONCATENATE("          ","6381", " - ","BANK/CREDIT CARD FEES")</f>
        <v xml:space="preserve">          6381 - BANK/CREDIT CARD FEES</v>
      </c>
      <c r="C45" s="14"/>
      <c r="D45" s="2"/>
      <c r="E45" s="2">
        <v>307</v>
      </c>
      <c r="F45" s="2">
        <v>1196</v>
      </c>
      <c r="G45" s="2">
        <v>1671</v>
      </c>
      <c r="H45" s="2">
        <v>928</v>
      </c>
      <c r="I45" s="2">
        <v>1139</v>
      </c>
      <c r="J45" s="2">
        <v>1166</v>
      </c>
      <c r="K45" s="2">
        <v>3345</v>
      </c>
      <c r="L45" s="2">
        <v>3218</v>
      </c>
      <c r="M45" s="2">
        <v>3197</v>
      </c>
      <c r="N45" s="2">
        <v>2291</v>
      </c>
      <c r="O45" s="2">
        <v>550</v>
      </c>
      <c r="P45" s="9"/>
      <c r="Q45" s="2">
        <f>SUM(OSRRefD21_3_0x)+IFERROR(SUM(OSRRefE21_3_0x),0)</f>
        <v>19008</v>
      </c>
    </row>
    <row r="46" spans="1:17" s="34" customFormat="1" collapsed="1" x14ac:dyDescent="0.3">
      <c r="A46" s="35"/>
      <c r="B46" s="14" t="str">
        <f>CONCATENATE("     ","Depreciation                                      ")</f>
        <v xml:space="preserve">     Depreciation                                      </v>
      </c>
      <c r="C46" s="14"/>
      <c r="D46" s="1">
        <f>SUM(OSRRefD21_4x_0)</f>
        <v>4626.5</v>
      </c>
      <c r="E46" s="1">
        <f>SUM(OSRRefE21_4x_0)</f>
        <v>4733</v>
      </c>
      <c r="F46" s="1">
        <f>SUM(OSRRefE21_4x_1)</f>
        <v>4733</v>
      </c>
      <c r="G46" s="1">
        <f>SUM(OSRRefE21_4x_2)</f>
        <v>4733</v>
      </c>
      <c r="H46" s="1">
        <f>SUM(OSRRefE21_4x_3)</f>
        <v>4733</v>
      </c>
      <c r="I46" s="1">
        <f>SUM(OSRRefE21_4x_4)</f>
        <v>4733</v>
      </c>
      <c r="J46" s="1">
        <f>SUM(OSRRefE21_4x_5)</f>
        <v>4733</v>
      </c>
      <c r="K46" s="1">
        <f>SUM(OSRRefE21_4x_6)</f>
        <v>4733</v>
      </c>
      <c r="L46" s="1">
        <f>SUM(OSRRefE21_4x_7)</f>
        <v>4733</v>
      </c>
      <c r="M46" s="1">
        <f>SUM(OSRRefE21_4x_8)</f>
        <v>4733</v>
      </c>
      <c r="N46" s="1">
        <f>SUM(OSRRefE21_4x_9)</f>
        <v>4733</v>
      </c>
      <c r="O46" s="1">
        <f>SUM(OSRRefE21_4x_10)</f>
        <v>4733</v>
      </c>
      <c r="Q46" s="2">
        <f>SUM(OSRRefD20_4x)+IFERROR(SUM(OSRRefE20_4x),0)</f>
        <v>56689.5</v>
      </c>
    </row>
    <row r="47" spans="1:17" s="34" customFormat="1" hidden="1" outlineLevel="1" x14ac:dyDescent="0.3">
      <c r="A47" s="35"/>
      <c r="B47" s="10" t="str">
        <f>CONCATENATE("          ","6321", " - ","BUILDING DEPRECIATION")</f>
        <v xml:space="preserve">          6321 - BUILDING DEPRECIATION</v>
      </c>
      <c r="C47" s="14"/>
      <c r="D47" s="2">
        <v>4626.5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2">
        <f>SUM(OSRRefD21_4_0x)+IFERROR(SUM(OSRRefE21_4_0x),0)</f>
        <v>4626.5</v>
      </c>
    </row>
    <row r="48" spans="1:17" s="34" customFormat="1" hidden="1" outlineLevel="1" x14ac:dyDescent="0.3">
      <c r="A48" s="35"/>
      <c r="B48" s="10" t="str">
        <f>CONCATENATE("          ","6322", " - ","EQUIPMENT DEPRECIATION EXPENSE")</f>
        <v xml:space="preserve">          6322 - EQUIPMENT DEPRECIATION EXPENSE</v>
      </c>
      <c r="C48" s="14"/>
      <c r="D48" s="2"/>
      <c r="E48" s="2">
        <v>4733</v>
      </c>
      <c r="F48" s="2">
        <v>4733</v>
      </c>
      <c r="G48" s="2">
        <v>4733</v>
      </c>
      <c r="H48" s="2">
        <v>4733</v>
      </c>
      <c r="I48" s="2">
        <v>4733</v>
      </c>
      <c r="J48" s="2">
        <v>4733</v>
      </c>
      <c r="K48" s="2">
        <v>4733</v>
      </c>
      <c r="L48" s="2">
        <v>4733</v>
      </c>
      <c r="M48" s="2">
        <v>4733</v>
      </c>
      <c r="N48" s="2">
        <v>4733</v>
      </c>
      <c r="O48" s="2">
        <v>4733</v>
      </c>
      <c r="P48" s="9"/>
      <c r="Q48" s="2">
        <f>SUM(OSRRefD21_4_1x)+IFERROR(SUM(OSRRefE21_4_1x),0)</f>
        <v>52063</v>
      </c>
    </row>
    <row r="49" spans="1:17" s="34" customFormat="1" collapsed="1" x14ac:dyDescent="0.3">
      <c r="A49" s="35"/>
      <c r="B49" s="14" t="str">
        <f>CONCATENATE("     ","Employees' Appreciation                           ")</f>
        <v xml:space="preserve">     Employees' Appreciation                           </v>
      </c>
      <c r="C49" s="14"/>
      <c r="D49" s="1">
        <f>SUM(OSRRefD21_5x_0)</f>
        <v>0</v>
      </c>
      <c r="E49" s="1">
        <f>SUM(OSRRefE21_5x_0)</f>
        <v>20</v>
      </c>
      <c r="F49" s="1">
        <f>SUM(OSRRefE21_5x_1)</f>
        <v>0</v>
      </c>
      <c r="G49" s="1">
        <f>SUM(OSRRefE21_5x_2)</f>
        <v>20</v>
      </c>
      <c r="H49" s="1">
        <f>SUM(OSRRefE21_5x_3)</f>
        <v>20</v>
      </c>
      <c r="I49" s="1">
        <f>SUM(OSRRefE21_5x_4)</f>
        <v>20</v>
      </c>
      <c r="J49" s="1">
        <f>SUM(OSRRefE21_5x_5)</f>
        <v>20</v>
      </c>
      <c r="K49" s="1">
        <f>SUM(OSRRefE21_5x_6)</f>
        <v>0</v>
      </c>
      <c r="L49" s="1">
        <f>SUM(OSRRefE21_5x_7)</f>
        <v>20</v>
      </c>
      <c r="M49" s="1">
        <f>SUM(OSRRefE21_5x_8)</f>
        <v>0</v>
      </c>
      <c r="N49" s="1">
        <f>SUM(OSRRefE21_5x_9)</f>
        <v>20</v>
      </c>
      <c r="O49" s="1">
        <f>SUM(OSRRefE21_5x_10)</f>
        <v>0</v>
      </c>
      <c r="Q49" s="2">
        <f>SUM(OSRRefD20_5x)+IFERROR(SUM(OSRRefE20_5x),0)</f>
        <v>140</v>
      </c>
    </row>
    <row r="50" spans="1:17" s="34" customFormat="1" hidden="1" outlineLevel="1" x14ac:dyDescent="0.3">
      <c r="A50" s="35"/>
      <c r="B50" s="10" t="str">
        <f>CONCATENATE("          ","6277", " - ","EMPLOYEE APPRECIATION")</f>
        <v xml:space="preserve">          6277 - EMPLOYEE APPRECIATION</v>
      </c>
      <c r="C50" s="14"/>
      <c r="D50" s="2"/>
      <c r="E50" s="2">
        <v>20</v>
      </c>
      <c r="F50" s="2"/>
      <c r="G50" s="2">
        <v>20</v>
      </c>
      <c r="H50" s="2">
        <v>20</v>
      </c>
      <c r="I50" s="2">
        <v>20</v>
      </c>
      <c r="J50" s="2">
        <v>20</v>
      </c>
      <c r="K50" s="2"/>
      <c r="L50" s="2">
        <v>20</v>
      </c>
      <c r="M50" s="2"/>
      <c r="N50" s="2">
        <v>20</v>
      </c>
      <c r="O50" s="2"/>
      <c r="P50" s="9"/>
      <c r="Q50" s="2">
        <f>SUM(OSRRefD21_5_0x)+IFERROR(SUM(OSRRefE21_5_0x),0)</f>
        <v>140</v>
      </c>
    </row>
    <row r="51" spans="1:17" s="34" customFormat="1" collapsed="1" x14ac:dyDescent="0.3">
      <c r="A51" s="35"/>
      <c r="B51" s="14" t="str">
        <f>CONCATENATE("     ","General                                           ")</f>
        <v xml:space="preserve">     General                                           </v>
      </c>
      <c r="C51" s="14"/>
      <c r="D51" s="1">
        <f>SUM(OSRRefD21_6x_0)</f>
        <v>0</v>
      </c>
      <c r="E51" s="1">
        <f>SUM(OSRRefE21_6x_0)</f>
        <v>0</v>
      </c>
      <c r="F51" s="1">
        <f>SUM(OSRRefE21_6x_1)</f>
        <v>0</v>
      </c>
      <c r="G51" s="1">
        <f>SUM(OSRRefE21_6x_2)</f>
        <v>0</v>
      </c>
      <c r="H51" s="1">
        <f>SUM(OSRRefE21_6x_3)</f>
        <v>0</v>
      </c>
      <c r="I51" s="1">
        <f>SUM(OSRRefE21_6x_4)</f>
        <v>500</v>
      </c>
      <c r="J51" s="1">
        <f>SUM(OSRRefE21_6x_5)</f>
        <v>0</v>
      </c>
      <c r="K51" s="1">
        <f>SUM(OSRRefE21_6x_6)</f>
        <v>0</v>
      </c>
      <c r="L51" s="1">
        <f>SUM(OSRRefE21_6x_7)</f>
        <v>0</v>
      </c>
      <c r="M51" s="1">
        <f>SUM(OSRRefE21_6x_8)</f>
        <v>0</v>
      </c>
      <c r="N51" s="1">
        <f>SUM(OSRRefE21_6x_9)</f>
        <v>0</v>
      </c>
      <c r="O51" s="1">
        <f>SUM(OSRRefE21_6x_10)</f>
        <v>0</v>
      </c>
      <c r="Q51" s="2">
        <f>SUM(OSRRefD20_6x)+IFERROR(SUM(OSRRefE20_6x),0)</f>
        <v>500</v>
      </c>
    </row>
    <row r="52" spans="1:17" s="34" customFormat="1" hidden="1" outlineLevel="1" x14ac:dyDescent="0.3">
      <c r="A52" s="35"/>
      <c r="B52" s="10" t="str">
        <f>CONCATENATE("          ","6279", " - ","GENERAL EXPENSE")</f>
        <v xml:space="preserve">          6279 - GENERAL EXPENSE</v>
      </c>
      <c r="C52" s="14"/>
      <c r="D52" s="2"/>
      <c r="E52" s="2"/>
      <c r="F52" s="2"/>
      <c r="G52" s="2"/>
      <c r="H52" s="2"/>
      <c r="I52" s="2">
        <v>500</v>
      </c>
      <c r="J52" s="2"/>
      <c r="K52" s="2"/>
      <c r="L52" s="2"/>
      <c r="M52" s="2"/>
      <c r="N52" s="2"/>
      <c r="O52" s="2"/>
      <c r="P52" s="9"/>
      <c r="Q52" s="2">
        <f>SUM(OSRRefD21_6_0x)+IFERROR(SUM(OSRRefE21_6_0x),0)</f>
        <v>500</v>
      </c>
    </row>
    <row r="53" spans="1:17" s="34" customFormat="1" collapsed="1" x14ac:dyDescent="0.3">
      <c r="A53" s="35"/>
      <c r="B53" s="14" t="str">
        <f>CONCATENATE("     ","Rent                                              ")</f>
        <v xml:space="preserve">     Rent                                              </v>
      </c>
      <c r="C53" s="14"/>
      <c r="D53" s="1">
        <f>SUM(OSRRefD21_7x_0)</f>
        <v>1850</v>
      </c>
      <c r="E53" s="1">
        <f>SUM(OSRRefE21_7x_0)</f>
        <v>1850</v>
      </c>
      <c r="F53" s="1">
        <f>SUM(OSRRefE21_7x_1)</f>
        <v>1850</v>
      </c>
      <c r="G53" s="1">
        <f>SUM(OSRRefE21_7x_2)</f>
        <v>1850</v>
      </c>
      <c r="H53" s="1">
        <f>SUM(OSRRefE21_7x_3)</f>
        <v>1850</v>
      </c>
      <c r="I53" s="1">
        <f>SUM(OSRRefE21_7x_4)</f>
        <v>1850</v>
      </c>
      <c r="J53" s="1">
        <f>SUM(OSRRefE21_7x_5)</f>
        <v>1850</v>
      </c>
      <c r="K53" s="1">
        <f>SUM(OSRRefE21_7x_6)</f>
        <v>1850</v>
      </c>
      <c r="L53" s="1">
        <f>SUM(OSRRefE21_7x_7)</f>
        <v>1850</v>
      </c>
      <c r="M53" s="1">
        <f>SUM(OSRRefE21_7x_8)</f>
        <v>1850</v>
      </c>
      <c r="N53" s="1">
        <f>SUM(OSRRefE21_7x_9)</f>
        <v>1850</v>
      </c>
      <c r="O53" s="1">
        <f>SUM(OSRRefE21_7x_10)</f>
        <v>1850</v>
      </c>
      <c r="Q53" s="2">
        <f>SUM(OSRRefD20_7x)+IFERROR(SUM(OSRRefE20_7x),0)</f>
        <v>22200</v>
      </c>
    </row>
    <row r="54" spans="1:17" s="34" customFormat="1" hidden="1" outlineLevel="1" x14ac:dyDescent="0.3">
      <c r="A54" s="35"/>
      <c r="B54" s="10" t="str">
        <f>CONCATENATE("          ","6273", " - ","RENT")</f>
        <v xml:space="preserve">          6273 - RENT</v>
      </c>
      <c r="C54" s="14"/>
      <c r="D54" s="2">
        <v>1850</v>
      </c>
      <c r="E54" s="2">
        <v>1850</v>
      </c>
      <c r="F54" s="2">
        <v>1850</v>
      </c>
      <c r="G54" s="2">
        <v>1850</v>
      </c>
      <c r="H54" s="2">
        <v>1850</v>
      </c>
      <c r="I54" s="2">
        <v>1850</v>
      </c>
      <c r="J54" s="2">
        <v>1850</v>
      </c>
      <c r="K54" s="2">
        <v>1850</v>
      </c>
      <c r="L54" s="2">
        <v>1850</v>
      </c>
      <c r="M54" s="2">
        <v>1850</v>
      </c>
      <c r="N54" s="2">
        <v>1850</v>
      </c>
      <c r="O54" s="2">
        <v>1850</v>
      </c>
      <c r="P54" s="9"/>
      <c r="Q54" s="2">
        <f>SUM(OSRRefD21_7_0x)+IFERROR(SUM(OSRRefE21_7_0x),0)</f>
        <v>22200</v>
      </c>
    </row>
    <row r="55" spans="1:17" s="34" customFormat="1" collapsed="1" x14ac:dyDescent="0.3">
      <c r="A55" s="35"/>
      <c r="B55" s="14" t="str">
        <f>CONCATENATE("     ","Repair and Maintenance                            ")</f>
        <v xml:space="preserve">     Repair and Maintenance                            </v>
      </c>
      <c r="C55" s="14"/>
      <c r="D55" s="1">
        <f>SUM(OSRRefD21_8x_0)</f>
        <v>130.94999999999999</v>
      </c>
      <c r="E55" s="1">
        <f>SUM(OSRRefE21_8x_0)</f>
        <v>500</v>
      </c>
      <c r="F55" s="1">
        <f>SUM(OSRRefE21_8x_1)</f>
        <v>500</v>
      </c>
      <c r="G55" s="1">
        <f>SUM(OSRRefE21_8x_2)</f>
        <v>650</v>
      </c>
      <c r="H55" s="1">
        <f>SUM(OSRRefE21_8x_3)</f>
        <v>500</v>
      </c>
      <c r="I55" s="1">
        <f>SUM(OSRRefE21_8x_4)</f>
        <v>500</v>
      </c>
      <c r="J55" s="1">
        <f>SUM(OSRRefE21_8x_5)</f>
        <v>650</v>
      </c>
      <c r="K55" s="1">
        <f>SUM(OSRRefE21_8x_6)</f>
        <v>500</v>
      </c>
      <c r="L55" s="1">
        <f>SUM(OSRRefE21_8x_7)</f>
        <v>500</v>
      </c>
      <c r="M55" s="1">
        <f>SUM(OSRRefE21_8x_8)</f>
        <v>650</v>
      </c>
      <c r="N55" s="1">
        <f>SUM(OSRRefE21_8x_9)</f>
        <v>500</v>
      </c>
      <c r="O55" s="1">
        <f>SUM(OSRRefE21_8x_10)</f>
        <v>500</v>
      </c>
      <c r="Q55" s="2">
        <f>SUM(OSRRefD20_8x)+IFERROR(SUM(OSRRefE20_8x),0)</f>
        <v>6080.95</v>
      </c>
    </row>
    <row r="56" spans="1:17" s="34" customFormat="1" hidden="1" outlineLevel="1" x14ac:dyDescent="0.3">
      <c r="A56" s="35"/>
      <c r="B56" s="10" t="str">
        <f>CONCATENATE("          ","6373", " - ","MAINTENANCE CONTRACTS")</f>
        <v xml:space="preserve">          6373 - MAINTENANCE CONTRACTS</v>
      </c>
      <c r="C56" s="14"/>
      <c r="D56" s="2"/>
      <c r="E56" s="2"/>
      <c r="F56" s="2"/>
      <c r="G56" s="2">
        <v>150</v>
      </c>
      <c r="H56" s="2"/>
      <c r="I56" s="2"/>
      <c r="J56" s="2">
        <v>150</v>
      </c>
      <c r="K56" s="2"/>
      <c r="L56" s="2"/>
      <c r="M56" s="2">
        <v>150</v>
      </c>
      <c r="N56" s="2"/>
      <c r="O56" s="2"/>
      <c r="P56" s="9"/>
      <c r="Q56" s="2">
        <f>SUM(OSRRefD21_8_0x)+IFERROR(SUM(OSRRefE21_8_0x),0)</f>
        <v>450</v>
      </c>
    </row>
    <row r="57" spans="1:17" s="34" customFormat="1" hidden="1" outlineLevel="1" x14ac:dyDescent="0.3">
      <c r="A57" s="35"/>
      <c r="B57" s="10" t="str">
        <f>CONCATENATE("          ","6375", " - ","OUTSIDE REPAIRS &amp; MAINTENANCE")</f>
        <v xml:space="preserve">          6375 - OUTSIDE REPAIRS &amp; MAINTENANCE</v>
      </c>
      <c r="C57" s="14"/>
      <c r="D57" s="2">
        <v>130.94999999999999</v>
      </c>
      <c r="E57" s="2">
        <v>500</v>
      </c>
      <c r="F57" s="2">
        <v>500</v>
      </c>
      <c r="G57" s="2">
        <v>500</v>
      </c>
      <c r="H57" s="2">
        <v>500</v>
      </c>
      <c r="I57" s="2">
        <v>500</v>
      </c>
      <c r="J57" s="2">
        <v>500</v>
      </c>
      <c r="K57" s="2">
        <v>500</v>
      </c>
      <c r="L57" s="2">
        <v>500</v>
      </c>
      <c r="M57" s="2">
        <v>500</v>
      </c>
      <c r="N57" s="2">
        <v>500</v>
      </c>
      <c r="O57" s="2">
        <v>500</v>
      </c>
      <c r="P57" s="9"/>
      <c r="Q57" s="2">
        <f>SUM(OSRRefD21_8_1x)+IFERROR(SUM(OSRRefE21_8_1x),0)</f>
        <v>5630.95</v>
      </c>
    </row>
    <row r="58" spans="1:17" s="34" customFormat="1" collapsed="1" x14ac:dyDescent="0.3">
      <c r="A58" s="35"/>
      <c r="B58" s="14" t="str">
        <f>CONCATENATE("     ","Services                                          ")</f>
        <v xml:space="preserve">     Services                                          </v>
      </c>
      <c r="C58" s="14"/>
      <c r="D58" s="1">
        <f>SUM(OSRRefD21_9x_0)</f>
        <v>0</v>
      </c>
      <c r="E58" s="1">
        <f>SUM(OSRRefE21_9x_0)</f>
        <v>2333</v>
      </c>
      <c r="F58" s="1">
        <f>SUM(OSRRefE21_9x_1)</f>
        <v>2273</v>
      </c>
      <c r="G58" s="1">
        <f>SUM(OSRRefE21_9x_2)</f>
        <v>2283</v>
      </c>
      <c r="H58" s="1">
        <f>SUM(OSRRefE21_9x_3)</f>
        <v>2263</v>
      </c>
      <c r="I58" s="1">
        <f>SUM(OSRRefE21_9x_4)</f>
        <v>2263</v>
      </c>
      <c r="J58" s="1">
        <f>SUM(OSRRefE21_9x_5)</f>
        <v>2283</v>
      </c>
      <c r="K58" s="1">
        <f>SUM(OSRRefE21_9x_6)</f>
        <v>2273</v>
      </c>
      <c r="L58" s="1">
        <f>SUM(OSRRefE21_9x_7)</f>
        <v>2273</v>
      </c>
      <c r="M58" s="1">
        <f>SUM(OSRRefE21_9x_8)</f>
        <v>2273</v>
      </c>
      <c r="N58" s="1">
        <f>SUM(OSRRefE21_9x_9)</f>
        <v>2273</v>
      </c>
      <c r="O58" s="1">
        <f>SUM(OSRRefE21_9x_10)</f>
        <v>2263</v>
      </c>
      <c r="Q58" s="2">
        <f>SUM(OSRRefD20_9x)+IFERROR(SUM(OSRRefE20_9x),0)</f>
        <v>25053</v>
      </c>
    </row>
    <row r="59" spans="1:17" s="34" customFormat="1" hidden="1" outlineLevel="1" x14ac:dyDescent="0.3">
      <c r="A59" s="35"/>
      <c r="B59" s="10" t="str">
        <f>CONCATENATE("          ","6282", " - ","JANITORIAL/EXTERMINATOR EXPENS")</f>
        <v xml:space="preserve">          6282 - JANITORIAL/EXTERMINATOR EXPENS</v>
      </c>
      <c r="C59" s="14"/>
      <c r="D59" s="2"/>
      <c r="E59" s="2">
        <v>200</v>
      </c>
      <c r="F59" s="2">
        <v>150</v>
      </c>
      <c r="G59" s="2">
        <v>150</v>
      </c>
      <c r="H59" s="2">
        <v>150</v>
      </c>
      <c r="I59" s="2">
        <v>150</v>
      </c>
      <c r="J59" s="2">
        <v>150</v>
      </c>
      <c r="K59" s="2">
        <v>150</v>
      </c>
      <c r="L59" s="2">
        <v>150</v>
      </c>
      <c r="M59" s="2">
        <v>150</v>
      </c>
      <c r="N59" s="2">
        <v>150</v>
      </c>
      <c r="O59" s="2">
        <v>150</v>
      </c>
      <c r="P59" s="9"/>
      <c r="Q59" s="2">
        <f>SUM(OSRRefD21_9_0x)+IFERROR(SUM(OSRRefE21_9_0x),0)</f>
        <v>1700</v>
      </c>
    </row>
    <row r="60" spans="1:17" s="34" customFormat="1" hidden="1" outlineLevel="1" x14ac:dyDescent="0.3">
      <c r="A60" s="35"/>
      <c r="B60" s="10" t="str">
        <f>CONCATENATE("          ","6285", " - ","JANITORIAL SERVICES")</f>
        <v xml:space="preserve">          6285 - JANITORIAL SERVICES</v>
      </c>
      <c r="C60" s="14"/>
      <c r="D60" s="2"/>
      <c r="E60" s="2">
        <v>2083</v>
      </c>
      <c r="F60" s="2">
        <v>2083</v>
      </c>
      <c r="G60" s="2">
        <v>2083</v>
      </c>
      <c r="H60" s="2">
        <v>2083</v>
      </c>
      <c r="I60" s="2">
        <v>2083</v>
      </c>
      <c r="J60" s="2">
        <v>2083</v>
      </c>
      <c r="K60" s="2">
        <v>2083</v>
      </c>
      <c r="L60" s="2">
        <v>2083</v>
      </c>
      <c r="M60" s="2">
        <v>2083</v>
      </c>
      <c r="N60" s="2">
        <v>2083</v>
      </c>
      <c r="O60" s="2">
        <v>2083</v>
      </c>
      <c r="P60" s="9"/>
      <c r="Q60" s="2">
        <f>SUM(OSRRefD21_9_1x)+IFERROR(SUM(OSRRefE21_9_1x),0)</f>
        <v>22913</v>
      </c>
    </row>
    <row r="61" spans="1:17" s="34" customFormat="1" hidden="1" outlineLevel="1" x14ac:dyDescent="0.3">
      <c r="A61" s="35"/>
      <c r="B61" s="10" t="str">
        <f>CONCATENATE("          ","6286", " - ","LAUNDRY EXPENSE")</f>
        <v xml:space="preserve">          6286 - LAUNDRY EXPENSE</v>
      </c>
      <c r="C61" s="14"/>
      <c r="D61" s="2"/>
      <c r="E61" s="2">
        <v>50</v>
      </c>
      <c r="F61" s="2">
        <v>40</v>
      </c>
      <c r="G61" s="2">
        <v>50</v>
      </c>
      <c r="H61" s="2">
        <v>30</v>
      </c>
      <c r="I61" s="2">
        <v>30</v>
      </c>
      <c r="J61" s="2">
        <v>50</v>
      </c>
      <c r="K61" s="2">
        <v>40</v>
      </c>
      <c r="L61" s="2">
        <v>40</v>
      </c>
      <c r="M61" s="2">
        <v>40</v>
      </c>
      <c r="N61" s="2">
        <v>40</v>
      </c>
      <c r="O61" s="2">
        <v>30</v>
      </c>
      <c r="P61" s="9"/>
      <c r="Q61" s="2">
        <f>SUM(OSRRefD21_9_2x)+IFERROR(SUM(OSRRefE21_9_2x),0)</f>
        <v>440</v>
      </c>
    </row>
    <row r="62" spans="1:17" s="34" customFormat="1" collapsed="1" x14ac:dyDescent="0.3">
      <c r="A62" s="35"/>
      <c r="B62" s="14" t="str">
        <f>CONCATENATE("     ","Subscriptions &amp; Dues                              ")</f>
        <v xml:space="preserve">     Subscriptions &amp; Dues                              </v>
      </c>
      <c r="C62" s="14"/>
      <c r="D62" s="1">
        <f>SUM(OSRRefD21_10x_0)</f>
        <v>0</v>
      </c>
      <c r="E62" s="1">
        <f>SUM(OSRRefE21_10x_0)</f>
        <v>30</v>
      </c>
      <c r="F62" s="1">
        <f>SUM(OSRRefE21_10x_1)</f>
        <v>30</v>
      </c>
      <c r="G62" s="1">
        <f>SUM(OSRRefE21_10x_2)</f>
        <v>30</v>
      </c>
      <c r="H62" s="1">
        <f>SUM(OSRRefE21_10x_3)</f>
        <v>30</v>
      </c>
      <c r="I62" s="1">
        <f>SUM(OSRRefE21_10x_4)</f>
        <v>30</v>
      </c>
      <c r="J62" s="1">
        <f>SUM(OSRRefE21_10x_5)</f>
        <v>30</v>
      </c>
      <c r="K62" s="1">
        <f>SUM(OSRRefE21_10x_6)</f>
        <v>30</v>
      </c>
      <c r="L62" s="1">
        <f>SUM(OSRRefE21_10x_7)</f>
        <v>30</v>
      </c>
      <c r="M62" s="1">
        <f>SUM(OSRRefE21_10x_8)</f>
        <v>30</v>
      </c>
      <c r="N62" s="1">
        <f>SUM(OSRRefE21_10x_9)</f>
        <v>30</v>
      </c>
      <c r="O62" s="1">
        <f>SUM(OSRRefE21_10x_10)</f>
        <v>30</v>
      </c>
      <c r="Q62" s="2">
        <f>SUM(OSRRefD20_10x)+IFERROR(SUM(OSRRefE20_10x),0)</f>
        <v>330</v>
      </c>
    </row>
    <row r="63" spans="1:17" s="34" customFormat="1" hidden="1" outlineLevel="1" x14ac:dyDescent="0.3">
      <c r="A63" s="35"/>
      <c r="B63" s="10" t="str">
        <f>CONCATENATE("          ","6275", " - ","SUBSCRIPTIONS")</f>
        <v xml:space="preserve">          6275 - SUBSCRIPTIONS</v>
      </c>
      <c r="C63" s="14"/>
      <c r="D63" s="2"/>
      <c r="E63" s="2">
        <v>30</v>
      </c>
      <c r="F63" s="2">
        <v>30</v>
      </c>
      <c r="G63" s="2">
        <v>30</v>
      </c>
      <c r="H63" s="2">
        <v>30</v>
      </c>
      <c r="I63" s="2">
        <v>30</v>
      </c>
      <c r="J63" s="2">
        <v>30</v>
      </c>
      <c r="K63" s="2">
        <v>30</v>
      </c>
      <c r="L63" s="2">
        <v>30</v>
      </c>
      <c r="M63" s="2">
        <v>30</v>
      </c>
      <c r="N63" s="2">
        <v>30</v>
      </c>
      <c r="O63" s="2">
        <v>30</v>
      </c>
      <c r="P63" s="9"/>
      <c r="Q63" s="2">
        <f>SUM(OSRRefD21_10_0x)+IFERROR(SUM(OSRRefE21_10_0x),0)</f>
        <v>330</v>
      </c>
    </row>
    <row r="64" spans="1:17" s="34" customFormat="1" collapsed="1" x14ac:dyDescent="0.3">
      <c r="A64" s="35"/>
      <c r="B64" s="14" t="str">
        <f>CONCATENATE("     ","Supplies                                          ")</f>
        <v xml:space="preserve">     Supplies                                          </v>
      </c>
      <c r="C64" s="14"/>
      <c r="D64" s="1">
        <f>SUM(OSRRefD21_11x_0)</f>
        <v>43.79</v>
      </c>
      <c r="E64" s="1">
        <f>SUM(OSRRefE21_11x_0)</f>
        <v>775</v>
      </c>
      <c r="F64" s="1">
        <f>SUM(OSRRefE21_11x_1)</f>
        <v>575</v>
      </c>
      <c r="G64" s="1">
        <f>SUM(OSRRefE21_11x_2)</f>
        <v>625</v>
      </c>
      <c r="H64" s="1">
        <f>SUM(OSRRefE21_11x_3)</f>
        <v>475</v>
      </c>
      <c r="I64" s="1">
        <f>SUM(OSRRefE21_11x_4)</f>
        <v>475</v>
      </c>
      <c r="J64" s="1">
        <f>SUM(OSRRefE21_11x_5)</f>
        <v>1525</v>
      </c>
      <c r="K64" s="1">
        <f>SUM(OSRRefE21_11x_6)</f>
        <v>475</v>
      </c>
      <c r="L64" s="1">
        <f>SUM(OSRRefE21_11x_7)</f>
        <v>525</v>
      </c>
      <c r="M64" s="1">
        <f>SUM(OSRRefE21_11x_8)</f>
        <v>475</v>
      </c>
      <c r="N64" s="1">
        <f>SUM(OSRRefE21_11x_9)</f>
        <v>525</v>
      </c>
      <c r="O64" s="1">
        <f>SUM(OSRRefE21_11x_10)</f>
        <v>375</v>
      </c>
      <c r="Q64" s="2">
        <f>SUM(OSRRefD20_11x)+IFERROR(SUM(OSRRefE20_11x),0)</f>
        <v>6868.79</v>
      </c>
    </row>
    <row r="65" spans="1:17" s="34" customFormat="1" hidden="1" outlineLevel="1" x14ac:dyDescent="0.3">
      <c r="A65" s="35"/>
      <c r="B65" s="10" t="str">
        <f>CONCATENATE("          ","6235", " - ","COVID-19 EXPENSES")</f>
        <v xml:space="preserve">          6235 - COVID-19 EXPENSES</v>
      </c>
      <c r="C65" s="14"/>
      <c r="D65" s="2"/>
      <c r="E65" s="2">
        <v>75</v>
      </c>
      <c r="F65" s="2">
        <v>75</v>
      </c>
      <c r="G65" s="2">
        <v>75</v>
      </c>
      <c r="H65" s="2">
        <v>75</v>
      </c>
      <c r="I65" s="2">
        <v>75</v>
      </c>
      <c r="J65" s="2">
        <v>75</v>
      </c>
      <c r="K65" s="2">
        <v>75</v>
      </c>
      <c r="L65" s="2">
        <v>75</v>
      </c>
      <c r="M65" s="2">
        <v>75</v>
      </c>
      <c r="N65" s="2">
        <v>75</v>
      </c>
      <c r="O65" s="2">
        <v>75</v>
      </c>
      <c r="P65" s="9"/>
      <c r="Q65" s="2">
        <f>SUM(OSRRefD21_11_0x)+IFERROR(SUM(OSRRefE21_11_0x),0)</f>
        <v>825</v>
      </c>
    </row>
    <row r="66" spans="1:17" s="34" customFormat="1" hidden="1" outlineLevel="1" x14ac:dyDescent="0.3">
      <c r="A66" s="35"/>
      <c r="B66" s="10" t="str">
        <f>CONCATENATE("          ","6237", " - ","JANITORIAL SUPPLIES")</f>
        <v xml:space="preserve">          6237 - JANITORIAL SUPPLIES</v>
      </c>
      <c r="C66" s="14"/>
      <c r="D66" s="2"/>
      <c r="E66" s="2"/>
      <c r="F66" s="2">
        <v>250</v>
      </c>
      <c r="G66" s="2">
        <v>150</v>
      </c>
      <c r="H66" s="2">
        <v>150</v>
      </c>
      <c r="I66" s="2">
        <v>150</v>
      </c>
      <c r="J66" s="2">
        <v>150</v>
      </c>
      <c r="K66" s="2">
        <v>150</v>
      </c>
      <c r="L66" s="2">
        <v>150</v>
      </c>
      <c r="M66" s="2">
        <v>150</v>
      </c>
      <c r="N66" s="2">
        <v>150</v>
      </c>
      <c r="O66" s="2">
        <v>100</v>
      </c>
      <c r="P66" s="9"/>
      <c r="Q66" s="2">
        <f>SUM(OSRRefD21_11_1x)+IFERROR(SUM(OSRRefE21_11_1x),0)</f>
        <v>1550</v>
      </c>
    </row>
    <row r="67" spans="1:17" s="34" customFormat="1" hidden="1" outlineLevel="1" x14ac:dyDescent="0.3">
      <c r="A67" s="35"/>
      <c r="B67" s="10" t="str">
        <f>CONCATENATE("          ","6239", " - ","KITCHEN SUPPLIES")</f>
        <v xml:space="preserve">          6239 - KITCHEN SUPPLIES</v>
      </c>
      <c r="C67" s="14"/>
      <c r="D67" s="2"/>
      <c r="E67" s="2"/>
      <c r="F67" s="2"/>
      <c r="G67" s="2"/>
      <c r="H67" s="2"/>
      <c r="I67" s="2"/>
      <c r="J67" s="2">
        <v>100</v>
      </c>
      <c r="K67" s="2"/>
      <c r="L67" s="2"/>
      <c r="M67" s="2"/>
      <c r="N67" s="2"/>
      <c r="O67" s="2"/>
      <c r="P67" s="9"/>
      <c r="Q67" s="2">
        <f>SUM(OSRRefD21_11_2x)+IFERROR(SUM(OSRRefE21_11_2x),0)</f>
        <v>100</v>
      </c>
    </row>
    <row r="68" spans="1:17" s="34" customFormat="1" hidden="1" outlineLevel="1" x14ac:dyDescent="0.3">
      <c r="A68" s="35"/>
      <c r="B68" s="10" t="str">
        <f>CONCATENATE("          ","6241", " - ","OFFICE EXPENSE")</f>
        <v xml:space="preserve">          6241 - OFFICE EXPENSE</v>
      </c>
      <c r="C68" s="14"/>
      <c r="D68" s="2">
        <v>43.79</v>
      </c>
      <c r="E68" s="2">
        <v>50</v>
      </c>
      <c r="F68" s="2"/>
      <c r="G68" s="2">
        <v>50</v>
      </c>
      <c r="H68" s="2"/>
      <c r="I68" s="2"/>
      <c r="J68" s="2">
        <v>50</v>
      </c>
      <c r="K68" s="2"/>
      <c r="L68" s="2">
        <v>50</v>
      </c>
      <c r="M68" s="2"/>
      <c r="N68" s="2">
        <v>50</v>
      </c>
      <c r="O68" s="2"/>
      <c r="P68" s="9"/>
      <c r="Q68" s="2">
        <f>SUM(OSRRefD21_11_3x)+IFERROR(SUM(OSRRefE21_11_3x),0)</f>
        <v>293.79000000000002</v>
      </c>
    </row>
    <row r="69" spans="1:17" s="34" customFormat="1" hidden="1" outlineLevel="1" x14ac:dyDescent="0.3">
      <c r="A69" s="35"/>
      <c r="B69" s="10" t="str">
        <f>CONCATENATE("          ","6243", " - ","PAPER SUPPLIES")</f>
        <v xml:space="preserve">          6243 - PAPER SUPPLIES</v>
      </c>
      <c r="C69" s="14"/>
      <c r="D69" s="2"/>
      <c r="E69" s="2">
        <v>500</v>
      </c>
      <c r="F69" s="2">
        <v>200</v>
      </c>
      <c r="G69" s="2">
        <v>300</v>
      </c>
      <c r="H69" s="2">
        <v>200</v>
      </c>
      <c r="I69" s="2">
        <v>200</v>
      </c>
      <c r="J69" s="2">
        <v>500</v>
      </c>
      <c r="K69" s="2">
        <v>200</v>
      </c>
      <c r="L69" s="2">
        <v>200</v>
      </c>
      <c r="M69" s="2">
        <v>200</v>
      </c>
      <c r="N69" s="2">
        <v>200</v>
      </c>
      <c r="O69" s="2">
        <v>150</v>
      </c>
      <c r="P69" s="9"/>
      <c r="Q69" s="2">
        <f>SUM(OSRRefD21_11_4x)+IFERROR(SUM(OSRRefE21_11_4x),0)</f>
        <v>2850</v>
      </c>
    </row>
    <row r="70" spans="1:17" s="34" customFormat="1" hidden="1" outlineLevel="1" x14ac:dyDescent="0.3">
      <c r="A70" s="35"/>
      <c r="B70" s="10" t="str">
        <f>CONCATENATE("          ","6245", " - ","PRINTING")</f>
        <v xml:space="preserve">          6245 - PRINTING</v>
      </c>
      <c r="C70" s="14"/>
      <c r="D70" s="2"/>
      <c r="E70" s="2">
        <v>150</v>
      </c>
      <c r="F70" s="2">
        <v>50</v>
      </c>
      <c r="G70" s="2">
        <v>50</v>
      </c>
      <c r="H70" s="2">
        <v>50</v>
      </c>
      <c r="I70" s="2">
        <v>50</v>
      </c>
      <c r="J70" s="2">
        <v>150</v>
      </c>
      <c r="K70" s="2">
        <v>50</v>
      </c>
      <c r="L70" s="2">
        <v>50</v>
      </c>
      <c r="M70" s="2">
        <v>50</v>
      </c>
      <c r="N70" s="2">
        <v>50</v>
      </c>
      <c r="O70" s="2">
        <v>50</v>
      </c>
      <c r="P70" s="9"/>
      <c r="Q70" s="2">
        <f>SUM(OSRRefD21_11_5x)+IFERROR(SUM(OSRRefE21_11_5x),0)</f>
        <v>750</v>
      </c>
    </row>
    <row r="71" spans="1:17" s="34" customFormat="1" hidden="1" outlineLevel="1" x14ac:dyDescent="0.3">
      <c r="A71" s="35"/>
      <c r="B71" s="10" t="str">
        <f>CONCATENATE("          ","6248", " - ","UNIFORMS")</f>
        <v xml:space="preserve">          6248 - UNIFORMS</v>
      </c>
      <c r="C71" s="14"/>
      <c r="D71" s="2"/>
      <c r="E71" s="2"/>
      <c r="F71" s="2"/>
      <c r="G71" s="2"/>
      <c r="H71" s="2"/>
      <c r="I71" s="2"/>
      <c r="J71" s="2">
        <v>500</v>
      </c>
      <c r="K71" s="2"/>
      <c r="L71" s="2"/>
      <c r="M71" s="2"/>
      <c r="N71" s="2"/>
      <c r="O71" s="2"/>
      <c r="P71" s="9"/>
      <c r="Q71" s="2">
        <f>SUM(OSRRefD21_11_6x)+IFERROR(SUM(OSRRefE21_11_6x),0)</f>
        <v>500</v>
      </c>
    </row>
    <row r="72" spans="1:17" s="34" customFormat="1" collapsed="1" x14ac:dyDescent="0.3">
      <c r="A72" s="35"/>
      <c r="B72" s="14" t="str">
        <f>CONCATENATE("     ","Telephone/Data Lines                              ")</f>
        <v xml:space="preserve">     Telephone/Data Lines                              </v>
      </c>
      <c r="C72" s="14"/>
      <c r="D72" s="1">
        <f>SUM(OSRRefD21_12x_0)</f>
        <v>150</v>
      </c>
      <c r="E72" s="1">
        <f>SUM(OSRRefE21_12x_0)</f>
        <v>150</v>
      </c>
      <c r="F72" s="1">
        <f>SUM(OSRRefE21_12x_1)</f>
        <v>150</v>
      </c>
      <c r="G72" s="1">
        <f>SUM(OSRRefE21_12x_2)</f>
        <v>150</v>
      </c>
      <c r="H72" s="1">
        <f>SUM(OSRRefE21_12x_3)</f>
        <v>150</v>
      </c>
      <c r="I72" s="1">
        <f>SUM(OSRRefE21_12x_4)</f>
        <v>150</v>
      </c>
      <c r="J72" s="1">
        <f>SUM(OSRRefE21_12x_5)</f>
        <v>150</v>
      </c>
      <c r="K72" s="1">
        <f>SUM(OSRRefE21_12x_6)</f>
        <v>150</v>
      </c>
      <c r="L72" s="1">
        <f>SUM(OSRRefE21_12x_7)</f>
        <v>150</v>
      </c>
      <c r="M72" s="1">
        <f>SUM(OSRRefE21_12x_8)</f>
        <v>150</v>
      </c>
      <c r="N72" s="1">
        <f>SUM(OSRRefE21_12x_9)</f>
        <v>150</v>
      </c>
      <c r="O72" s="1">
        <f>SUM(OSRRefE21_12x_10)</f>
        <v>150</v>
      </c>
      <c r="Q72" s="2">
        <f>SUM(OSRRefD20_12x)+IFERROR(SUM(OSRRefE20_12x),0)</f>
        <v>1800</v>
      </c>
    </row>
    <row r="73" spans="1:17" s="34" customFormat="1" hidden="1" outlineLevel="1" x14ac:dyDescent="0.3">
      <c r="A73" s="35"/>
      <c r="B73" s="10" t="str">
        <f>CONCATENATE("          ","6309", " - ","TELEPHONE")</f>
        <v xml:space="preserve">          6309 - TELEPHONE</v>
      </c>
      <c r="C73" s="14"/>
      <c r="D73" s="2">
        <v>150</v>
      </c>
      <c r="E73" s="2">
        <v>150</v>
      </c>
      <c r="F73" s="2">
        <v>150</v>
      </c>
      <c r="G73" s="2">
        <v>150</v>
      </c>
      <c r="H73" s="2">
        <v>150</v>
      </c>
      <c r="I73" s="2">
        <v>150</v>
      </c>
      <c r="J73" s="2">
        <v>150</v>
      </c>
      <c r="K73" s="2">
        <v>150</v>
      </c>
      <c r="L73" s="2">
        <v>150</v>
      </c>
      <c r="M73" s="2">
        <v>150</v>
      </c>
      <c r="N73" s="2">
        <v>150</v>
      </c>
      <c r="O73" s="2">
        <v>150</v>
      </c>
      <c r="P73" s="9"/>
      <c r="Q73" s="2">
        <f>SUM(OSRRefD21_12_0x)+IFERROR(SUM(OSRRefE21_12_0x),0)</f>
        <v>1800</v>
      </c>
    </row>
    <row r="74" spans="1:17" s="34" customFormat="1" collapsed="1" x14ac:dyDescent="0.3">
      <c r="A74" s="35"/>
      <c r="B74" s="14" t="str">
        <f>CONCATENATE("     ","Training                                          ")</f>
        <v xml:space="preserve">     Training                                          </v>
      </c>
      <c r="C74" s="14"/>
      <c r="D74" s="1">
        <f>SUM(OSRRefD21_13x_0)</f>
        <v>0</v>
      </c>
      <c r="E74" s="1">
        <f>SUM(OSRRefE21_13x_0)</f>
        <v>0</v>
      </c>
      <c r="F74" s="1">
        <f>SUM(OSRRefE21_13x_1)</f>
        <v>200</v>
      </c>
      <c r="G74" s="1">
        <f>SUM(OSRRefE21_13x_2)</f>
        <v>0</v>
      </c>
      <c r="H74" s="1">
        <f>SUM(OSRRefE21_13x_3)</f>
        <v>0</v>
      </c>
      <c r="I74" s="1">
        <f>SUM(OSRRefE21_13x_4)</f>
        <v>0</v>
      </c>
      <c r="J74" s="1">
        <f>SUM(OSRRefE21_13x_5)</f>
        <v>200</v>
      </c>
      <c r="K74" s="1">
        <f>SUM(OSRRefE21_13x_6)</f>
        <v>0</v>
      </c>
      <c r="L74" s="1">
        <f>SUM(OSRRefE21_13x_7)</f>
        <v>0</v>
      </c>
      <c r="M74" s="1">
        <f>SUM(OSRRefE21_13x_8)</f>
        <v>0</v>
      </c>
      <c r="N74" s="1">
        <f>SUM(OSRRefE21_13x_9)</f>
        <v>0</v>
      </c>
      <c r="O74" s="1">
        <f>SUM(OSRRefE21_13x_10)</f>
        <v>0</v>
      </c>
      <c r="Q74" s="2">
        <f>SUM(OSRRefD20_13x)+IFERROR(SUM(OSRRefE20_13x),0)</f>
        <v>400</v>
      </c>
    </row>
    <row r="75" spans="1:17" s="34" customFormat="1" hidden="1" outlineLevel="1" x14ac:dyDescent="0.3">
      <c r="A75" s="35"/>
      <c r="B75" s="10" t="str">
        <f>CONCATENATE("          ","6376", " - ","TRAINING")</f>
        <v xml:space="preserve">          6376 - TRAINING</v>
      </c>
      <c r="C75" s="14"/>
      <c r="D75" s="2"/>
      <c r="E75" s="2"/>
      <c r="F75" s="2">
        <v>200</v>
      </c>
      <c r="G75" s="2"/>
      <c r="H75" s="2"/>
      <c r="I75" s="2"/>
      <c r="J75" s="2">
        <v>200</v>
      </c>
      <c r="K75" s="2"/>
      <c r="L75" s="2"/>
      <c r="M75" s="2"/>
      <c r="N75" s="2"/>
      <c r="O75" s="2"/>
      <c r="P75" s="9"/>
      <c r="Q75" s="2">
        <f>SUM(OSRRefD21_13_0x)+IFERROR(SUM(OSRRefE21_13_0x),0)</f>
        <v>400</v>
      </c>
    </row>
    <row r="76" spans="1:17" s="34" customFormat="1" collapsed="1" x14ac:dyDescent="0.3">
      <c r="A76" s="35"/>
      <c r="B76" s="14" t="str">
        <f>CONCATENATE("     ","Travel                                            ")</f>
        <v xml:space="preserve">     Travel                                            </v>
      </c>
      <c r="C76" s="14"/>
      <c r="D76" s="1">
        <f>SUM(OSRRefD21_14x_0)</f>
        <v>0</v>
      </c>
      <c r="E76" s="1">
        <f>SUM(OSRRefE21_14x_0)</f>
        <v>0</v>
      </c>
      <c r="F76" s="1">
        <f>SUM(OSRRefE21_14x_1)</f>
        <v>0</v>
      </c>
      <c r="G76" s="1">
        <f>SUM(OSRRefE21_14x_2)</f>
        <v>0</v>
      </c>
      <c r="H76" s="1">
        <f>SUM(OSRRefE21_14x_3)</f>
        <v>0</v>
      </c>
      <c r="I76" s="1">
        <f>SUM(OSRRefE21_14x_4)</f>
        <v>0</v>
      </c>
      <c r="J76" s="1">
        <f>SUM(OSRRefE21_14x_5)</f>
        <v>0</v>
      </c>
      <c r="K76" s="1">
        <f>SUM(OSRRefE21_14x_6)</f>
        <v>600</v>
      </c>
      <c r="L76" s="1">
        <f>SUM(OSRRefE21_14x_7)</f>
        <v>0</v>
      </c>
      <c r="M76" s="1">
        <f>SUM(OSRRefE21_14x_8)</f>
        <v>0</v>
      </c>
      <c r="N76" s="1">
        <f>SUM(OSRRefE21_14x_9)</f>
        <v>0</v>
      </c>
      <c r="O76" s="1">
        <f>SUM(OSRRefE21_14x_10)</f>
        <v>0</v>
      </c>
      <c r="Q76" s="2">
        <f>SUM(OSRRefD20_14x)+IFERROR(SUM(OSRRefE20_14x),0)</f>
        <v>600</v>
      </c>
    </row>
    <row r="77" spans="1:17" s="34" customFormat="1" hidden="1" outlineLevel="1" x14ac:dyDescent="0.3">
      <c r="A77" s="35"/>
      <c r="B77" s="10" t="str">
        <f>CONCATENATE("          ","6292", " - ","TRAVEL/CONFERENCE")</f>
        <v xml:space="preserve">          6292 - TRAVEL/CONFERENCE</v>
      </c>
      <c r="C77" s="14"/>
      <c r="D77" s="2"/>
      <c r="E77" s="2"/>
      <c r="F77" s="2"/>
      <c r="G77" s="2"/>
      <c r="H77" s="2"/>
      <c r="I77" s="2"/>
      <c r="J77" s="2"/>
      <c r="K77" s="2">
        <v>600</v>
      </c>
      <c r="L77" s="2"/>
      <c r="M77" s="2"/>
      <c r="N77" s="2"/>
      <c r="O77" s="2"/>
      <c r="P77" s="9"/>
      <c r="Q77" s="2">
        <f>SUM(OSRRefD21_14_0x)+IFERROR(SUM(OSRRefE21_14_0x),0)</f>
        <v>600</v>
      </c>
    </row>
    <row r="78" spans="1:17" s="34" customFormat="1" collapsed="1" x14ac:dyDescent="0.3">
      <c r="A78" s="35"/>
      <c r="B78" s="14" t="str">
        <f>CONCATENATE("     ","Utilities                                         ")</f>
        <v xml:space="preserve">     Utilities                                         </v>
      </c>
      <c r="C78" s="14"/>
      <c r="D78" s="1">
        <f>SUM(OSRRefD21_15x_0)</f>
        <v>200</v>
      </c>
      <c r="E78" s="1">
        <f>SUM(OSRRefE21_15x_0)</f>
        <v>200</v>
      </c>
      <c r="F78" s="1">
        <f>SUM(OSRRefE21_15x_1)</f>
        <v>200</v>
      </c>
      <c r="G78" s="1">
        <f>SUM(OSRRefE21_15x_2)</f>
        <v>200</v>
      </c>
      <c r="H78" s="1">
        <f>SUM(OSRRefE21_15x_3)</f>
        <v>200</v>
      </c>
      <c r="I78" s="1">
        <f>SUM(OSRRefE21_15x_4)</f>
        <v>200</v>
      </c>
      <c r="J78" s="1">
        <f>SUM(OSRRefE21_15x_5)</f>
        <v>200</v>
      </c>
      <c r="K78" s="1">
        <f>SUM(OSRRefE21_15x_6)</f>
        <v>200</v>
      </c>
      <c r="L78" s="1">
        <f>SUM(OSRRefE21_15x_7)</f>
        <v>200</v>
      </c>
      <c r="M78" s="1">
        <f>SUM(OSRRefE21_15x_8)</f>
        <v>200</v>
      </c>
      <c r="N78" s="1">
        <f>SUM(OSRRefE21_15x_9)</f>
        <v>200</v>
      </c>
      <c r="O78" s="1">
        <f>SUM(OSRRefE21_15x_10)</f>
        <v>200</v>
      </c>
      <c r="Q78" s="2">
        <f>SUM(OSRRefD20_15x)+IFERROR(SUM(OSRRefE20_15x),0)</f>
        <v>2400</v>
      </c>
    </row>
    <row r="79" spans="1:17" s="34" customFormat="1" hidden="1" outlineLevel="1" x14ac:dyDescent="0.3">
      <c r="A79" s="35"/>
      <c r="B79" s="10" t="str">
        <f>CONCATENATE("          ","6274", " - ","UTILITIES")</f>
        <v xml:space="preserve">          6274 - UTILITIES</v>
      </c>
      <c r="C79" s="14"/>
      <c r="D79" s="2">
        <v>200</v>
      </c>
      <c r="E79" s="2">
        <v>200</v>
      </c>
      <c r="F79" s="2">
        <v>200</v>
      </c>
      <c r="G79" s="2">
        <v>200</v>
      </c>
      <c r="H79" s="2">
        <v>200</v>
      </c>
      <c r="I79" s="2">
        <v>200</v>
      </c>
      <c r="J79" s="2">
        <v>200</v>
      </c>
      <c r="K79" s="2">
        <v>200</v>
      </c>
      <c r="L79" s="2">
        <v>200</v>
      </c>
      <c r="M79" s="2">
        <v>200</v>
      </c>
      <c r="N79" s="2">
        <v>200</v>
      </c>
      <c r="O79" s="2">
        <v>200</v>
      </c>
      <c r="P79" s="9"/>
      <c r="Q79" s="2">
        <f>SUM(OSRRefD21_15_0x)+IFERROR(SUM(OSRRefE21_15_0x),0)</f>
        <v>2400</v>
      </c>
    </row>
    <row r="80" spans="1:17" s="28" customFormat="1" x14ac:dyDescent="0.3">
      <c r="A80" s="21"/>
      <c r="B80" s="21"/>
      <c r="C80" s="2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"/>
    </row>
    <row r="81" spans="1:17" s="9" customFormat="1" x14ac:dyDescent="0.3">
      <c r="A81" s="22"/>
      <c r="B81" s="16" t="s">
        <v>293</v>
      </c>
      <c r="C81" s="23"/>
      <c r="D81" s="3">
        <f>0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2">
        <f>SUM(OSRRefD23_0x)+IFERROR(SUM(OSRRefE23_0x),0)</f>
        <v>0</v>
      </c>
    </row>
    <row r="82" spans="1:17" x14ac:dyDescent="0.3">
      <c r="A82" s="5"/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</row>
    <row r="83" spans="1:17" s="15" customFormat="1" x14ac:dyDescent="0.3">
      <c r="A83" s="6"/>
      <c r="B83" s="17" t="s">
        <v>276</v>
      </c>
      <c r="C83" s="17"/>
      <c r="D83" s="8">
        <f t="shared" ref="D83:O83" si="3">IFERROR(+D17-D20+D81, 0)</f>
        <v>-13284.030000000002</v>
      </c>
      <c r="E83" s="8">
        <f t="shared" si="3"/>
        <v>-25235.919177692303</v>
      </c>
      <c r="F83" s="8">
        <f t="shared" si="3"/>
        <v>-15041.074307692303</v>
      </c>
      <c r="G83" s="8">
        <f t="shared" si="3"/>
        <v>-13556.542884615381</v>
      </c>
      <c r="H83" s="8">
        <f t="shared" si="3"/>
        <v>-14406.314307692304</v>
      </c>
      <c r="I83" s="8">
        <f t="shared" si="3"/>
        <v>-12712.914307692303</v>
      </c>
      <c r="J83" s="8">
        <f t="shared" si="3"/>
        <v>-17680.223972307693</v>
      </c>
      <c r="K83" s="8">
        <f t="shared" si="3"/>
        <v>11431.28402215385</v>
      </c>
      <c r="L83" s="8">
        <f t="shared" si="3"/>
        <v>11391.028022153849</v>
      </c>
      <c r="M83" s="8">
        <f t="shared" si="3"/>
        <v>9099.5224276923036</v>
      </c>
      <c r="N83" s="8">
        <f t="shared" si="3"/>
        <v>2782.6136221538472</v>
      </c>
      <c r="O83" s="8">
        <f t="shared" si="3"/>
        <v>-16841.653577846155</v>
      </c>
      <c r="Q83" s="8">
        <f>IFERROR(+Q17-Q20+Q81, 0)</f>
        <v>-94054.224441384547</v>
      </c>
    </row>
    <row r="84" spans="1:17" s="6" customFormat="1" x14ac:dyDescent="0.3">
      <c r="B84" s="16"/>
      <c r="C84" s="16"/>
      <c r="D84" s="4">
        <f t="shared" ref="D84:O84" si="4">IFERROR(D83/D10, 0)</f>
        <v>0</v>
      </c>
      <c r="E84" s="4">
        <f t="shared" si="4"/>
        <v>-3.1395769069037454</v>
      </c>
      <c r="F84" s="4">
        <f t="shared" si="4"/>
        <v>-0.48026931182362548</v>
      </c>
      <c r="G84" s="4">
        <f t="shared" si="4"/>
        <v>-0.30989925442028532</v>
      </c>
      <c r="H84" s="4">
        <f t="shared" si="4"/>
        <v>-0.5928036502218873</v>
      </c>
      <c r="I84" s="4">
        <f t="shared" si="4"/>
        <v>-0.42633603768376882</v>
      </c>
      <c r="J84" s="4">
        <f t="shared" si="4"/>
        <v>-0.5795274672973546</v>
      </c>
      <c r="K84" s="4">
        <f t="shared" si="4"/>
        <v>0.13056267014818113</v>
      </c>
      <c r="L84" s="4">
        <f t="shared" si="4"/>
        <v>0.13525002994649674</v>
      </c>
      <c r="M84" s="4">
        <f t="shared" si="4"/>
        <v>0.10873670507734219</v>
      </c>
      <c r="N84" s="4">
        <f t="shared" si="4"/>
        <v>4.6411702479423687E-2</v>
      </c>
      <c r="O84" s="4">
        <f t="shared" si="4"/>
        <v>-1.1704533725655817</v>
      </c>
      <c r="P84" s="18"/>
      <c r="Q84" s="4">
        <f>IFERROR(Q83/Q10, 0)</f>
        <v>-0.18904079809899332</v>
      </c>
    </row>
    <row r="85" spans="1:17" x14ac:dyDescent="0.3">
      <c r="A85" s="5"/>
      <c r="B85" s="6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</row>
    <row r="86" spans="1:17" s="15" customFormat="1" x14ac:dyDescent="0.3">
      <c r="A86" s="25"/>
      <c r="B86" s="6" t="s">
        <v>125</v>
      </c>
      <c r="C86" s="6"/>
      <c r="D86" s="3"/>
      <c r="E86" s="3">
        <v>900</v>
      </c>
      <c r="F86" s="3">
        <v>3373</v>
      </c>
      <c r="G86" s="3">
        <v>5282</v>
      </c>
      <c r="H86" s="3">
        <v>3871</v>
      </c>
      <c r="I86" s="3">
        <v>4340</v>
      </c>
      <c r="J86" s="3">
        <v>3250</v>
      </c>
      <c r="K86" s="3">
        <v>10192</v>
      </c>
      <c r="L86" s="3">
        <v>10138</v>
      </c>
      <c r="M86" s="3">
        <v>10713</v>
      </c>
      <c r="N86" s="3">
        <v>7833</v>
      </c>
      <c r="O86" s="3">
        <v>-3474</v>
      </c>
      <c r="Q86" s="2">
        <f>SUM(OSRRefD28_0x)+IFERROR(SUM(OSRRefE28_0x),0)</f>
        <v>56418</v>
      </c>
    </row>
    <row r="87" spans="1:17" x14ac:dyDescent="0.3">
      <c r="A87" s="5"/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</row>
    <row r="88" spans="1:17" s="15" customFormat="1" ht="15" thickBot="1" x14ac:dyDescent="0.35">
      <c r="A88" s="6"/>
      <c r="B88" s="17" t="s">
        <v>124</v>
      </c>
      <c r="C88" s="17"/>
      <c r="D88" s="7">
        <f t="shared" ref="D88:O88" si="5">IFERROR(+D83-D86, 0)</f>
        <v>-13284.030000000002</v>
      </c>
      <c r="E88" s="7">
        <f t="shared" si="5"/>
        <v>-26135.919177692303</v>
      </c>
      <c r="F88" s="7">
        <f t="shared" si="5"/>
        <v>-18414.074307692303</v>
      </c>
      <c r="G88" s="7">
        <f t="shared" si="5"/>
        <v>-18838.542884615381</v>
      </c>
      <c r="H88" s="7">
        <f t="shared" si="5"/>
        <v>-18277.314307692304</v>
      </c>
      <c r="I88" s="7">
        <f t="shared" si="5"/>
        <v>-17052.914307692303</v>
      </c>
      <c r="J88" s="7">
        <f t="shared" si="5"/>
        <v>-20930.223972307693</v>
      </c>
      <c r="K88" s="7">
        <f t="shared" si="5"/>
        <v>1239.2840221538499</v>
      </c>
      <c r="L88" s="7">
        <f t="shared" si="5"/>
        <v>1253.0280221538487</v>
      </c>
      <c r="M88" s="7">
        <f t="shared" si="5"/>
        <v>-1613.4775723076964</v>
      </c>
      <c r="N88" s="7">
        <f t="shared" si="5"/>
        <v>-5050.3863778461528</v>
      </c>
      <c r="O88" s="7">
        <f t="shared" si="5"/>
        <v>-13367.653577846155</v>
      </c>
      <c r="Q88" s="7">
        <f>IFERROR(+Q83-Q86, 0)</f>
        <v>-150472.22444138455</v>
      </c>
    </row>
    <row r="89" spans="1:17" ht="15" thickTop="1" x14ac:dyDescent="0.3">
      <c r="A89" s="5"/>
      <c r="B89" s="5"/>
      <c r="C89" s="5"/>
      <c r="D89" s="4">
        <f t="shared" ref="D89:O89" si="6">IFERROR(D88/D10, 0)</f>
        <v>0</v>
      </c>
      <c r="E89" s="4">
        <f t="shared" si="6"/>
        <v>-3.2515450581851586</v>
      </c>
      <c r="F89" s="4">
        <f t="shared" si="6"/>
        <v>-0.58797095305231184</v>
      </c>
      <c r="G89" s="4">
        <f t="shared" si="6"/>
        <v>-0.43064448244634546</v>
      </c>
      <c r="H89" s="4">
        <f t="shared" si="6"/>
        <v>-0.75209095167855755</v>
      </c>
      <c r="I89" s="4">
        <f t="shared" si="6"/>
        <v>-0.57188082456461664</v>
      </c>
      <c r="J89" s="4">
        <f t="shared" si="6"/>
        <v>-0.6860569021996753</v>
      </c>
      <c r="K89" s="4">
        <f t="shared" si="6"/>
        <v>1.4154510612351805E-2</v>
      </c>
      <c r="L89" s="4">
        <f t="shared" si="6"/>
        <v>1.4877680679084428E-2</v>
      </c>
      <c r="M89" s="4">
        <f t="shared" si="6"/>
        <v>-1.9280598110841932E-2</v>
      </c>
      <c r="N89" s="4">
        <f t="shared" si="6"/>
        <v>-8.4236283510068427E-2</v>
      </c>
      <c r="O89" s="4">
        <f t="shared" si="6"/>
        <v>-0.92901894348781389</v>
      </c>
      <c r="P89" s="18"/>
      <c r="Q89" s="4">
        <f>IFERROR(Q88/Q10, 0)</f>
        <v>-0.30243606354818875</v>
      </c>
    </row>
    <row r="90" spans="1:17" x14ac:dyDescent="0.3">
      <c r="A90" s="5"/>
      <c r="B90" s="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</row>
    <row r="91" spans="1:17" x14ac:dyDescent="0.3">
      <c r="A91" s="5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s="15" customFormat="1" ht="15" thickBot="1" x14ac:dyDescent="0.35">
      <c r="A92" s="6"/>
      <c r="B92" s="17" t="s">
        <v>294</v>
      </c>
      <c r="C92" s="17"/>
      <c r="D92" s="7">
        <f t="shared" ref="D92:O92" si="7">IFERROR(SUM(D88:D91), 0)</f>
        <v>-13284.030000000002</v>
      </c>
      <c r="E92" s="7">
        <f t="shared" si="7"/>
        <v>-26139.170722750488</v>
      </c>
      <c r="F92" s="7">
        <f t="shared" si="7"/>
        <v>-18414.662278645355</v>
      </c>
      <c r="G92" s="7">
        <f t="shared" si="7"/>
        <v>-18838.973529097828</v>
      </c>
      <c r="H92" s="7">
        <f t="shared" si="7"/>
        <v>-18278.066398643983</v>
      </c>
      <c r="I92" s="7">
        <f t="shared" si="7"/>
        <v>-17053.486188516868</v>
      </c>
      <c r="J92" s="7">
        <f t="shared" si="7"/>
        <v>-20930.910029209892</v>
      </c>
      <c r="K92" s="7">
        <f t="shared" si="7"/>
        <v>1239.2981766644623</v>
      </c>
      <c r="L92" s="7">
        <f t="shared" si="7"/>
        <v>1253.0428998345278</v>
      </c>
      <c r="M92" s="7">
        <f t="shared" si="7"/>
        <v>-1613.4968529058071</v>
      </c>
      <c r="N92" s="7">
        <f t="shared" si="7"/>
        <v>-5050.4706141296629</v>
      </c>
      <c r="O92" s="7">
        <f t="shared" si="7"/>
        <v>-13368.582596789644</v>
      </c>
      <c r="Q92" s="7">
        <f>IFERROR(SUM(Q88:Q91), 0)</f>
        <v>-150472.52687744811</v>
      </c>
    </row>
    <row r="93" spans="1:17" ht="15" thickTop="1" x14ac:dyDescent="0.3">
      <c r="A93" s="5"/>
      <c r="C93" s="5"/>
      <c r="D93" s="4">
        <f t="shared" ref="D93:O93" si="8">IFERROR(D92/D10, 0)</f>
        <v>0</v>
      </c>
      <c r="E93" s="4">
        <f t="shared" si="8"/>
        <v>-3.251949579839573</v>
      </c>
      <c r="F93" s="4">
        <f t="shared" si="8"/>
        <v>-0.58798972727011156</v>
      </c>
      <c r="G93" s="4">
        <f t="shared" si="8"/>
        <v>-0.43065432687387878</v>
      </c>
      <c r="H93" s="4">
        <f t="shared" si="8"/>
        <v>-0.75212189937634688</v>
      </c>
      <c r="I93" s="4">
        <f t="shared" si="8"/>
        <v>-0.5719000029684721</v>
      </c>
      <c r="J93" s="4">
        <f t="shared" si="8"/>
        <v>-0.68607938997016826</v>
      </c>
      <c r="K93" s="4">
        <f t="shared" si="8"/>
        <v>1.4154672278416318E-2</v>
      </c>
      <c r="L93" s="4">
        <f t="shared" si="8"/>
        <v>1.487785732747415E-2</v>
      </c>
      <c r="M93" s="4">
        <f t="shared" si="8"/>
        <v>-1.9280828508505893E-2</v>
      </c>
      <c r="N93" s="4">
        <f t="shared" si="8"/>
        <v>-8.4237688501870786E-2</v>
      </c>
      <c r="O93" s="4">
        <f t="shared" si="8"/>
        <v>-0.92908350801234574</v>
      </c>
      <c r="P93" s="18"/>
      <c r="Q93" s="4">
        <f>IFERROR(Q92/Q10, 0)</f>
        <v>-0.30243667141833142</v>
      </c>
    </row>
    <row r="94" spans="1:17" x14ac:dyDescent="0.3">
      <c r="A94" s="5"/>
      <c r="B94" s="30">
        <v>44462.678423958336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1"/>
    </row>
    <row r="95" spans="1:17" x14ac:dyDescent="0.3">
      <c r="A95" s="5"/>
      <c r="B95" s="31" t="s">
        <v>54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</row>
    <row r="96" spans="1:17" x14ac:dyDescent="0.3">
      <c r="A96" s="5"/>
      <c r="B96" s="2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  <row r="97" spans="4:17" x14ac:dyDescent="0.3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92D050"/>
    <outlinePr summaryBelow="0" summaryRight="0"/>
    <pageSetUpPr fitToPage="1"/>
  </sheetPr>
  <dimension ref="A2:R82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","411", " - ", "University Dining")</f>
        <v>Department 411 - University Dining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48551.94</v>
      </c>
      <c r="E17" s="13">
        <f>SUM(OSRRefE20x_0)</f>
        <v>41947.132430769241</v>
      </c>
      <c r="F17" s="13">
        <f>SUM(OSRRefE20x_1)</f>
        <v>41947.132430769241</v>
      </c>
      <c r="G17" s="13">
        <f>SUM(OSRRefE20x_2)</f>
        <v>48157.665538461544</v>
      </c>
      <c r="H17" s="13">
        <f>SUM(OSRRefE20x_3)</f>
        <v>41947.132430769241</v>
      </c>
      <c r="I17" s="13">
        <f>SUM(OSRRefE20x_4)</f>
        <v>42447.132430769241</v>
      </c>
      <c r="J17" s="13">
        <f>SUM(OSRRefE20x_5)</f>
        <v>55882.665538461544</v>
      </c>
      <c r="K17" s="13">
        <f>SUM(OSRRefE20x_6)</f>
        <v>41947.132430769241</v>
      </c>
      <c r="L17" s="13">
        <f>SUM(OSRRefE20x_7)</f>
        <v>44372.132430769241</v>
      </c>
      <c r="M17" s="13">
        <f>SUM(OSRRefE20x_8)</f>
        <v>47582.665538461544</v>
      </c>
      <c r="N17" s="13">
        <f>SUM(OSRRefE20x_9)</f>
        <v>41372.132430769241</v>
      </c>
      <c r="O17" s="13">
        <f>SUM(OSRRefE20x_10)</f>
        <v>41372.132430769241</v>
      </c>
      <c r="Q17" s="13">
        <f>SUM(OSRRefG20x)</f>
        <v>537526.99606153846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8985.31</v>
      </c>
      <c r="E18" s="1">
        <f>SUM(OSRRefE21_0x_0)</f>
        <v>8483.2093538461559</v>
      </c>
      <c r="F18" s="1">
        <f>SUM(OSRRefE21_0x_1)</f>
        <v>8483.2093538461559</v>
      </c>
      <c r="G18" s="1">
        <f>SUM(OSRRefE21_0x_2)</f>
        <v>9825.5116923077076</v>
      </c>
      <c r="H18" s="1">
        <f>SUM(OSRRefE21_0x_3)</f>
        <v>8483.2093538461559</v>
      </c>
      <c r="I18" s="1">
        <f>SUM(OSRRefE21_0x_4)</f>
        <v>8483.2093538461559</v>
      </c>
      <c r="J18" s="1">
        <f>SUM(OSRRefE21_0x_5)</f>
        <v>9825.5116923077076</v>
      </c>
      <c r="K18" s="1">
        <f>SUM(OSRRefE21_0x_6)</f>
        <v>8483.2093538461559</v>
      </c>
      <c r="L18" s="1">
        <f>SUM(OSRRefE21_0x_7)</f>
        <v>8483.2093538461559</v>
      </c>
      <c r="M18" s="1">
        <f>SUM(OSRRefE21_0x_8)</f>
        <v>9825.5116923077076</v>
      </c>
      <c r="N18" s="1">
        <f>SUM(OSRRefE21_0x_9)</f>
        <v>8483.2093538461559</v>
      </c>
      <c r="O18" s="1">
        <f>SUM(OSRRefE21_0x_10)</f>
        <v>8483.2093538461559</v>
      </c>
      <c r="Q18" s="2">
        <f>SUM(OSRRefD20_0x)+IFERROR(SUM(OSRRefE20_0x),0)</f>
        <v>106327.51990769236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1317.1</v>
      </c>
      <c r="E19" s="2">
        <v>1358.2308923076901</v>
      </c>
      <c r="F19" s="2">
        <v>1358.2308923076901</v>
      </c>
      <c r="G19" s="2">
        <v>1697.78861538462</v>
      </c>
      <c r="H19" s="2">
        <v>1358.2308923076901</v>
      </c>
      <c r="I19" s="2">
        <v>1358.2308923076901</v>
      </c>
      <c r="J19" s="2">
        <v>1697.78861538462</v>
      </c>
      <c r="K19" s="2">
        <v>1358.2308923076901</v>
      </c>
      <c r="L19" s="2">
        <v>1358.2308923076901</v>
      </c>
      <c r="M19" s="2">
        <v>1697.78861538462</v>
      </c>
      <c r="N19" s="2">
        <v>1358.2308923076901</v>
      </c>
      <c r="O19" s="2">
        <v>1358.2308923076901</v>
      </c>
      <c r="P19" s="9"/>
      <c r="Q19" s="2">
        <f>SUM(OSRRefD21_0_0x)+IFERROR(SUM(OSRRefE21_0_0x),0)</f>
        <v>17276.312984615382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222.1</v>
      </c>
      <c r="E20" s="2">
        <v>672.63753846153895</v>
      </c>
      <c r="F20" s="2">
        <v>672.63753846153895</v>
      </c>
      <c r="G20" s="2">
        <v>840.79692307692505</v>
      </c>
      <c r="H20" s="2">
        <v>672.63753846153895</v>
      </c>
      <c r="I20" s="2">
        <v>672.63753846153895</v>
      </c>
      <c r="J20" s="2">
        <v>840.79692307692505</v>
      </c>
      <c r="K20" s="2">
        <v>672.63753846153895</v>
      </c>
      <c r="L20" s="2">
        <v>672.63753846153895</v>
      </c>
      <c r="M20" s="2">
        <v>840.79692307692505</v>
      </c>
      <c r="N20" s="2">
        <v>672.63753846153895</v>
      </c>
      <c r="O20" s="2">
        <v>672.63753846153895</v>
      </c>
      <c r="P20" s="9"/>
      <c r="Q20" s="2">
        <f>SUM(OSRRefD21_0_1x)+IFERROR(SUM(OSRRefE21_0_1x),0)</f>
        <v>8125.591076923085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3318.36</v>
      </c>
      <c r="E21" s="2">
        <v>2764</v>
      </c>
      <c r="F21" s="2">
        <v>2764</v>
      </c>
      <c r="G21" s="2">
        <v>2764</v>
      </c>
      <c r="H21" s="2">
        <v>2764</v>
      </c>
      <c r="I21" s="2">
        <v>2764</v>
      </c>
      <c r="J21" s="2">
        <v>2764</v>
      </c>
      <c r="K21" s="2">
        <v>2764</v>
      </c>
      <c r="L21" s="2">
        <v>2764</v>
      </c>
      <c r="M21" s="2">
        <v>2764</v>
      </c>
      <c r="N21" s="2">
        <v>2764</v>
      </c>
      <c r="O21" s="2">
        <v>2764</v>
      </c>
      <c r="P21" s="9"/>
      <c r="Q21" s="2">
        <f>SUM(OSRRefD21_0_2x)+IFERROR(SUM(OSRRefE21_0_2x),0)</f>
        <v>33722.36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44.76</v>
      </c>
      <c r="E22" s="2">
        <v>37.270153846153903</v>
      </c>
      <c r="F22" s="2">
        <v>37.270153846153903</v>
      </c>
      <c r="G22" s="2">
        <v>46.5876923076924</v>
      </c>
      <c r="H22" s="2">
        <v>37.270153846153903</v>
      </c>
      <c r="I22" s="2">
        <v>37.270153846153903</v>
      </c>
      <c r="J22" s="2">
        <v>46.5876923076924</v>
      </c>
      <c r="K22" s="2">
        <v>37.270153846153903</v>
      </c>
      <c r="L22" s="2">
        <v>37.270153846153903</v>
      </c>
      <c r="M22" s="2">
        <v>46.5876923076924</v>
      </c>
      <c r="N22" s="2">
        <v>37.270153846153903</v>
      </c>
      <c r="O22" s="2">
        <v>37.270153846153903</v>
      </c>
      <c r="P22" s="9"/>
      <c r="Q22" s="2">
        <f>SUM(OSRRefD21_0_3x)+IFERROR(SUM(OSRRefE21_0_3x),0)</f>
        <v>482.68430769230844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1873.21</v>
      </c>
      <c r="E23" s="2">
        <v>1526.3015384615401</v>
      </c>
      <c r="F23" s="2">
        <v>1526.3015384615401</v>
      </c>
      <c r="G23" s="2">
        <v>1907.8769230769301</v>
      </c>
      <c r="H23" s="2">
        <v>1526.3015384615401</v>
      </c>
      <c r="I23" s="2">
        <v>1526.3015384615401</v>
      </c>
      <c r="J23" s="2">
        <v>1907.8769230769301</v>
      </c>
      <c r="K23" s="2">
        <v>1526.3015384615401</v>
      </c>
      <c r="L23" s="2">
        <v>1526.3015384615401</v>
      </c>
      <c r="M23" s="2">
        <v>1907.8769230769301</v>
      </c>
      <c r="N23" s="2">
        <v>1526.3015384615401</v>
      </c>
      <c r="O23" s="2">
        <v>1526.3015384615401</v>
      </c>
      <c r="P23" s="9"/>
      <c r="Q23" s="2">
        <f>SUM(OSRRefD21_0_4x)+IFERROR(SUM(OSRRefE21_0_4x),0)</f>
        <v>19807.253076923109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1518.94</v>
      </c>
      <c r="E25" s="2">
        <v>1648</v>
      </c>
      <c r="F25" s="2">
        <v>1648</v>
      </c>
      <c r="G25" s="2">
        <v>2060</v>
      </c>
      <c r="H25" s="2">
        <v>1648</v>
      </c>
      <c r="I25" s="2">
        <v>1648</v>
      </c>
      <c r="J25" s="2">
        <v>2060</v>
      </c>
      <c r="K25" s="2">
        <v>1648</v>
      </c>
      <c r="L25" s="2">
        <v>1648</v>
      </c>
      <c r="M25" s="2">
        <v>2060</v>
      </c>
      <c r="N25" s="2">
        <v>1648</v>
      </c>
      <c r="O25" s="2">
        <v>1648</v>
      </c>
      <c r="P25" s="9"/>
      <c r="Q25" s="2">
        <f>SUM(OSRRefD21_0_6x)+IFERROR(SUM(OSRRefE21_0_6x),0)</f>
        <v>20882.939999999999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510.58</v>
      </c>
      <c r="E26" s="2">
        <v>126.769230769231</v>
      </c>
      <c r="F26" s="2">
        <v>126.769230769231</v>
      </c>
      <c r="G26" s="2">
        <v>158.46153846153899</v>
      </c>
      <c r="H26" s="2">
        <v>126.769230769231</v>
      </c>
      <c r="I26" s="2">
        <v>126.769230769231</v>
      </c>
      <c r="J26" s="2">
        <v>158.46153846153899</v>
      </c>
      <c r="K26" s="2">
        <v>126.769230769231</v>
      </c>
      <c r="L26" s="2">
        <v>126.769230769231</v>
      </c>
      <c r="M26" s="2">
        <v>158.46153846153899</v>
      </c>
      <c r="N26" s="2">
        <v>126.769230769231</v>
      </c>
      <c r="O26" s="2">
        <v>126.769230769231</v>
      </c>
      <c r="P26" s="9"/>
      <c r="Q26" s="2">
        <f>SUM(OSRRefD21_0_7x)+IFERROR(SUM(OSRRefE21_0_7x),0)</f>
        <v>2000.1184615384648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180.26</v>
      </c>
      <c r="E27" s="2">
        <v>350</v>
      </c>
      <c r="F27" s="2">
        <v>350</v>
      </c>
      <c r="G27" s="2">
        <v>350</v>
      </c>
      <c r="H27" s="2">
        <v>350</v>
      </c>
      <c r="I27" s="2">
        <v>350</v>
      </c>
      <c r="J27" s="2">
        <v>350</v>
      </c>
      <c r="K27" s="2">
        <v>350</v>
      </c>
      <c r="L27" s="2">
        <v>350</v>
      </c>
      <c r="M27" s="2">
        <v>350</v>
      </c>
      <c r="N27" s="2">
        <v>350</v>
      </c>
      <c r="O27" s="2">
        <v>350</v>
      </c>
      <c r="P27" s="9"/>
      <c r="Q27" s="2">
        <f>SUM(OSRRefD21_0_8x)+IFERROR(SUM(OSRRefE21_0_8x),0)</f>
        <v>4030.26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21520.959999999999</v>
      </c>
      <c r="E28" s="1">
        <f>SUM(OSRRefE21_1x_0)</f>
        <v>15972.923076923082</v>
      </c>
      <c r="F28" s="1">
        <f>SUM(OSRRefE21_1x_1)</f>
        <v>15972.923076923082</v>
      </c>
      <c r="G28" s="1">
        <f>SUM(OSRRefE21_1x_2)</f>
        <v>19966.15384615384</v>
      </c>
      <c r="H28" s="1">
        <f>SUM(OSRRefE21_1x_3)</f>
        <v>15972.923076923082</v>
      </c>
      <c r="I28" s="1">
        <f>SUM(OSRRefE21_1x_4)</f>
        <v>15972.923076923082</v>
      </c>
      <c r="J28" s="1">
        <f>SUM(OSRRefE21_1x_5)</f>
        <v>19966.15384615384</v>
      </c>
      <c r="K28" s="1">
        <f>SUM(OSRRefE21_1x_6)</f>
        <v>15972.923076923082</v>
      </c>
      <c r="L28" s="1">
        <f>SUM(OSRRefE21_1x_7)</f>
        <v>15972.923076923082</v>
      </c>
      <c r="M28" s="1">
        <f>SUM(OSRRefE21_1x_8)</f>
        <v>19966.15384615384</v>
      </c>
      <c r="N28" s="1">
        <f>SUM(OSRRefE21_1x_9)</f>
        <v>15972.923076923082</v>
      </c>
      <c r="O28" s="1">
        <f>SUM(OSRRefE21_1x_10)</f>
        <v>15972.923076923082</v>
      </c>
      <c r="Q28" s="2">
        <f>SUM(OSRRefD20_1x)+IFERROR(SUM(OSRRefE20_1x),0)</f>
        <v>209202.80615384618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>
        <v>13836.28</v>
      </c>
      <c r="E29" s="2">
        <v>10268.307692307701</v>
      </c>
      <c r="F29" s="2">
        <v>10268.307692307701</v>
      </c>
      <c r="G29" s="2">
        <v>12835.384615384601</v>
      </c>
      <c r="H29" s="2">
        <v>10268.307692307701</v>
      </c>
      <c r="I29" s="2">
        <v>10268.307692307701</v>
      </c>
      <c r="J29" s="2">
        <v>12835.384615384601</v>
      </c>
      <c r="K29" s="2">
        <v>10268.307692307701</v>
      </c>
      <c r="L29" s="2">
        <v>10268.307692307701</v>
      </c>
      <c r="M29" s="2">
        <v>12835.384615384601</v>
      </c>
      <c r="N29" s="2">
        <v>10268.307692307701</v>
      </c>
      <c r="O29" s="2">
        <v>10268.307692307701</v>
      </c>
      <c r="P29" s="9"/>
      <c r="Q29" s="2">
        <f>SUM(OSRRefD21_1_0x)+IFERROR(SUM(OSRRefE21_1_0x),0)</f>
        <v>134488.8953846154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>
        <v>7684.68</v>
      </c>
      <c r="E30" s="2">
        <v>5704.6153846153802</v>
      </c>
      <c r="F30" s="2">
        <v>5704.6153846153802</v>
      </c>
      <c r="G30" s="2">
        <v>7130.7692307692396</v>
      </c>
      <c r="H30" s="2">
        <v>5704.6153846153802</v>
      </c>
      <c r="I30" s="2">
        <v>5704.6153846153802</v>
      </c>
      <c r="J30" s="2">
        <v>7130.7692307692396</v>
      </c>
      <c r="K30" s="2">
        <v>5704.6153846153802</v>
      </c>
      <c r="L30" s="2">
        <v>5704.6153846153802</v>
      </c>
      <c r="M30" s="2">
        <v>7130.7692307692396</v>
      </c>
      <c r="N30" s="2">
        <v>5704.6153846153802</v>
      </c>
      <c r="O30" s="2">
        <v>5704.6153846153802</v>
      </c>
      <c r="P30" s="9"/>
      <c r="Q30" s="2">
        <f>SUM(OSRRefD21_1_1x)+IFERROR(SUM(OSRRefE21_1_1x),0)</f>
        <v>74713.910769230773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SUM(OSRRefD21_1_3x)+IFERROR(SUM(OSRRefE21_1_3x),0)</f>
        <v>0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SUM(OSRRefD21_1_6x)+IFERROR(SUM(OSRRefE21_1_6x),0)</f>
        <v>0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SUM(OSRRefD21_1_7x)+IFERROR(SUM(OSRRefE21_1_7x),0)</f>
        <v>0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","Bank/card Fees                                    ")</f>
        <v xml:space="preserve">     Bank/card Fees                                    </v>
      </c>
      <c r="C39" s="14"/>
      <c r="D39" s="1">
        <f>SUM(OSRRefD21_2x_0)</f>
        <v>242.91</v>
      </c>
      <c r="E39" s="1">
        <f>SUM(OSRRefE21_2x_0)</f>
        <v>839</v>
      </c>
      <c r="F39" s="1">
        <f>SUM(OSRRefE21_2x_1)</f>
        <v>839</v>
      </c>
      <c r="G39" s="1">
        <f>SUM(OSRRefE21_2x_2)</f>
        <v>839</v>
      </c>
      <c r="H39" s="1">
        <f>SUM(OSRRefE21_2x_3)</f>
        <v>839</v>
      </c>
      <c r="I39" s="1">
        <f>SUM(OSRRefE21_2x_4)</f>
        <v>839</v>
      </c>
      <c r="J39" s="1">
        <f>SUM(OSRRefE21_2x_5)</f>
        <v>839</v>
      </c>
      <c r="K39" s="1">
        <f>SUM(OSRRefE21_2x_6)</f>
        <v>839</v>
      </c>
      <c r="L39" s="1">
        <f>SUM(OSRRefE21_2x_7)</f>
        <v>839</v>
      </c>
      <c r="M39" s="1">
        <f>SUM(OSRRefE21_2x_8)</f>
        <v>839</v>
      </c>
      <c r="N39" s="1">
        <f>SUM(OSRRefE21_2x_9)</f>
        <v>839</v>
      </c>
      <c r="O39" s="1">
        <f>SUM(OSRRefE21_2x_10)</f>
        <v>839</v>
      </c>
      <c r="Q39" s="2">
        <f>SUM(OSRRefD20_2x)+IFERROR(SUM(OSRRefE20_2x),0)</f>
        <v>9471.91</v>
      </c>
    </row>
    <row r="40" spans="1:17" s="34" customFormat="1" hidden="1" outlineLevel="1" x14ac:dyDescent="0.3">
      <c r="A40" s="35"/>
      <c r="B40" s="10" t="str">
        <f>CONCATENATE("          ","6381", " - ","BANK/CREDIT CARD FEES")</f>
        <v xml:space="preserve">          6381 - BANK/CREDIT CARD FEES</v>
      </c>
      <c r="C40" s="14"/>
      <c r="D40" s="2">
        <v>242.91</v>
      </c>
      <c r="E40" s="2">
        <v>839</v>
      </c>
      <c r="F40" s="2">
        <v>839</v>
      </c>
      <c r="G40" s="2">
        <v>839</v>
      </c>
      <c r="H40" s="2">
        <v>839</v>
      </c>
      <c r="I40" s="2">
        <v>839</v>
      </c>
      <c r="J40" s="2">
        <v>839</v>
      </c>
      <c r="K40" s="2">
        <v>839</v>
      </c>
      <c r="L40" s="2">
        <v>839</v>
      </c>
      <c r="M40" s="2">
        <v>839</v>
      </c>
      <c r="N40" s="2">
        <v>839</v>
      </c>
      <c r="O40" s="2">
        <v>839</v>
      </c>
      <c r="P40" s="9"/>
      <c r="Q40" s="2">
        <f>SUM(OSRRefD21_2_0x)+IFERROR(SUM(OSRRefE21_2_0x),0)</f>
        <v>9471.91</v>
      </c>
    </row>
    <row r="41" spans="1:17" s="34" customFormat="1" collapsed="1" x14ac:dyDescent="0.3">
      <c r="A41" s="35"/>
      <c r="B41" s="14" t="str">
        <f>CONCATENATE("     ","Depreciation                                      ")</f>
        <v xml:space="preserve">     Depreciation                                      </v>
      </c>
      <c r="C41" s="14"/>
      <c r="D41" s="1">
        <f>SUM(OSRRefD21_3x_0)</f>
        <v>5331.53</v>
      </c>
      <c r="E41" s="1">
        <f>SUM(OSRRefE21_3x_0)</f>
        <v>5332</v>
      </c>
      <c r="F41" s="1">
        <f>SUM(OSRRefE21_3x_1)</f>
        <v>5332</v>
      </c>
      <c r="G41" s="1">
        <f>SUM(OSRRefE21_3x_2)</f>
        <v>5332</v>
      </c>
      <c r="H41" s="1">
        <f>SUM(OSRRefE21_3x_3)</f>
        <v>5332</v>
      </c>
      <c r="I41" s="1">
        <f>SUM(OSRRefE21_3x_4)</f>
        <v>5332</v>
      </c>
      <c r="J41" s="1">
        <f>SUM(OSRRefE21_3x_5)</f>
        <v>5332</v>
      </c>
      <c r="K41" s="1">
        <f>SUM(OSRRefE21_3x_6)</f>
        <v>5332</v>
      </c>
      <c r="L41" s="1">
        <f>SUM(OSRRefE21_3x_7)</f>
        <v>4757</v>
      </c>
      <c r="M41" s="1">
        <f>SUM(OSRRefE21_3x_8)</f>
        <v>4757</v>
      </c>
      <c r="N41" s="1">
        <f>SUM(OSRRefE21_3x_9)</f>
        <v>4757</v>
      </c>
      <c r="O41" s="1">
        <f>SUM(OSRRefE21_3x_10)</f>
        <v>4757</v>
      </c>
      <c r="Q41" s="2">
        <f>SUM(OSRRefD20_3x)+IFERROR(SUM(OSRRefE20_3x),0)</f>
        <v>61683.53</v>
      </c>
    </row>
    <row r="42" spans="1:17" s="34" customFormat="1" hidden="1" outlineLevel="1" x14ac:dyDescent="0.3">
      <c r="A42" s="35"/>
      <c r="B42" s="10" t="str">
        <f>CONCATENATE("          ","6321", " - ","BUILDING DEPRECIATION")</f>
        <v xml:space="preserve">          6321 - BUILDING DEPRECIATION</v>
      </c>
      <c r="C42" s="14"/>
      <c r="D42" s="2">
        <v>1822.68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2">
        <f>SUM(OSRRefD21_3_0x)+IFERROR(SUM(OSRRefE21_3_0x),0)</f>
        <v>1822.68</v>
      </c>
    </row>
    <row r="43" spans="1:17" s="34" customFormat="1" hidden="1" outlineLevel="1" x14ac:dyDescent="0.3">
      <c r="A43" s="35"/>
      <c r="B43" s="10" t="str">
        <f>CONCATENATE("          ","6322", " - ","EQUIPMENT DEPRECIATION EXPENSE")</f>
        <v xml:space="preserve">          6322 - EQUIPMENT DEPRECIATION EXPENSE</v>
      </c>
      <c r="C43" s="14"/>
      <c r="D43" s="2">
        <v>3508.85</v>
      </c>
      <c r="E43" s="2">
        <v>5332</v>
      </c>
      <c r="F43" s="2">
        <v>5332</v>
      </c>
      <c r="G43" s="2">
        <v>5332</v>
      </c>
      <c r="H43" s="2">
        <v>5332</v>
      </c>
      <c r="I43" s="2">
        <v>5332</v>
      </c>
      <c r="J43" s="2">
        <v>5332</v>
      </c>
      <c r="K43" s="2">
        <v>5332</v>
      </c>
      <c r="L43" s="2">
        <v>4757</v>
      </c>
      <c r="M43" s="2">
        <v>4757</v>
      </c>
      <c r="N43" s="2">
        <v>4757</v>
      </c>
      <c r="O43" s="2">
        <v>4757</v>
      </c>
      <c r="P43" s="9"/>
      <c r="Q43" s="2">
        <f>SUM(OSRRefD21_3_1x)+IFERROR(SUM(OSRRefE21_3_1x),0)</f>
        <v>59860.85</v>
      </c>
    </row>
    <row r="44" spans="1:17" s="34" customFormat="1" collapsed="1" x14ac:dyDescent="0.3">
      <c r="A44" s="35"/>
      <c r="B44" s="14" t="str">
        <f>CONCATENATE("     ","Equipment Rental                                  ")</f>
        <v xml:space="preserve">     Equipment Rental                                  </v>
      </c>
      <c r="C44" s="14"/>
      <c r="D44" s="1">
        <f>SUM(OSRRefD21_4x_0)</f>
        <v>91.26</v>
      </c>
      <c r="E44" s="1">
        <f>SUM(OSRRefE21_4x_0)</f>
        <v>300</v>
      </c>
      <c r="F44" s="1">
        <f>SUM(OSRRefE21_4x_1)</f>
        <v>300</v>
      </c>
      <c r="G44" s="1">
        <f>SUM(OSRRefE21_4x_2)</f>
        <v>300</v>
      </c>
      <c r="H44" s="1">
        <f>SUM(OSRRefE21_4x_3)</f>
        <v>300</v>
      </c>
      <c r="I44" s="1">
        <f>SUM(OSRRefE21_4x_4)</f>
        <v>300</v>
      </c>
      <c r="J44" s="1">
        <f>SUM(OSRRefE21_4x_5)</f>
        <v>300</v>
      </c>
      <c r="K44" s="1">
        <f>SUM(OSRRefE21_4x_6)</f>
        <v>300</v>
      </c>
      <c r="L44" s="1">
        <f>SUM(OSRRefE21_4x_7)</f>
        <v>300</v>
      </c>
      <c r="M44" s="1">
        <f>SUM(OSRRefE21_4x_8)</f>
        <v>300</v>
      </c>
      <c r="N44" s="1">
        <f>SUM(OSRRefE21_4x_9)</f>
        <v>300</v>
      </c>
      <c r="O44" s="1">
        <f>SUM(OSRRefE21_4x_10)</f>
        <v>300</v>
      </c>
      <c r="Q44" s="2">
        <f>SUM(OSRRefD20_4x)+IFERROR(SUM(OSRRefE20_4x),0)</f>
        <v>3391.26</v>
      </c>
    </row>
    <row r="45" spans="1:17" s="34" customFormat="1" hidden="1" outlineLevel="1" x14ac:dyDescent="0.3">
      <c r="A45" s="35"/>
      <c r="B45" s="10" t="str">
        <f>CONCATENATE("          ","6351", " - ","EQUIPMENT RENTAL")</f>
        <v xml:space="preserve">          6351 - EQUIPMENT RENTAL</v>
      </c>
      <c r="C45" s="14"/>
      <c r="D45" s="2">
        <v>91.26</v>
      </c>
      <c r="E45" s="2">
        <v>300</v>
      </c>
      <c r="F45" s="2">
        <v>300</v>
      </c>
      <c r="G45" s="2">
        <v>300</v>
      </c>
      <c r="H45" s="2">
        <v>300</v>
      </c>
      <c r="I45" s="2">
        <v>300</v>
      </c>
      <c r="J45" s="2">
        <v>300</v>
      </c>
      <c r="K45" s="2">
        <v>300</v>
      </c>
      <c r="L45" s="2">
        <v>300</v>
      </c>
      <c r="M45" s="2">
        <v>300</v>
      </c>
      <c r="N45" s="2">
        <v>300</v>
      </c>
      <c r="O45" s="2">
        <v>300</v>
      </c>
      <c r="P45" s="9"/>
      <c r="Q45" s="2">
        <f>SUM(OSRRefD21_4_0x)+IFERROR(SUM(OSRRefE21_4_0x),0)</f>
        <v>3391.26</v>
      </c>
    </row>
    <row r="46" spans="1:17" s="34" customFormat="1" collapsed="1" x14ac:dyDescent="0.3">
      <c r="A46" s="35"/>
      <c r="B46" s="14" t="str">
        <f>CONCATENATE("     ","General                                           ")</f>
        <v xml:space="preserve">     General                                           </v>
      </c>
      <c r="C46" s="14"/>
      <c r="D46" s="1">
        <f>SUM(OSRRefD21_5x_0)</f>
        <v>122.51</v>
      </c>
      <c r="E46" s="1">
        <f>SUM(OSRRefE21_5x_0)</f>
        <v>0</v>
      </c>
      <c r="F46" s="1">
        <f>SUM(OSRRefE21_5x_1)</f>
        <v>0</v>
      </c>
      <c r="G46" s="1">
        <f>SUM(OSRRefE21_5x_2)</f>
        <v>0</v>
      </c>
      <c r="H46" s="1">
        <f>SUM(OSRRefE21_5x_3)</f>
        <v>0</v>
      </c>
      <c r="I46" s="1">
        <f>SUM(OSRRefE21_5x_4)</f>
        <v>500</v>
      </c>
      <c r="J46" s="1">
        <f>SUM(OSRRefE21_5x_5)</f>
        <v>0</v>
      </c>
      <c r="K46" s="1">
        <f>SUM(OSRRefE21_5x_6)</f>
        <v>0</v>
      </c>
      <c r="L46" s="1">
        <f>SUM(OSRRefE21_5x_7)</f>
        <v>0</v>
      </c>
      <c r="M46" s="1">
        <f>SUM(OSRRefE21_5x_8)</f>
        <v>0</v>
      </c>
      <c r="N46" s="1">
        <f>SUM(OSRRefE21_5x_9)</f>
        <v>0</v>
      </c>
      <c r="O46" s="1">
        <f>SUM(OSRRefE21_5x_10)</f>
        <v>0</v>
      </c>
      <c r="Q46" s="2">
        <f>SUM(OSRRefD20_5x)+IFERROR(SUM(OSRRefE20_5x),0)</f>
        <v>622.51</v>
      </c>
    </row>
    <row r="47" spans="1:17" s="34" customFormat="1" hidden="1" outlineLevel="1" x14ac:dyDescent="0.3">
      <c r="A47" s="35"/>
      <c r="B47" s="10" t="str">
        <f>CONCATENATE("          ","6279", " - ","GENERAL EXPENSE")</f>
        <v xml:space="preserve">          6279 - GENERAL EXPENSE</v>
      </c>
      <c r="C47" s="14"/>
      <c r="D47" s="2">
        <v>122.51</v>
      </c>
      <c r="E47" s="2"/>
      <c r="F47" s="2"/>
      <c r="G47" s="2"/>
      <c r="H47" s="2"/>
      <c r="I47" s="2">
        <v>500</v>
      </c>
      <c r="J47" s="2"/>
      <c r="K47" s="2"/>
      <c r="L47" s="2"/>
      <c r="M47" s="2"/>
      <c r="N47" s="2"/>
      <c r="O47" s="2"/>
      <c r="P47" s="9"/>
      <c r="Q47" s="2">
        <f>SUM(OSRRefD21_5_0x)+IFERROR(SUM(OSRRefE21_5_0x),0)</f>
        <v>622.51</v>
      </c>
    </row>
    <row r="48" spans="1:17" s="34" customFormat="1" collapsed="1" x14ac:dyDescent="0.3">
      <c r="A48" s="35"/>
      <c r="B48" s="14" t="str">
        <f>CONCATENATE("     ","Insurance                                         ")</f>
        <v xml:space="preserve">     Insurance                                         </v>
      </c>
      <c r="C48" s="14"/>
      <c r="D48" s="1">
        <f>SUM(OSRRefD21_6x_0)</f>
        <v>4884.6000000000004</v>
      </c>
      <c r="E48" s="1">
        <f>SUM(OSRRefE21_6x_0)</f>
        <v>4820</v>
      </c>
      <c r="F48" s="1">
        <f>SUM(OSRRefE21_6x_1)</f>
        <v>4820</v>
      </c>
      <c r="G48" s="1">
        <f>SUM(OSRRefE21_6x_2)</f>
        <v>4820</v>
      </c>
      <c r="H48" s="1">
        <f>SUM(OSRRefE21_6x_3)</f>
        <v>4820</v>
      </c>
      <c r="I48" s="1">
        <f>SUM(OSRRefE21_6x_4)</f>
        <v>4820</v>
      </c>
      <c r="J48" s="1">
        <f>SUM(OSRRefE21_6x_5)</f>
        <v>4820</v>
      </c>
      <c r="K48" s="1">
        <f>SUM(OSRRefE21_6x_6)</f>
        <v>4820</v>
      </c>
      <c r="L48" s="1">
        <f>SUM(OSRRefE21_6x_7)</f>
        <v>4820</v>
      </c>
      <c r="M48" s="1">
        <f>SUM(OSRRefE21_6x_8)</f>
        <v>4820</v>
      </c>
      <c r="N48" s="1">
        <f>SUM(OSRRefE21_6x_9)</f>
        <v>4820</v>
      </c>
      <c r="O48" s="1">
        <f>SUM(OSRRefE21_6x_10)</f>
        <v>4820</v>
      </c>
      <c r="Q48" s="2">
        <f>SUM(OSRRefD20_6x)+IFERROR(SUM(OSRRefE20_6x),0)</f>
        <v>57904.6</v>
      </c>
    </row>
    <row r="49" spans="1:17" s="34" customFormat="1" hidden="1" outlineLevel="1" x14ac:dyDescent="0.3">
      <c r="A49" s="35"/>
      <c r="B49" s="10" t="str">
        <f>CONCATENATE("          ","6314", " - ","LIABILITY INSURANCE")</f>
        <v xml:space="preserve">          6314 - LIABILITY INSURANCE</v>
      </c>
      <c r="C49" s="14"/>
      <c r="D49" s="2">
        <v>4884.6000000000004</v>
      </c>
      <c r="E49" s="2">
        <v>4820</v>
      </c>
      <c r="F49" s="2">
        <v>4820</v>
      </c>
      <c r="G49" s="2">
        <v>4820</v>
      </c>
      <c r="H49" s="2">
        <v>4820</v>
      </c>
      <c r="I49" s="2">
        <v>4820</v>
      </c>
      <c r="J49" s="2">
        <v>4820</v>
      </c>
      <c r="K49" s="2">
        <v>4820</v>
      </c>
      <c r="L49" s="2">
        <v>4820</v>
      </c>
      <c r="M49" s="2">
        <v>4820</v>
      </c>
      <c r="N49" s="2">
        <v>4820</v>
      </c>
      <c r="O49" s="2">
        <v>4820</v>
      </c>
      <c r="P49" s="9"/>
      <c r="Q49" s="2">
        <f>SUM(OSRRefD21_6_0x)+IFERROR(SUM(OSRRefE21_6_0x),0)</f>
        <v>57904.6</v>
      </c>
    </row>
    <row r="50" spans="1:17" s="34" customFormat="1" collapsed="1" x14ac:dyDescent="0.3">
      <c r="A50" s="35"/>
      <c r="B50" s="14" t="str">
        <f>CONCATENATE("     ","Repair and Maintenance                            ")</f>
        <v xml:space="preserve">     Repair and Maintenance                            </v>
      </c>
      <c r="C50" s="14"/>
      <c r="D50" s="1">
        <f>SUM(OSRRefD21_7x_0)</f>
        <v>877.46</v>
      </c>
      <c r="E50" s="1">
        <f>SUM(OSRRefE21_7x_0)</f>
        <v>0</v>
      </c>
      <c r="F50" s="1">
        <f>SUM(OSRRefE21_7x_1)</f>
        <v>0</v>
      </c>
      <c r="G50" s="1">
        <f>SUM(OSRRefE21_7x_2)</f>
        <v>0</v>
      </c>
      <c r="H50" s="1">
        <f>SUM(OSRRefE21_7x_3)</f>
        <v>0</v>
      </c>
      <c r="I50" s="1">
        <f>SUM(OSRRefE21_7x_4)</f>
        <v>0</v>
      </c>
      <c r="J50" s="1">
        <f>SUM(OSRRefE21_7x_5)</f>
        <v>8000</v>
      </c>
      <c r="K50" s="1">
        <f>SUM(OSRRefE21_7x_6)</f>
        <v>0</v>
      </c>
      <c r="L50" s="1">
        <f>SUM(OSRRefE21_7x_7)</f>
        <v>0</v>
      </c>
      <c r="M50" s="1">
        <f>SUM(OSRRefE21_7x_8)</f>
        <v>0</v>
      </c>
      <c r="N50" s="1">
        <f>SUM(OSRRefE21_7x_9)</f>
        <v>0</v>
      </c>
      <c r="O50" s="1">
        <f>SUM(OSRRefE21_7x_10)</f>
        <v>0</v>
      </c>
      <c r="Q50" s="2">
        <f>SUM(OSRRefD20_7x)+IFERROR(SUM(OSRRefE20_7x),0)</f>
        <v>8877.4599999999991</v>
      </c>
    </row>
    <row r="51" spans="1:17" s="34" customFormat="1" hidden="1" outlineLevel="1" x14ac:dyDescent="0.3">
      <c r="A51" s="35"/>
      <c r="B51" s="10" t="str">
        <f>CONCATENATE("          ","6372", " - ","COMPUTER HARDWARE MAINTENANCE")</f>
        <v xml:space="preserve">          6372 - COMPUTER HARDWARE MAINTENANCE</v>
      </c>
      <c r="C51" s="14"/>
      <c r="D51" s="2"/>
      <c r="E51" s="2"/>
      <c r="F51" s="2"/>
      <c r="G51" s="2"/>
      <c r="H51" s="2"/>
      <c r="I51" s="2"/>
      <c r="J51" s="2">
        <v>8000</v>
      </c>
      <c r="K51" s="2"/>
      <c r="L51" s="2"/>
      <c r="M51" s="2"/>
      <c r="N51" s="2"/>
      <c r="O51" s="2"/>
      <c r="P51" s="9"/>
      <c r="Q51" s="2">
        <f>SUM(OSRRefD21_7_0x)+IFERROR(SUM(OSRRefE21_7_0x),0)</f>
        <v>8000</v>
      </c>
    </row>
    <row r="52" spans="1:17" s="34" customFormat="1" hidden="1" outlineLevel="1" x14ac:dyDescent="0.3">
      <c r="A52" s="35"/>
      <c r="B52" s="10" t="str">
        <f>CONCATENATE("          ","6373", " - ","MAINTENANCE CONTRACTS")</f>
        <v xml:space="preserve">          6373 - MAINTENANCE CONTRACTS</v>
      </c>
      <c r="C52" s="14"/>
      <c r="D52" s="2">
        <v>0.87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2">
        <f>SUM(OSRRefD21_7_1x)+IFERROR(SUM(OSRRefE21_7_1x),0)</f>
        <v>0.87</v>
      </c>
    </row>
    <row r="53" spans="1:17" s="34" customFormat="1" hidden="1" outlineLevel="1" x14ac:dyDescent="0.3">
      <c r="A53" s="35"/>
      <c r="B53" s="10" t="str">
        <f>CONCATENATE("          ","6375", " - ","OUTSIDE REPAIRS &amp; MAINTENANCE")</f>
        <v xml:space="preserve">          6375 - OUTSIDE REPAIRS &amp; MAINTENANCE</v>
      </c>
      <c r="C53" s="14"/>
      <c r="D53" s="2">
        <v>876.59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2">
        <f>SUM(OSRRefD21_7_2x)+IFERROR(SUM(OSRRefE21_7_2x),0)</f>
        <v>876.59</v>
      </c>
    </row>
    <row r="54" spans="1:17" s="34" customFormat="1" collapsed="1" x14ac:dyDescent="0.3">
      <c r="A54" s="35"/>
      <c r="B54" s="14" t="str">
        <f>CONCATENATE("     ","Services                                          ")</f>
        <v xml:space="preserve">     Services                                          </v>
      </c>
      <c r="C54" s="14"/>
      <c r="D54" s="1">
        <f>SUM(OSRRefD21_8x_0)</f>
        <v>670.1</v>
      </c>
      <c r="E54" s="1">
        <f>SUM(OSRRefE21_8x_0)</f>
        <v>650</v>
      </c>
      <c r="F54" s="1">
        <f>SUM(OSRRefE21_8x_1)</f>
        <v>650</v>
      </c>
      <c r="G54" s="1">
        <f>SUM(OSRRefE21_8x_2)</f>
        <v>1525</v>
      </c>
      <c r="H54" s="1">
        <f>SUM(OSRRefE21_8x_3)</f>
        <v>650</v>
      </c>
      <c r="I54" s="1">
        <f>SUM(OSRRefE21_8x_4)</f>
        <v>650</v>
      </c>
      <c r="J54" s="1">
        <f>SUM(OSRRefE21_8x_5)</f>
        <v>650</v>
      </c>
      <c r="K54" s="1">
        <f>SUM(OSRRefE21_8x_6)</f>
        <v>650</v>
      </c>
      <c r="L54" s="1">
        <f>SUM(OSRRefE21_8x_7)</f>
        <v>650</v>
      </c>
      <c r="M54" s="1">
        <f>SUM(OSRRefE21_8x_8)</f>
        <v>1525</v>
      </c>
      <c r="N54" s="1">
        <f>SUM(OSRRefE21_8x_9)</f>
        <v>650</v>
      </c>
      <c r="O54" s="1">
        <f>SUM(OSRRefE21_8x_10)</f>
        <v>650</v>
      </c>
      <c r="Q54" s="2">
        <f>SUM(OSRRefD20_8x)+IFERROR(SUM(OSRRefE20_8x),0)</f>
        <v>9570.1</v>
      </c>
    </row>
    <row r="55" spans="1:17" s="34" customFormat="1" hidden="1" outlineLevel="1" x14ac:dyDescent="0.3">
      <c r="A55" s="35"/>
      <c r="B55" s="10" t="str">
        <f>CONCATENATE("          ","6282", " - ","JANITORIAL/EXTERMINATOR EXPENS")</f>
        <v xml:space="preserve">          6282 - JANITORIAL/EXTERMINATOR EXPENS</v>
      </c>
      <c r="C55" s="14"/>
      <c r="D55" s="2">
        <v>670.1</v>
      </c>
      <c r="E55" s="2">
        <v>650</v>
      </c>
      <c r="F55" s="2">
        <v>650</v>
      </c>
      <c r="G55" s="2">
        <v>650</v>
      </c>
      <c r="H55" s="2">
        <v>650</v>
      </c>
      <c r="I55" s="2">
        <v>650</v>
      </c>
      <c r="J55" s="2">
        <v>650</v>
      </c>
      <c r="K55" s="2">
        <v>650</v>
      </c>
      <c r="L55" s="2">
        <v>650</v>
      </c>
      <c r="M55" s="2">
        <v>650</v>
      </c>
      <c r="N55" s="2">
        <v>650</v>
      </c>
      <c r="O55" s="2">
        <v>650</v>
      </c>
      <c r="P55" s="9"/>
      <c r="Q55" s="2">
        <f>SUM(OSRRefD21_8_0x)+IFERROR(SUM(OSRRefE21_8_0x),0)</f>
        <v>7820.1</v>
      </c>
    </row>
    <row r="56" spans="1:17" s="34" customFormat="1" hidden="1" outlineLevel="1" x14ac:dyDescent="0.3">
      <c r="A56" s="35"/>
      <c r="B56" s="10" t="str">
        <f>CONCATENATE("          ","6285", " - ","JANITORIAL SERVICES")</f>
        <v xml:space="preserve">          6285 - JANITORIAL SERVICES</v>
      </c>
      <c r="C56" s="14"/>
      <c r="D56" s="2"/>
      <c r="E56" s="2"/>
      <c r="F56" s="2"/>
      <c r="G56" s="2">
        <v>875</v>
      </c>
      <c r="H56" s="2"/>
      <c r="I56" s="2"/>
      <c r="J56" s="2"/>
      <c r="K56" s="2"/>
      <c r="L56" s="2"/>
      <c r="M56" s="2">
        <v>875</v>
      </c>
      <c r="N56" s="2"/>
      <c r="O56" s="2"/>
      <c r="P56" s="9"/>
      <c r="Q56" s="2">
        <f>SUM(OSRRefD21_8_1x)+IFERROR(SUM(OSRRefE21_8_1x),0)</f>
        <v>1750</v>
      </c>
    </row>
    <row r="57" spans="1:17" s="34" customFormat="1" collapsed="1" x14ac:dyDescent="0.3">
      <c r="A57" s="35"/>
      <c r="B57" s="14" t="str">
        <f>CONCATENATE("     ","Supplies                                          ")</f>
        <v xml:space="preserve">     Supplies                                          </v>
      </c>
      <c r="C57" s="14"/>
      <c r="D57" s="1">
        <f>SUM(OSRRefD21_9x_0)</f>
        <v>155.75</v>
      </c>
      <c r="E57" s="1">
        <f>SUM(OSRRefE21_9x_0)</f>
        <v>0</v>
      </c>
      <c r="F57" s="1">
        <f>SUM(OSRRefE21_9x_1)</f>
        <v>0</v>
      </c>
      <c r="G57" s="1">
        <f>SUM(OSRRefE21_9x_2)</f>
        <v>0</v>
      </c>
      <c r="H57" s="1">
        <f>SUM(OSRRefE21_9x_3)</f>
        <v>0</v>
      </c>
      <c r="I57" s="1">
        <f>SUM(OSRRefE21_9x_4)</f>
        <v>0</v>
      </c>
      <c r="J57" s="1">
        <f>SUM(OSRRefE21_9x_5)</f>
        <v>0</v>
      </c>
      <c r="K57" s="1">
        <f>SUM(OSRRefE21_9x_6)</f>
        <v>0</v>
      </c>
      <c r="L57" s="1">
        <f>SUM(OSRRefE21_9x_7)</f>
        <v>0</v>
      </c>
      <c r="M57" s="1">
        <f>SUM(OSRRefE21_9x_8)</f>
        <v>0</v>
      </c>
      <c r="N57" s="1">
        <f>SUM(OSRRefE21_9x_9)</f>
        <v>0</v>
      </c>
      <c r="O57" s="1">
        <f>SUM(OSRRefE21_9x_10)</f>
        <v>0</v>
      </c>
      <c r="Q57" s="2">
        <f>SUM(OSRRefD20_9x)+IFERROR(SUM(OSRRefE20_9x),0)</f>
        <v>155.75</v>
      </c>
    </row>
    <row r="58" spans="1:17" s="34" customFormat="1" hidden="1" outlineLevel="1" x14ac:dyDescent="0.3">
      <c r="A58" s="35"/>
      <c r="B58" s="10" t="str">
        <f>CONCATENATE("          ","6241", " - ","OFFICE EXPENSE")</f>
        <v xml:space="preserve">          6241 - OFFICE EXPENSE</v>
      </c>
      <c r="C58" s="14"/>
      <c r="D58" s="2">
        <v>155.75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2">
        <f>SUM(OSRRefD21_9_0x)+IFERROR(SUM(OSRRefE21_9_0x),0)</f>
        <v>155.75</v>
      </c>
    </row>
    <row r="59" spans="1:17" s="34" customFormat="1" collapsed="1" x14ac:dyDescent="0.3">
      <c r="A59" s="35"/>
      <c r="B59" s="14" t="str">
        <f>CONCATENATE("     ","Telephone/Data Lines                              ")</f>
        <v xml:space="preserve">     Telephone/Data Lines                              </v>
      </c>
      <c r="C59" s="14"/>
      <c r="D59" s="1">
        <f>SUM(OSRRefD21_10x_0)</f>
        <v>119.55</v>
      </c>
      <c r="E59" s="1">
        <f>SUM(OSRRefE21_10x_0)</f>
        <v>0</v>
      </c>
      <c r="F59" s="1">
        <f>SUM(OSRRefE21_10x_1)</f>
        <v>0</v>
      </c>
      <c r="G59" s="1">
        <f>SUM(OSRRefE21_10x_2)</f>
        <v>0</v>
      </c>
      <c r="H59" s="1">
        <f>SUM(OSRRefE21_10x_3)</f>
        <v>0</v>
      </c>
      <c r="I59" s="1">
        <f>SUM(OSRRefE21_10x_4)</f>
        <v>0</v>
      </c>
      <c r="J59" s="1">
        <f>SUM(OSRRefE21_10x_5)</f>
        <v>0</v>
      </c>
      <c r="K59" s="1">
        <f>SUM(OSRRefE21_10x_6)</f>
        <v>0</v>
      </c>
      <c r="L59" s="1">
        <f>SUM(OSRRefE21_10x_7)</f>
        <v>0</v>
      </c>
      <c r="M59" s="1">
        <f>SUM(OSRRefE21_10x_8)</f>
        <v>0</v>
      </c>
      <c r="N59" s="1">
        <f>SUM(OSRRefE21_10x_9)</f>
        <v>0</v>
      </c>
      <c r="O59" s="1">
        <f>SUM(OSRRefE21_10x_10)</f>
        <v>0</v>
      </c>
      <c r="Q59" s="2">
        <f>SUM(OSRRefD20_10x)+IFERROR(SUM(OSRRefE20_10x),0)</f>
        <v>119.55</v>
      </c>
    </row>
    <row r="60" spans="1:17" s="34" customFormat="1" hidden="1" outlineLevel="1" x14ac:dyDescent="0.3">
      <c r="A60" s="35"/>
      <c r="B60" s="10" t="str">
        <f>CONCATENATE("          ","6309", " - ","TELEPHONE")</f>
        <v xml:space="preserve">          6309 - TELEPHONE</v>
      </c>
      <c r="C60" s="14"/>
      <c r="D60" s="2">
        <v>119.55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2">
        <f>SUM(OSRRefD21_10_0x)+IFERROR(SUM(OSRRefE21_10_0x),0)</f>
        <v>119.55</v>
      </c>
    </row>
    <row r="61" spans="1:17" s="34" customFormat="1" collapsed="1" x14ac:dyDescent="0.3">
      <c r="A61" s="35"/>
      <c r="B61" s="14" t="str">
        <f>CONCATENATE("     ","Training                                          ")</f>
        <v xml:space="preserve">     Training                                          </v>
      </c>
      <c r="C61" s="14"/>
      <c r="D61" s="1">
        <f>SUM(OSRRefD21_11x_0)</f>
        <v>0</v>
      </c>
      <c r="E61" s="1">
        <f>SUM(OSRRefE21_11x_0)</f>
        <v>0</v>
      </c>
      <c r="F61" s="1">
        <f>SUM(OSRRefE21_11x_1)</f>
        <v>0</v>
      </c>
      <c r="G61" s="1">
        <f>SUM(OSRRefE21_11x_2)</f>
        <v>0</v>
      </c>
      <c r="H61" s="1">
        <f>SUM(OSRRefE21_11x_3)</f>
        <v>0</v>
      </c>
      <c r="I61" s="1">
        <f>SUM(OSRRefE21_11x_4)</f>
        <v>0</v>
      </c>
      <c r="J61" s="1">
        <f>SUM(OSRRefE21_11x_5)</f>
        <v>600</v>
      </c>
      <c r="K61" s="1">
        <f>SUM(OSRRefE21_11x_6)</f>
        <v>0</v>
      </c>
      <c r="L61" s="1">
        <f>SUM(OSRRefE21_11x_7)</f>
        <v>3000</v>
      </c>
      <c r="M61" s="1">
        <f>SUM(OSRRefE21_11x_8)</f>
        <v>0</v>
      </c>
      <c r="N61" s="1">
        <f>SUM(OSRRefE21_11x_9)</f>
        <v>0</v>
      </c>
      <c r="O61" s="1">
        <f>SUM(OSRRefE21_11x_10)</f>
        <v>0</v>
      </c>
      <c r="Q61" s="2">
        <f>SUM(OSRRefD20_11x)+IFERROR(SUM(OSRRefE20_11x),0)</f>
        <v>3600</v>
      </c>
    </row>
    <row r="62" spans="1:17" s="34" customFormat="1" hidden="1" outlineLevel="1" x14ac:dyDescent="0.3">
      <c r="A62" s="35"/>
      <c r="B62" s="10" t="str">
        <f>CONCATENATE("          ","6376", " - ","TRAINING")</f>
        <v xml:space="preserve">          6376 - TRAINING</v>
      </c>
      <c r="C62" s="14"/>
      <c r="D62" s="2"/>
      <c r="E62" s="2"/>
      <c r="F62" s="2"/>
      <c r="G62" s="2"/>
      <c r="H62" s="2"/>
      <c r="I62" s="2"/>
      <c r="J62" s="2">
        <v>600</v>
      </c>
      <c r="K62" s="2"/>
      <c r="L62" s="2">
        <v>3000</v>
      </c>
      <c r="M62" s="2"/>
      <c r="N62" s="2"/>
      <c r="O62" s="2"/>
      <c r="P62" s="9"/>
      <c r="Q62" s="2">
        <f>SUM(OSRRefD21_11_0x)+IFERROR(SUM(OSRRefE21_11_0x),0)</f>
        <v>3600</v>
      </c>
    </row>
    <row r="63" spans="1:17" s="34" customFormat="1" collapsed="1" x14ac:dyDescent="0.3">
      <c r="A63" s="35"/>
      <c r="B63" s="14" t="str">
        <f>CONCATENATE("     ","Utilities                                         ")</f>
        <v xml:space="preserve">     Utilities                                         </v>
      </c>
      <c r="C63" s="14"/>
      <c r="D63" s="1">
        <f>SUM(OSRRefD21_12x_0)</f>
        <v>5550</v>
      </c>
      <c r="E63" s="1">
        <f>SUM(OSRRefE21_12x_0)</f>
        <v>5550</v>
      </c>
      <c r="F63" s="1">
        <f>SUM(OSRRefE21_12x_1)</f>
        <v>5550</v>
      </c>
      <c r="G63" s="1">
        <f>SUM(OSRRefE21_12x_2)</f>
        <v>5550</v>
      </c>
      <c r="H63" s="1">
        <f>SUM(OSRRefE21_12x_3)</f>
        <v>5550</v>
      </c>
      <c r="I63" s="1">
        <f>SUM(OSRRefE21_12x_4)</f>
        <v>5550</v>
      </c>
      <c r="J63" s="1">
        <f>SUM(OSRRefE21_12x_5)</f>
        <v>5550</v>
      </c>
      <c r="K63" s="1">
        <f>SUM(OSRRefE21_12x_6)</f>
        <v>5550</v>
      </c>
      <c r="L63" s="1">
        <f>SUM(OSRRefE21_12x_7)</f>
        <v>5550</v>
      </c>
      <c r="M63" s="1">
        <f>SUM(OSRRefE21_12x_8)</f>
        <v>5550</v>
      </c>
      <c r="N63" s="1">
        <f>SUM(OSRRefE21_12x_9)</f>
        <v>5550</v>
      </c>
      <c r="O63" s="1">
        <f>SUM(OSRRefE21_12x_10)</f>
        <v>5550</v>
      </c>
      <c r="Q63" s="2">
        <f>SUM(OSRRefD20_12x)+IFERROR(SUM(OSRRefE20_12x),0)</f>
        <v>66600</v>
      </c>
    </row>
    <row r="64" spans="1:17" s="34" customFormat="1" hidden="1" outlineLevel="1" x14ac:dyDescent="0.3">
      <c r="A64" s="35"/>
      <c r="B64" s="10" t="str">
        <f>CONCATENATE("          ","6274", " - ","UTILITIES")</f>
        <v xml:space="preserve">          6274 - UTILITIES</v>
      </c>
      <c r="C64" s="14"/>
      <c r="D64" s="2">
        <v>5550</v>
      </c>
      <c r="E64" s="2">
        <v>5550</v>
      </c>
      <c r="F64" s="2">
        <v>5550</v>
      </c>
      <c r="G64" s="2">
        <v>5550</v>
      </c>
      <c r="H64" s="2">
        <v>5550</v>
      </c>
      <c r="I64" s="2">
        <v>5550</v>
      </c>
      <c r="J64" s="2">
        <v>5550</v>
      </c>
      <c r="K64" s="2">
        <v>5550</v>
      </c>
      <c r="L64" s="2">
        <v>5550</v>
      </c>
      <c r="M64" s="2">
        <v>5550</v>
      </c>
      <c r="N64" s="2">
        <v>5550</v>
      </c>
      <c r="O64" s="2">
        <v>5550</v>
      </c>
      <c r="P64" s="9"/>
      <c r="Q64" s="2">
        <f>SUM(OSRRefD21_12_0x)+IFERROR(SUM(OSRRefE21_12_0x),0)</f>
        <v>66600</v>
      </c>
    </row>
    <row r="65" spans="1:17" s="28" customFormat="1" x14ac:dyDescent="0.3">
      <c r="A65" s="21"/>
      <c r="B65" s="21"/>
      <c r="C65" s="2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1"/>
    </row>
    <row r="66" spans="1:17" s="9" customFormat="1" x14ac:dyDescent="0.3">
      <c r="A66" s="22"/>
      <c r="B66" s="16" t="s">
        <v>293</v>
      </c>
      <c r="C66" s="23"/>
      <c r="D66" s="3">
        <f>--1414.97</f>
        <v>1414.97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">
        <f>SUM(OSRRefD23_0x)+IFERROR(SUM(OSRRefE23_0x),0)</f>
        <v>1414.97</v>
      </c>
    </row>
    <row r="67" spans="1:17" x14ac:dyDescent="0.3">
      <c r="A67" s="5"/>
      <c r="B67" s="6"/>
      <c r="C67" s="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</row>
    <row r="68" spans="1:17" s="15" customFormat="1" x14ac:dyDescent="0.3">
      <c r="A68" s="6"/>
      <c r="B68" s="17" t="s">
        <v>276</v>
      </c>
      <c r="C68" s="17"/>
      <c r="D68" s="8">
        <f t="shared" ref="D68:O68" si="4">IFERROR(+D14-D17+D66, 0)</f>
        <v>-47136.97</v>
      </c>
      <c r="E68" s="8">
        <f t="shared" si="4"/>
        <v>-41947.132430769241</v>
      </c>
      <c r="F68" s="8">
        <f t="shared" si="4"/>
        <v>-41947.132430769241</v>
      </c>
      <c r="G68" s="8">
        <f t="shared" si="4"/>
        <v>-48157.665538461544</v>
      </c>
      <c r="H68" s="8">
        <f t="shared" si="4"/>
        <v>-41947.132430769241</v>
      </c>
      <c r="I68" s="8">
        <f t="shared" si="4"/>
        <v>-42447.132430769241</v>
      </c>
      <c r="J68" s="8">
        <f t="shared" si="4"/>
        <v>-55882.665538461544</v>
      </c>
      <c r="K68" s="8">
        <f t="shared" si="4"/>
        <v>-41947.132430769241</v>
      </c>
      <c r="L68" s="8">
        <f t="shared" si="4"/>
        <v>-44372.132430769241</v>
      </c>
      <c r="M68" s="8">
        <f t="shared" si="4"/>
        <v>-47582.665538461544</v>
      </c>
      <c r="N68" s="8">
        <f t="shared" si="4"/>
        <v>-41372.132430769241</v>
      </c>
      <c r="O68" s="8">
        <f t="shared" si="4"/>
        <v>-41372.132430769241</v>
      </c>
      <c r="Q68" s="8">
        <f>IFERROR(+Q14-Q17+Q66, 0)</f>
        <v>-536112.02606153849</v>
      </c>
    </row>
    <row r="69" spans="1:17" s="6" customFormat="1" x14ac:dyDescent="0.3">
      <c r="B69" s="16"/>
      <c r="C69" s="16"/>
      <c r="D69" s="4">
        <f t="shared" ref="D69:O69" si="5">IFERROR(D68/D10, 0)</f>
        <v>0</v>
      </c>
      <c r="E69" s="4">
        <f t="shared" si="5"/>
        <v>0</v>
      </c>
      <c r="F69" s="4">
        <f t="shared" si="5"/>
        <v>0</v>
      </c>
      <c r="G69" s="4">
        <f t="shared" si="5"/>
        <v>0</v>
      </c>
      <c r="H69" s="4">
        <f t="shared" si="5"/>
        <v>0</v>
      </c>
      <c r="I69" s="4">
        <f t="shared" si="5"/>
        <v>0</v>
      </c>
      <c r="J69" s="4">
        <f t="shared" si="5"/>
        <v>0</v>
      </c>
      <c r="K69" s="4">
        <f t="shared" si="5"/>
        <v>0</v>
      </c>
      <c r="L69" s="4">
        <f t="shared" si="5"/>
        <v>0</v>
      </c>
      <c r="M69" s="4">
        <f t="shared" si="5"/>
        <v>0</v>
      </c>
      <c r="N69" s="4">
        <f t="shared" si="5"/>
        <v>0</v>
      </c>
      <c r="O69" s="4">
        <f t="shared" si="5"/>
        <v>0</v>
      </c>
      <c r="P69" s="18"/>
      <c r="Q69" s="4">
        <f>IFERROR(Q68/Q10, 0)</f>
        <v>0</v>
      </c>
    </row>
    <row r="70" spans="1:17" x14ac:dyDescent="0.3">
      <c r="A70" s="5"/>
      <c r="B70" s="6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1:17" s="15" customFormat="1" x14ac:dyDescent="0.3">
      <c r="A71" s="25"/>
      <c r="B71" s="6" t="s">
        <v>125</v>
      </c>
      <c r="C71" s="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2">
        <f>SUM(OSRRefD28_0x)+IFERROR(SUM(OSRRefE28_0x),0)</f>
        <v>0</v>
      </c>
    </row>
    <row r="72" spans="1:17" x14ac:dyDescent="0.3">
      <c r="A72" s="5"/>
      <c r="B72" s="6"/>
      <c r="C72" s="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ht="15" thickBot="1" x14ac:dyDescent="0.35">
      <c r="A73" s="6"/>
      <c r="B73" s="17" t="s">
        <v>124</v>
      </c>
      <c r="C73" s="17"/>
      <c r="D73" s="7">
        <f t="shared" ref="D73:O73" si="6">IFERROR(+D68-D71, 0)</f>
        <v>-47136.97</v>
      </c>
      <c r="E73" s="7">
        <f t="shared" si="6"/>
        <v>-41947.132430769241</v>
      </c>
      <c r="F73" s="7">
        <f t="shared" si="6"/>
        <v>-41947.132430769241</v>
      </c>
      <c r="G73" s="7">
        <f t="shared" si="6"/>
        <v>-48157.665538461544</v>
      </c>
      <c r="H73" s="7">
        <f t="shared" si="6"/>
        <v>-41947.132430769241</v>
      </c>
      <c r="I73" s="7">
        <f t="shared" si="6"/>
        <v>-42447.132430769241</v>
      </c>
      <c r="J73" s="7">
        <f t="shared" si="6"/>
        <v>-55882.665538461544</v>
      </c>
      <c r="K73" s="7">
        <f t="shared" si="6"/>
        <v>-41947.132430769241</v>
      </c>
      <c r="L73" s="7">
        <f t="shared" si="6"/>
        <v>-44372.132430769241</v>
      </c>
      <c r="M73" s="7">
        <f t="shared" si="6"/>
        <v>-47582.665538461544</v>
      </c>
      <c r="N73" s="7">
        <f t="shared" si="6"/>
        <v>-41372.132430769241</v>
      </c>
      <c r="O73" s="7">
        <f t="shared" si="6"/>
        <v>-41372.132430769241</v>
      </c>
      <c r="Q73" s="7">
        <f>IFERROR(+Q68-Q71, 0)</f>
        <v>-536112.02606153849</v>
      </c>
    </row>
    <row r="74" spans="1:17" ht="15" thickTop="1" x14ac:dyDescent="0.3">
      <c r="A74" s="5"/>
      <c r="B74" s="5"/>
      <c r="C74" s="5"/>
      <c r="D74" s="4">
        <f t="shared" ref="D74:O74" si="7">IFERROR(D73/D10, 0)</f>
        <v>0</v>
      </c>
      <c r="E74" s="4">
        <f t="shared" si="7"/>
        <v>0</v>
      </c>
      <c r="F74" s="4">
        <f t="shared" si="7"/>
        <v>0</v>
      </c>
      <c r="G74" s="4">
        <f t="shared" si="7"/>
        <v>0</v>
      </c>
      <c r="H74" s="4">
        <f t="shared" si="7"/>
        <v>0</v>
      </c>
      <c r="I74" s="4">
        <f t="shared" si="7"/>
        <v>0</v>
      </c>
      <c r="J74" s="4">
        <f t="shared" si="7"/>
        <v>0</v>
      </c>
      <c r="K74" s="4">
        <f t="shared" si="7"/>
        <v>0</v>
      </c>
      <c r="L74" s="4">
        <f t="shared" si="7"/>
        <v>0</v>
      </c>
      <c r="M74" s="4">
        <f t="shared" si="7"/>
        <v>0</v>
      </c>
      <c r="N74" s="4">
        <f t="shared" si="7"/>
        <v>0</v>
      </c>
      <c r="O74" s="4">
        <f t="shared" si="7"/>
        <v>0</v>
      </c>
      <c r="P74" s="18"/>
      <c r="Q74" s="4">
        <f>IFERROR(Q73/Q10, 0)</f>
        <v>0</v>
      </c>
    </row>
    <row r="75" spans="1:17" x14ac:dyDescent="0.3">
      <c r="A75" s="5"/>
      <c r="B75" s="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</row>
    <row r="76" spans="1:17" x14ac:dyDescent="0.3">
      <c r="A76" s="5"/>
      <c r="B76" s="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Q76" s="3"/>
    </row>
    <row r="77" spans="1:17" s="15" customFormat="1" ht="15" thickBot="1" x14ac:dyDescent="0.35">
      <c r="A77" s="6"/>
      <c r="B77" s="17" t="s">
        <v>294</v>
      </c>
      <c r="C77" s="17"/>
      <c r="D77" s="7">
        <f t="shared" ref="D77:O77" si="8">IFERROR(SUM(D73:D76), 0)</f>
        <v>-47136.97</v>
      </c>
      <c r="E77" s="7">
        <f t="shared" si="8"/>
        <v>-41947.132430769241</v>
      </c>
      <c r="F77" s="7">
        <f t="shared" si="8"/>
        <v>-41947.132430769241</v>
      </c>
      <c r="G77" s="7">
        <f t="shared" si="8"/>
        <v>-48157.665538461544</v>
      </c>
      <c r="H77" s="7">
        <f t="shared" si="8"/>
        <v>-41947.132430769241</v>
      </c>
      <c r="I77" s="7">
        <f t="shared" si="8"/>
        <v>-42447.132430769241</v>
      </c>
      <c r="J77" s="7">
        <f t="shared" si="8"/>
        <v>-55882.665538461544</v>
      </c>
      <c r="K77" s="7">
        <f t="shared" si="8"/>
        <v>-41947.132430769241</v>
      </c>
      <c r="L77" s="7">
        <f t="shared" si="8"/>
        <v>-44372.132430769241</v>
      </c>
      <c r="M77" s="7">
        <f t="shared" si="8"/>
        <v>-47582.665538461544</v>
      </c>
      <c r="N77" s="7">
        <f t="shared" si="8"/>
        <v>-41372.132430769241</v>
      </c>
      <c r="O77" s="7">
        <f t="shared" si="8"/>
        <v>-41372.132430769241</v>
      </c>
      <c r="Q77" s="7">
        <f>IFERROR(SUM(Q73:Q76), 0)</f>
        <v>-536112.02606153849</v>
      </c>
    </row>
    <row r="78" spans="1:17" ht="15" thickTop="1" x14ac:dyDescent="0.3">
      <c r="A78" s="5"/>
      <c r="C78" s="5"/>
      <c r="D78" s="4">
        <f t="shared" ref="D78:O78" si="9">IFERROR(D77/D10, 0)</f>
        <v>0</v>
      </c>
      <c r="E78" s="4">
        <f t="shared" si="9"/>
        <v>0</v>
      </c>
      <c r="F78" s="4">
        <f t="shared" si="9"/>
        <v>0</v>
      </c>
      <c r="G78" s="4">
        <f t="shared" si="9"/>
        <v>0</v>
      </c>
      <c r="H78" s="4">
        <f t="shared" si="9"/>
        <v>0</v>
      </c>
      <c r="I78" s="4">
        <f t="shared" si="9"/>
        <v>0</v>
      </c>
      <c r="J78" s="4">
        <f t="shared" si="9"/>
        <v>0</v>
      </c>
      <c r="K78" s="4">
        <f t="shared" si="9"/>
        <v>0</v>
      </c>
      <c r="L78" s="4">
        <f t="shared" si="9"/>
        <v>0</v>
      </c>
      <c r="M78" s="4">
        <f t="shared" si="9"/>
        <v>0</v>
      </c>
      <c r="N78" s="4">
        <f t="shared" si="9"/>
        <v>0</v>
      </c>
      <c r="O78" s="4">
        <f t="shared" si="9"/>
        <v>0</v>
      </c>
      <c r="P78" s="18"/>
      <c r="Q78" s="4">
        <f>IFERROR(Q77/Q10, 0)</f>
        <v>0</v>
      </c>
    </row>
    <row r="79" spans="1:17" x14ac:dyDescent="0.3">
      <c r="A79" s="5"/>
      <c r="B79" s="30">
        <v>44462.678423958336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1"/>
    </row>
    <row r="80" spans="1:17" x14ac:dyDescent="0.3">
      <c r="A80" s="5"/>
      <c r="B80" s="31" t="s">
        <v>54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 s="11"/>
    </row>
    <row r="81" spans="1:17" x14ac:dyDescent="0.3">
      <c r="A81" s="5"/>
      <c r="B81" s="2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1"/>
    </row>
    <row r="82" spans="1:17" x14ac:dyDescent="0.3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92D050"/>
    <outlinePr summaryBelow="0" summaryRight="0"/>
    <pageSetUpPr fitToPage="1"/>
  </sheetPr>
  <dimension ref="A2:R39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","412", " - ", "Chartroom")</f>
        <v>Department 412 - Chartroom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613.36</v>
      </c>
      <c r="E17" s="13">
        <f>SUM(OSRRefE20x_0)</f>
        <v>577</v>
      </c>
      <c r="F17" s="13">
        <f>SUM(OSRRefE20x_1)</f>
        <v>577</v>
      </c>
      <c r="G17" s="13">
        <f>SUM(OSRRefE20x_2)</f>
        <v>577</v>
      </c>
      <c r="H17" s="13">
        <f>SUM(OSRRefE20x_3)</f>
        <v>577</v>
      </c>
      <c r="I17" s="13">
        <f>SUM(OSRRefE20x_4)</f>
        <v>577</v>
      </c>
      <c r="J17" s="13">
        <f>SUM(OSRRefE20x_5)</f>
        <v>577</v>
      </c>
      <c r="K17" s="13">
        <f>SUM(OSRRefE20x_6)</f>
        <v>577</v>
      </c>
      <c r="L17" s="13">
        <f>SUM(OSRRefE20x_7)</f>
        <v>577</v>
      </c>
      <c r="M17" s="13">
        <f>SUM(OSRRefE20x_8)</f>
        <v>577</v>
      </c>
      <c r="N17" s="13">
        <f>SUM(OSRRefE20x_9)</f>
        <v>577</v>
      </c>
      <c r="O17" s="13">
        <f>SUM(OSRRefE20x_10)</f>
        <v>577</v>
      </c>
      <c r="Q17" s="13">
        <f>SUM(OSRRefG20x)</f>
        <v>6960.36</v>
      </c>
    </row>
    <row r="18" spans="1:17" s="34" customFormat="1" collapsed="1" x14ac:dyDescent="0.3">
      <c r="A18" s="35"/>
      <c r="B18" s="14" t="str">
        <f>CONCATENATE("     ","Depreciation                                      ")</f>
        <v xml:space="preserve">     Depreciation                                      </v>
      </c>
      <c r="C18" s="14"/>
      <c r="D18" s="1">
        <f>SUM(OSRRefD21_0x_0)</f>
        <v>577.36</v>
      </c>
      <c r="E18" s="1">
        <f>SUM(OSRRefE21_0x_0)</f>
        <v>577</v>
      </c>
      <c r="F18" s="1">
        <f>SUM(OSRRefE21_0x_1)</f>
        <v>577</v>
      </c>
      <c r="G18" s="1">
        <f>SUM(OSRRefE21_0x_2)</f>
        <v>577</v>
      </c>
      <c r="H18" s="1">
        <f>SUM(OSRRefE21_0x_3)</f>
        <v>577</v>
      </c>
      <c r="I18" s="1">
        <f>SUM(OSRRefE21_0x_4)</f>
        <v>577</v>
      </c>
      <c r="J18" s="1">
        <f>SUM(OSRRefE21_0x_5)</f>
        <v>577</v>
      </c>
      <c r="K18" s="1">
        <f>SUM(OSRRefE21_0x_6)</f>
        <v>577</v>
      </c>
      <c r="L18" s="1">
        <f>SUM(OSRRefE21_0x_7)</f>
        <v>577</v>
      </c>
      <c r="M18" s="1">
        <f>SUM(OSRRefE21_0x_8)</f>
        <v>577</v>
      </c>
      <c r="N18" s="1">
        <f>SUM(OSRRefE21_0x_9)</f>
        <v>577</v>
      </c>
      <c r="O18" s="1">
        <f>SUM(OSRRefE21_0x_10)</f>
        <v>577</v>
      </c>
      <c r="Q18" s="2">
        <f>SUM(OSRRefD20_0x)+IFERROR(SUM(OSRRefE20_0x),0)</f>
        <v>6924.36</v>
      </c>
    </row>
    <row r="19" spans="1:17" s="34" customFormat="1" hidden="1" outlineLevel="1" x14ac:dyDescent="0.3">
      <c r="A19" s="35"/>
      <c r="B19" s="10" t="str">
        <f>CONCATENATE("          ","6322", " - ","EQUIPMENT DEPRECIATION EXPENSE")</f>
        <v xml:space="preserve">          6322 - EQUIPMENT DEPRECIATION EXPENSE</v>
      </c>
      <c r="C19" s="14"/>
      <c r="D19" s="2">
        <v>577.36</v>
      </c>
      <c r="E19" s="2">
        <v>577</v>
      </c>
      <c r="F19" s="2">
        <v>577</v>
      </c>
      <c r="G19" s="2">
        <v>577</v>
      </c>
      <c r="H19" s="2">
        <v>577</v>
      </c>
      <c r="I19" s="2">
        <v>577</v>
      </c>
      <c r="J19" s="2">
        <v>577</v>
      </c>
      <c r="K19" s="2">
        <v>577</v>
      </c>
      <c r="L19" s="2">
        <v>577</v>
      </c>
      <c r="M19" s="2">
        <v>577</v>
      </c>
      <c r="N19" s="2">
        <v>577</v>
      </c>
      <c r="O19" s="2">
        <v>577</v>
      </c>
      <c r="P19" s="9"/>
      <c r="Q19" s="2">
        <f>SUM(OSRRefD21_0_0x)+IFERROR(SUM(OSRRefE21_0_0x),0)</f>
        <v>6924.36</v>
      </c>
    </row>
    <row r="20" spans="1:17" s="34" customFormat="1" collapsed="1" x14ac:dyDescent="0.3">
      <c r="A20" s="35"/>
      <c r="B20" s="14" t="str">
        <f>CONCATENATE("     ","Telephone/Data Lines                              ")</f>
        <v xml:space="preserve">     Telephone/Data Lines                              </v>
      </c>
      <c r="C20" s="14"/>
      <c r="D20" s="1">
        <f>SUM(OSRRefD21_1x_0)</f>
        <v>36</v>
      </c>
      <c r="E20" s="1">
        <f>SUM(OSRRefE21_1x_0)</f>
        <v>0</v>
      </c>
      <c r="F20" s="1">
        <f>SUM(OSRRefE21_1x_1)</f>
        <v>0</v>
      </c>
      <c r="G20" s="1">
        <f>SUM(OSRRefE21_1x_2)</f>
        <v>0</v>
      </c>
      <c r="H20" s="1">
        <f>SUM(OSRRefE21_1x_3)</f>
        <v>0</v>
      </c>
      <c r="I20" s="1">
        <f>SUM(OSRRefE21_1x_4)</f>
        <v>0</v>
      </c>
      <c r="J20" s="1">
        <f>SUM(OSRRefE21_1x_5)</f>
        <v>0</v>
      </c>
      <c r="K20" s="1">
        <f>SUM(OSRRefE21_1x_6)</f>
        <v>0</v>
      </c>
      <c r="L20" s="1">
        <f>SUM(OSRRefE21_1x_7)</f>
        <v>0</v>
      </c>
      <c r="M20" s="1">
        <f>SUM(OSRRefE21_1x_8)</f>
        <v>0</v>
      </c>
      <c r="N20" s="1">
        <f>SUM(OSRRefE21_1x_9)</f>
        <v>0</v>
      </c>
      <c r="O20" s="1">
        <f>SUM(OSRRefE21_1x_10)</f>
        <v>0</v>
      </c>
      <c r="Q20" s="2">
        <f>SUM(OSRRefD20_1x)+IFERROR(SUM(OSRRefE20_1x),0)</f>
        <v>36</v>
      </c>
    </row>
    <row r="21" spans="1:17" s="34" customFormat="1" hidden="1" outlineLevel="1" x14ac:dyDescent="0.3">
      <c r="A21" s="35"/>
      <c r="B21" s="10" t="str">
        <f>CONCATENATE("          ","6309", " - ","TELEPHONE")</f>
        <v xml:space="preserve">          6309 - TELEPHONE</v>
      </c>
      <c r="C21" s="14"/>
      <c r="D21" s="2">
        <v>36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2">
        <f>SUM(OSRRefD21_1_0x)+IFERROR(SUM(OSRRefE21_1_0x),0)</f>
        <v>36</v>
      </c>
    </row>
    <row r="22" spans="1:17" s="28" customFormat="1" x14ac:dyDescent="0.3">
      <c r="A22" s="21"/>
      <c r="B22" s="21"/>
      <c r="C22" s="2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Q22" s="1"/>
    </row>
    <row r="23" spans="1:17" s="9" customFormat="1" x14ac:dyDescent="0.3">
      <c r="A23" s="22"/>
      <c r="B23" s="16" t="s">
        <v>293</v>
      </c>
      <c r="C23" s="23"/>
      <c r="D23" s="3">
        <f>0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2">
        <f>SUM(OSRRefD23_0x)+IFERROR(SUM(OSRRefE23_0x),0)</f>
        <v>0</v>
      </c>
    </row>
    <row r="24" spans="1:17" x14ac:dyDescent="0.3">
      <c r="A24" s="5"/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3"/>
    </row>
    <row r="25" spans="1:17" s="15" customFormat="1" x14ac:dyDescent="0.3">
      <c r="A25" s="6"/>
      <c r="B25" s="17" t="s">
        <v>276</v>
      </c>
      <c r="C25" s="17"/>
      <c r="D25" s="8">
        <f t="shared" ref="D25:O25" si="4">IFERROR(+D14-D17+D23, 0)</f>
        <v>-613.36</v>
      </c>
      <c r="E25" s="8">
        <f t="shared" si="4"/>
        <v>-577</v>
      </c>
      <c r="F25" s="8">
        <f t="shared" si="4"/>
        <v>-577</v>
      </c>
      <c r="G25" s="8">
        <f t="shared" si="4"/>
        <v>-577</v>
      </c>
      <c r="H25" s="8">
        <f t="shared" si="4"/>
        <v>-577</v>
      </c>
      <c r="I25" s="8">
        <f t="shared" si="4"/>
        <v>-577</v>
      </c>
      <c r="J25" s="8">
        <f t="shared" si="4"/>
        <v>-577</v>
      </c>
      <c r="K25" s="8">
        <f t="shared" si="4"/>
        <v>-577</v>
      </c>
      <c r="L25" s="8">
        <f t="shared" si="4"/>
        <v>-577</v>
      </c>
      <c r="M25" s="8">
        <f t="shared" si="4"/>
        <v>-577</v>
      </c>
      <c r="N25" s="8">
        <f t="shared" si="4"/>
        <v>-577</v>
      </c>
      <c r="O25" s="8">
        <f t="shared" si="4"/>
        <v>-577</v>
      </c>
      <c r="Q25" s="8">
        <f>IFERROR(+Q14-Q17+Q23, 0)</f>
        <v>-6960.36</v>
      </c>
    </row>
    <row r="26" spans="1:17" s="6" customFormat="1" x14ac:dyDescent="0.3">
      <c r="B26" s="16"/>
      <c r="C26" s="16"/>
      <c r="D26" s="4">
        <f t="shared" ref="D26:O26" si="5">IFERROR(D25/D10, 0)</f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">
        <f t="shared" si="5"/>
        <v>0</v>
      </c>
      <c r="M26" s="4">
        <f t="shared" si="5"/>
        <v>0</v>
      </c>
      <c r="N26" s="4">
        <f t="shared" si="5"/>
        <v>0</v>
      </c>
      <c r="O26" s="4">
        <f t="shared" si="5"/>
        <v>0</v>
      </c>
      <c r="P26" s="18"/>
      <c r="Q26" s="4">
        <f>IFERROR(Q25/Q10, 0)</f>
        <v>0</v>
      </c>
    </row>
    <row r="27" spans="1:17" x14ac:dyDescent="0.3">
      <c r="A27" s="5"/>
      <c r="B27" s="6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x14ac:dyDescent="0.3">
      <c r="A28" s="25"/>
      <c r="B28" s="6" t="s">
        <v>125</v>
      </c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2">
        <f>SUM(OSRRefD28_0x)+IFERROR(SUM(OSRRefE28_0x),0)</f>
        <v>0</v>
      </c>
    </row>
    <row r="29" spans="1:17" x14ac:dyDescent="0.3">
      <c r="A29" s="5"/>
      <c r="B29" s="6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</row>
    <row r="30" spans="1:17" s="15" customFormat="1" ht="15" thickBot="1" x14ac:dyDescent="0.35">
      <c r="A30" s="6"/>
      <c r="B30" s="17" t="s">
        <v>124</v>
      </c>
      <c r="C30" s="17"/>
      <c r="D30" s="7">
        <f t="shared" ref="D30:O30" si="6">IFERROR(+D25-D28, 0)</f>
        <v>-613.36</v>
      </c>
      <c r="E30" s="7">
        <f t="shared" si="6"/>
        <v>-577</v>
      </c>
      <c r="F30" s="7">
        <f t="shared" si="6"/>
        <v>-577</v>
      </c>
      <c r="G30" s="7">
        <f t="shared" si="6"/>
        <v>-577</v>
      </c>
      <c r="H30" s="7">
        <f t="shared" si="6"/>
        <v>-577</v>
      </c>
      <c r="I30" s="7">
        <f t="shared" si="6"/>
        <v>-577</v>
      </c>
      <c r="J30" s="7">
        <f t="shared" si="6"/>
        <v>-577</v>
      </c>
      <c r="K30" s="7">
        <f t="shared" si="6"/>
        <v>-577</v>
      </c>
      <c r="L30" s="7">
        <f t="shared" si="6"/>
        <v>-577</v>
      </c>
      <c r="M30" s="7">
        <f t="shared" si="6"/>
        <v>-577</v>
      </c>
      <c r="N30" s="7">
        <f t="shared" si="6"/>
        <v>-577</v>
      </c>
      <c r="O30" s="7">
        <f t="shared" si="6"/>
        <v>-577</v>
      </c>
      <c r="Q30" s="7">
        <f>IFERROR(+Q25-Q28, 0)</f>
        <v>-6960.36</v>
      </c>
    </row>
    <row r="31" spans="1:17" ht="15" thickTop="1" x14ac:dyDescent="0.3">
      <c r="A31" s="5"/>
      <c r="B31" s="5"/>
      <c r="C31" s="5"/>
      <c r="D31" s="4">
        <f t="shared" ref="D31:O31" si="7">IFERROR(D30/D10, 0)</f>
        <v>0</v>
      </c>
      <c r="E31" s="4">
        <f t="shared" si="7"/>
        <v>0</v>
      </c>
      <c r="F31" s="4">
        <f t="shared" si="7"/>
        <v>0</v>
      </c>
      <c r="G31" s="4">
        <f t="shared" si="7"/>
        <v>0</v>
      </c>
      <c r="H31" s="4">
        <f t="shared" si="7"/>
        <v>0</v>
      </c>
      <c r="I31" s="4">
        <f t="shared" si="7"/>
        <v>0</v>
      </c>
      <c r="J31" s="4">
        <f t="shared" si="7"/>
        <v>0</v>
      </c>
      <c r="K31" s="4">
        <f t="shared" si="7"/>
        <v>0</v>
      </c>
      <c r="L31" s="4">
        <f t="shared" si="7"/>
        <v>0</v>
      </c>
      <c r="M31" s="4">
        <f t="shared" si="7"/>
        <v>0</v>
      </c>
      <c r="N31" s="4">
        <f t="shared" si="7"/>
        <v>0</v>
      </c>
      <c r="O31" s="4">
        <f t="shared" si="7"/>
        <v>0</v>
      </c>
      <c r="P31" s="18"/>
      <c r="Q31" s="4">
        <f>IFERROR(Q30/Q10, 0)</f>
        <v>0</v>
      </c>
    </row>
    <row r="32" spans="1:17" x14ac:dyDescent="0.3">
      <c r="A32" s="5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x14ac:dyDescent="0.3">
      <c r="A33" s="5"/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</row>
    <row r="34" spans="1:17" s="15" customFormat="1" ht="15" thickBot="1" x14ac:dyDescent="0.35">
      <c r="A34" s="6"/>
      <c r="B34" s="17" t="s">
        <v>294</v>
      </c>
      <c r="C34" s="17"/>
      <c r="D34" s="7">
        <f t="shared" ref="D34:O34" si="8">IFERROR(SUM(D30:D33), 0)</f>
        <v>-613.36</v>
      </c>
      <c r="E34" s="7">
        <f t="shared" si="8"/>
        <v>-577</v>
      </c>
      <c r="F34" s="7">
        <f t="shared" si="8"/>
        <v>-577</v>
      </c>
      <c r="G34" s="7">
        <f t="shared" si="8"/>
        <v>-577</v>
      </c>
      <c r="H34" s="7">
        <f t="shared" si="8"/>
        <v>-577</v>
      </c>
      <c r="I34" s="7">
        <f t="shared" si="8"/>
        <v>-577</v>
      </c>
      <c r="J34" s="7">
        <f t="shared" si="8"/>
        <v>-577</v>
      </c>
      <c r="K34" s="7">
        <f t="shared" si="8"/>
        <v>-577</v>
      </c>
      <c r="L34" s="7">
        <f t="shared" si="8"/>
        <v>-577</v>
      </c>
      <c r="M34" s="7">
        <f t="shared" si="8"/>
        <v>-577</v>
      </c>
      <c r="N34" s="7">
        <f t="shared" si="8"/>
        <v>-577</v>
      </c>
      <c r="O34" s="7">
        <f t="shared" si="8"/>
        <v>-577</v>
      </c>
      <c r="Q34" s="7">
        <f>IFERROR(SUM(Q30:Q33), 0)</f>
        <v>-6960.36</v>
      </c>
    </row>
    <row r="35" spans="1:17" ht="15" thickTop="1" x14ac:dyDescent="0.3">
      <c r="A35" s="5"/>
      <c r="C35" s="5"/>
      <c r="D35" s="4">
        <f t="shared" ref="D35:O35" si="9">IFERROR(D34/D10, 0)</f>
        <v>0</v>
      </c>
      <c r="E35" s="4">
        <f t="shared" si="9"/>
        <v>0</v>
      </c>
      <c r="F35" s="4">
        <f t="shared" si="9"/>
        <v>0</v>
      </c>
      <c r="G35" s="4">
        <f t="shared" si="9"/>
        <v>0</v>
      </c>
      <c r="H35" s="4">
        <f t="shared" si="9"/>
        <v>0</v>
      </c>
      <c r="I35" s="4">
        <f t="shared" si="9"/>
        <v>0</v>
      </c>
      <c r="J35" s="4">
        <f t="shared" si="9"/>
        <v>0</v>
      </c>
      <c r="K35" s="4">
        <f t="shared" si="9"/>
        <v>0</v>
      </c>
      <c r="L35" s="4">
        <f t="shared" si="9"/>
        <v>0</v>
      </c>
      <c r="M35" s="4">
        <f t="shared" si="9"/>
        <v>0</v>
      </c>
      <c r="N35" s="4">
        <f t="shared" si="9"/>
        <v>0</v>
      </c>
      <c r="O35" s="4">
        <f t="shared" si="9"/>
        <v>0</v>
      </c>
      <c r="P35" s="18"/>
      <c r="Q35" s="4">
        <f>IFERROR(Q34/Q10, 0)</f>
        <v>0</v>
      </c>
    </row>
    <row r="36" spans="1:17" x14ac:dyDescent="0.3">
      <c r="A36" s="5"/>
      <c r="B36" s="30">
        <v>44462.678423958336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A37" s="5"/>
      <c r="B37" s="31" t="s">
        <v>54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  <row r="38" spans="1:17" x14ac:dyDescent="0.3">
      <c r="A38" s="5"/>
      <c r="B38" s="2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1"/>
    </row>
    <row r="39" spans="1:17" x14ac:dyDescent="0.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Q39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92D050"/>
    <outlinePr summaryBelow="0" summaryRight="0"/>
    <pageSetUpPr fitToPage="1"/>
  </sheetPr>
  <dimension ref="A2:R3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","413", " - ", "Beach Walk")</f>
        <v>Department 413 - Beach Walk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58.03</v>
      </c>
      <c r="E17" s="13">
        <f>SUM(OSRRefE20x_0)</f>
        <v>58</v>
      </c>
      <c r="F17" s="13">
        <f>SUM(OSRRefE20x_1)</f>
        <v>58</v>
      </c>
      <c r="G17" s="13">
        <f>SUM(OSRRefE20x_2)</f>
        <v>58</v>
      </c>
      <c r="H17" s="13">
        <f>SUM(OSRRefE20x_3)</f>
        <v>58</v>
      </c>
      <c r="I17" s="13">
        <f>SUM(OSRRefE20x_4)</f>
        <v>58</v>
      </c>
      <c r="J17" s="13">
        <f>SUM(OSRRefE20x_5)</f>
        <v>58</v>
      </c>
      <c r="K17" s="13">
        <f>SUM(OSRRefE20x_6)</f>
        <v>58</v>
      </c>
      <c r="L17" s="13">
        <f>SUM(OSRRefE20x_7)</f>
        <v>58</v>
      </c>
      <c r="M17" s="13">
        <f>SUM(OSRRefE20x_8)</f>
        <v>58</v>
      </c>
      <c r="N17" s="13">
        <f>SUM(OSRRefE20x_9)</f>
        <v>58</v>
      </c>
      <c r="O17" s="13">
        <f>SUM(OSRRefE20x_10)</f>
        <v>58</v>
      </c>
      <c r="Q17" s="13">
        <f>SUM(OSRRefG20x)</f>
        <v>696.03</v>
      </c>
    </row>
    <row r="18" spans="1:17" s="34" customFormat="1" collapsed="1" x14ac:dyDescent="0.3">
      <c r="A18" s="35"/>
      <c r="B18" s="14" t="str">
        <f>CONCATENATE("     ","Depreciation                                      ")</f>
        <v xml:space="preserve">     Depreciation                                      </v>
      </c>
      <c r="C18" s="14"/>
      <c r="D18" s="1">
        <f>SUM(OSRRefD21_0x_0)</f>
        <v>58.03</v>
      </c>
      <c r="E18" s="1">
        <f>SUM(OSRRefE21_0x_0)</f>
        <v>58</v>
      </c>
      <c r="F18" s="1">
        <f>SUM(OSRRefE21_0x_1)</f>
        <v>58</v>
      </c>
      <c r="G18" s="1">
        <f>SUM(OSRRefE21_0x_2)</f>
        <v>58</v>
      </c>
      <c r="H18" s="1">
        <f>SUM(OSRRefE21_0x_3)</f>
        <v>58</v>
      </c>
      <c r="I18" s="1">
        <f>SUM(OSRRefE21_0x_4)</f>
        <v>58</v>
      </c>
      <c r="J18" s="1">
        <f>SUM(OSRRefE21_0x_5)</f>
        <v>58</v>
      </c>
      <c r="K18" s="1">
        <f>SUM(OSRRefE21_0x_6)</f>
        <v>58</v>
      </c>
      <c r="L18" s="1">
        <f>SUM(OSRRefE21_0x_7)</f>
        <v>58</v>
      </c>
      <c r="M18" s="1">
        <f>SUM(OSRRefE21_0x_8)</f>
        <v>58</v>
      </c>
      <c r="N18" s="1">
        <f>SUM(OSRRefE21_0x_9)</f>
        <v>58</v>
      </c>
      <c r="O18" s="1">
        <f>SUM(OSRRefE21_0x_10)</f>
        <v>58</v>
      </c>
      <c r="Q18" s="2">
        <f>SUM(OSRRefD20_0x)+IFERROR(SUM(OSRRefE20_0x),0)</f>
        <v>696.03</v>
      </c>
    </row>
    <row r="19" spans="1:17" s="34" customFormat="1" hidden="1" outlineLevel="1" x14ac:dyDescent="0.3">
      <c r="A19" s="35"/>
      <c r="B19" s="10" t="str">
        <f>CONCATENATE("          ","6322", " - ","EQUIPMENT DEPRECIATION EXPENSE")</f>
        <v xml:space="preserve">          6322 - EQUIPMENT DEPRECIATION EXPENSE</v>
      </c>
      <c r="C19" s="14"/>
      <c r="D19" s="2">
        <v>58.03</v>
      </c>
      <c r="E19" s="2">
        <v>58</v>
      </c>
      <c r="F19" s="2">
        <v>58</v>
      </c>
      <c r="G19" s="2">
        <v>58</v>
      </c>
      <c r="H19" s="2">
        <v>58</v>
      </c>
      <c r="I19" s="2">
        <v>58</v>
      </c>
      <c r="J19" s="2">
        <v>58</v>
      </c>
      <c r="K19" s="2">
        <v>58</v>
      </c>
      <c r="L19" s="2">
        <v>58</v>
      </c>
      <c r="M19" s="2">
        <v>58</v>
      </c>
      <c r="N19" s="2">
        <v>58</v>
      </c>
      <c r="O19" s="2">
        <v>58</v>
      </c>
      <c r="P19" s="9"/>
      <c r="Q19" s="2">
        <f>SUM(OSRRefD21_0_0x)+IFERROR(SUM(OSRRefE21_0_0x),0)</f>
        <v>696.03</v>
      </c>
    </row>
    <row r="20" spans="1:17" s="28" customFormat="1" x14ac:dyDescent="0.3">
      <c r="A20" s="21"/>
      <c r="B20" s="2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9" customFormat="1" x14ac:dyDescent="0.3">
      <c r="A21" s="22"/>
      <c r="B21" s="16" t="s">
        <v>293</v>
      </c>
      <c r="C21" s="23"/>
      <c r="D21" s="3">
        <f>0</f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2">
        <f>SUM(OSRRefD23_0x)+IFERROR(SUM(OSRRefE23_0x),0)</f>
        <v>0</v>
      </c>
    </row>
    <row r="22" spans="1:17" x14ac:dyDescent="0.3">
      <c r="A22" s="5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</row>
    <row r="23" spans="1:17" s="15" customFormat="1" x14ac:dyDescent="0.3">
      <c r="A23" s="6"/>
      <c r="B23" s="17" t="s">
        <v>276</v>
      </c>
      <c r="C23" s="17"/>
      <c r="D23" s="8">
        <f t="shared" ref="D23:O23" si="4">IFERROR(+D14-D17+D21, 0)</f>
        <v>-58.03</v>
      </c>
      <c r="E23" s="8">
        <f t="shared" si="4"/>
        <v>-58</v>
      </c>
      <c r="F23" s="8">
        <f t="shared" si="4"/>
        <v>-58</v>
      </c>
      <c r="G23" s="8">
        <f t="shared" si="4"/>
        <v>-58</v>
      </c>
      <c r="H23" s="8">
        <f t="shared" si="4"/>
        <v>-58</v>
      </c>
      <c r="I23" s="8">
        <f t="shared" si="4"/>
        <v>-58</v>
      </c>
      <c r="J23" s="8">
        <f t="shared" si="4"/>
        <v>-58</v>
      </c>
      <c r="K23" s="8">
        <f t="shared" si="4"/>
        <v>-58</v>
      </c>
      <c r="L23" s="8">
        <f t="shared" si="4"/>
        <v>-58</v>
      </c>
      <c r="M23" s="8">
        <f t="shared" si="4"/>
        <v>-58</v>
      </c>
      <c r="N23" s="8">
        <f t="shared" si="4"/>
        <v>-58</v>
      </c>
      <c r="O23" s="8">
        <f t="shared" si="4"/>
        <v>-58</v>
      </c>
      <c r="Q23" s="8">
        <f>IFERROR(+Q14-Q17+Q21, 0)</f>
        <v>-696.03</v>
      </c>
    </row>
    <row r="24" spans="1:17" s="6" customFormat="1" x14ac:dyDescent="0.3">
      <c r="B24" s="16"/>
      <c r="C24" s="16"/>
      <c r="D24" s="4">
        <f t="shared" ref="D24:O24" si="5">IFERROR(D23/D10, 0)</f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18"/>
      <c r="Q24" s="4">
        <f>IFERROR(Q23/Q10, 0)</f>
        <v>0</v>
      </c>
    </row>
    <row r="25" spans="1:17" x14ac:dyDescent="0.3">
      <c r="A25" s="5"/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</row>
    <row r="26" spans="1:17" s="15" customFormat="1" x14ac:dyDescent="0.3">
      <c r="A26" s="25"/>
      <c r="B26" s="6" t="s">
        <v>125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2">
        <f>SUM(OSRRefD28_0x)+IFERROR(SUM(OSRRefE28_0x),0)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ht="15" thickBot="1" x14ac:dyDescent="0.35">
      <c r="A28" s="6"/>
      <c r="B28" s="17" t="s">
        <v>124</v>
      </c>
      <c r="C28" s="17"/>
      <c r="D28" s="7">
        <f t="shared" ref="D28:O28" si="6">IFERROR(+D23-D26, 0)</f>
        <v>-58.03</v>
      </c>
      <c r="E28" s="7">
        <f t="shared" si="6"/>
        <v>-58</v>
      </c>
      <c r="F28" s="7">
        <f t="shared" si="6"/>
        <v>-58</v>
      </c>
      <c r="G28" s="7">
        <f t="shared" si="6"/>
        <v>-58</v>
      </c>
      <c r="H28" s="7">
        <f t="shared" si="6"/>
        <v>-58</v>
      </c>
      <c r="I28" s="7">
        <f t="shared" si="6"/>
        <v>-58</v>
      </c>
      <c r="J28" s="7">
        <f t="shared" si="6"/>
        <v>-58</v>
      </c>
      <c r="K28" s="7">
        <f t="shared" si="6"/>
        <v>-58</v>
      </c>
      <c r="L28" s="7">
        <f t="shared" si="6"/>
        <v>-58</v>
      </c>
      <c r="M28" s="7">
        <f t="shared" si="6"/>
        <v>-58</v>
      </c>
      <c r="N28" s="7">
        <f t="shared" si="6"/>
        <v>-58</v>
      </c>
      <c r="O28" s="7">
        <f t="shared" si="6"/>
        <v>-58</v>
      </c>
      <c r="Q28" s="7">
        <f>IFERROR(+Q23-Q26, 0)</f>
        <v>-696.03</v>
      </c>
    </row>
    <row r="29" spans="1:17" ht="15" thickTop="1" x14ac:dyDescent="0.3">
      <c r="A29" s="5"/>
      <c r="B29" s="5"/>
      <c r="C29" s="5"/>
      <c r="D29" s="4">
        <f t="shared" ref="D29:O29" si="7">IFERROR(D28/D10, 0)</f>
        <v>0</v>
      </c>
      <c r="E29" s="4">
        <f t="shared" si="7"/>
        <v>0</v>
      </c>
      <c r="F29" s="4">
        <f t="shared" si="7"/>
        <v>0</v>
      </c>
      <c r="G29" s="4">
        <f t="shared" si="7"/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18"/>
      <c r="Q29" s="4">
        <f>IFERROR(Q28/Q10, 0)</f>
        <v>0</v>
      </c>
    </row>
    <row r="30" spans="1:17" x14ac:dyDescent="0.3">
      <c r="A30" s="5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</row>
    <row r="31" spans="1:17" x14ac:dyDescent="0.3">
      <c r="A31" s="5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s="15" customFormat="1" ht="15" thickBot="1" x14ac:dyDescent="0.35">
      <c r="A32" s="6"/>
      <c r="B32" s="17" t="s">
        <v>294</v>
      </c>
      <c r="C32" s="17"/>
      <c r="D32" s="7">
        <f t="shared" ref="D32:O32" si="8">IFERROR(SUM(D28:D31), 0)</f>
        <v>-58.03</v>
      </c>
      <c r="E32" s="7">
        <f t="shared" si="8"/>
        <v>-58</v>
      </c>
      <c r="F32" s="7">
        <f t="shared" si="8"/>
        <v>-58</v>
      </c>
      <c r="G32" s="7">
        <f t="shared" si="8"/>
        <v>-58</v>
      </c>
      <c r="H32" s="7">
        <f t="shared" si="8"/>
        <v>-58</v>
      </c>
      <c r="I32" s="7">
        <f t="shared" si="8"/>
        <v>-58</v>
      </c>
      <c r="J32" s="7">
        <f t="shared" si="8"/>
        <v>-58</v>
      </c>
      <c r="K32" s="7">
        <f t="shared" si="8"/>
        <v>-58</v>
      </c>
      <c r="L32" s="7">
        <f t="shared" si="8"/>
        <v>-58</v>
      </c>
      <c r="M32" s="7">
        <f t="shared" si="8"/>
        <v>-58</v>
      </c>
      <c r="N32" s="7">
        <f t="shared" si="8"/>
        <v>-58</v>
      </c>
      <c r="O32" s="7">
        <f t="shared" si="8"/>
        <v>-58</v>
      </c>
      <c r="Q32" s="7">
        <f>IFERROR(SUM(Q28:Q31), 0)</f>
        <v>-696.03</v>
      </c>
    </row>
    <row r="33" spans="1:17" ht="15" thickTop="1" x14ac:dyDescent="0.3">
      <c r="A33" s="5"/>
      <c r="C33" s="5"/>
      <c r="D33" s="4">
        <f t="shared" ref="D33:O33" si="9">IFERROR(D32/D10, 0)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  <c r="H33" s="4">
        <f t="shared" si="9"/>
        <v>0</v>
      </c>
      <c r="I33" s="4">
        <f t="shared" si="9"/>
        <v>0</v>
      </c>
      <c r="J33" s="4">
        <f t="shared" si="9"/>
        <v>0</v>
      </c>
      <c r="K33" s="4">
        <f t="shared" si="9"/>
        <v>0</v>
      </c>
      <c r="L33" s="4">
        <f t="shared" si="9"/>
        <v>0</v>
      </c>
      <c r="M33" s="4">
        <f t="shared" si="9"/>
        <v>0</v>
      </c>
      <c r="N33" s="4">
        <f t="shared" si="9"/>
        <v>0</v>
      </c>
      <c r="O33" s="4">
        <f t="shared" si="9"/>
        <v>0</v>
      </c>
      <c r="P33" s="18"/>
      <c r="Q33" s="4">
        <f>IFERROR(Q32/Q10, 0)</f>
        <v>0</v>
      </c>
    </row>
    <row r="34" spans="1:17" x14ac:dyDescent="0.3">
      <c r="A34" s="5"/>
      <c r="B34" s="30">
        <v>44462.678423958336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1"/>
    </row>
    <row r="35" spans="1:17" x14ac:dyDescent="0.3">
      <c r="A35" s="5"/>
      <c r="B35" s="31" t="s">
        <v>54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A36" s="5"/>
      <c r="B36" s="2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92D050"/>
    <outlinePr summaryBelow="0" summaryRight="0"/>
    <pageSetUpPr fitToPage="1"/>
  </sheetPr>
  <dimension ref="A2:R106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","415", " - ", "Outpost")</f>
        <v>Department 415 - Outpost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19702.309999999998</v>
      </c>
      <c r="E10" s="3">
        <f>SUM(OSRRefE11x_0)</f>
        <v>13183</v>
      </c>
      <c r="F10" s="3">
        <f>SUM(OSRRefE11x_1)</f>
        <v>33332</v>
      </c>
      <c r="G10" s="3">
        <f>SUM(OSRRefE11x_2)</f>
        <v>45041</v>
      </c>
      <c r="H10" s="3">
        <f>SUM(OSRRefE11x_3)</f>
        <v>23425</v>
      </c>
      <c r="I10" s="3">
        <f>SUM(OSRRefE11x_4)</f>
        <v>20448</v>
      </c>
      <c r="J10" s="3">
        <f>SUM(OSRRefE11x_5)</f>
        <v>45304</v>
      </c>
      <c r="K10" s="3">
        <f>SUM(OSRRefE11x_6)</f>
        <v>138641</v>
      </c>
      <c r="L10" s="3">
        <f>SUM(OSRRefE11x_7)</f>
        <v>126154</v>
      </c>
      <c r="M10" s="3">
        <f>SUM(OSRRefE11x_8)</f>
        <v>121790</v>
      </c>
      <c r="N10" s="3">
        <f>SUM(OSRRefE11x_9)</f>
        <v>74055</v>
      </c>
      <c r="O10" s="3">
        <f>SUM(OSRRefE11x_10)</f>
        <v>26526</v>
      </c>
      <c r="P10" s="24"/>
      <c r="Q10" s="3">
        <f>SUM(OSRRefG11x)</f>
        <v>687601.30999999994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>0</f>
        <v>0</v>
      </c>
      <c r="E11" s="2">
        <v>4100</v>
      </c>
      <c r="F11" s="2">
        <v>10367</v>
      </c>
      <c r="G11" s="2">
        <v>14009</v>
      </c>
      <c r="H11" s="2">
        <v>7286</v>
      </c>
      <c r="I11" s="2">
        <v>6360</v>
      </c>
      <c r="J11" s="2">
        <v>14091</v>
      </c>
      <c r="K11" s="2">
        <v>43121</v>
      </c>
      <c r="L11" s="2">
        <v>39237</v>
      </c>
      <c r="M11" s="2">
        <v>37880</v>
      </c>
      <c r="N11" s="2">
        <v>23033</v>
      </c>
      <c r="O11" s="2">
        <v>8250</v>
      </c>
      <c r="Q11" s="2">
        <f>SUM(OSRRefD11_0x)+IFERROR(SUM(OSRRefE11_0x),0)</f>
        <v>207734</v>
      </c>
    </row>
    <row r="12" spans="1:18" s="9" customFormat="1" hidden="1" outlineLevel="1" x14ac:dyDescent="0.3">
      <c r="A12" s="22"/>
      <c r="B12" s="10" t="str">
        <f>CONCATENATE("          ","4051", " - ","TAXABLE SALES-FOOD")</f>
        <v xml:space="preserve">          4051 - TAXABLE SALES-FOOD</v>
      </c>
      <c r="C12" s="23"/>
      <c r="D12" s="2">
        <f>--10630.93</f>
        <v>10630.93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Q12" s="2">
        <f>SUM(OSRRefD11_1x)+IFERROR(SUM(OSRRefE11_1x),0)</f>
        <v>10630.93</v>
      </c>
    </row>
    <row r="13" spans="1:18" s="9" customFormat="1" hidden="1" outlineLevel="1" x14ac:dyDescent="0.3">
      <c r="A13" s="22"/>
      <c r="B13" s="10" t="str">
        <f>CONCATENATE("          ","4100", " - ","NON-TAXABLE SALES")</f>
        <v xml:space="preserve">          4100 - NON-TAXABLE SALES</v>
      </c>
      <c r="C13" s="23"/>
      <c r="D13" s="2">
        <f>0</f>
        <v>0</v>
      </c>
      <c r="E13" s="2">
        <v>9083</v>
      </c>
      <c r="F13" s="2">
        <v>22965</v>
      </c>
      <c r="G13" s="2">
        <v>31032</v>
      </c>
      <c r="H13" s="2">
        <v>16139</v>
      </c>
      <c r="I13" s="2">
        <v>14088</v>
      </c>
      <c r="J13" s="2">
        <v>31213</v>
      </c>
      <c r="K13" s="2">
        <v>95520</v>
      </c>
      <c r="L13" s="2">
        <v>86917</v>
      </c>
      <c r="M13" s="2">
        <v>83910</v>
      </c>
      <c r="N13" s="2">
        <v>51022</v>
      </c>
      <c r="O13" s="2">
        <v>18276</v>
      </c>
      <c r="Q13" s="2">
        <f>SUM(OSRRefD11_2x)+IFERROR(SUM(OSRRefE11_2x),0)</f>
        <v>460165</v>
      </c>
    </row>
    <row r="14" spans="1:18" s="9" customFormat="1" hidden="1" outlineLevel="1" x14ac:dyDescent="0.3">
      <c r="A14" s="22"/>
      <c r="B14" s="10" t="str">
        <f>CONCATENATE("          ","4151", " - ","NON-TAXABLE SALES-FOOD")</f>
        <v xml:space="preserve">          4151 - NON-TAXABLE SALES-FOOD</v>
      </c>
      <c r="C14" s="23"/>
      <c r="D14" s="2">
        <f>--9071.38</f>
        <v>9071.3799999999992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9071.3799999999992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6094.1100000000006</v>
      </c>
      <c r="E16" s="3">
        <f>SUM(OSRRefE14x_0)</f>
        <v>5010</v>
      </c>
      <c r="F16" s="3">
        <f>SUM(OSRRefE14x_1)</f>
        <v>12000</v>
      </c>
      <c r="G16" s="3">
        <f>SUM(OSRRefE14x_2)</f>
        <v>12612</v>
      </c>
      <c r="H16" s="3">
        <f>SUM(OSRRefE14x_3)</f>
        <v>7730</v>
      </c>
      <c r="I16" s="3">
        <f>SUM(OSRRefE14x_4)</f>
        <v>6543</v>
      </c>
      <c r="J16" s="3">
        <f>SUM(OSRRefE14x_5)</f>
        <v>14044</v>
      </c>
      <c r="K16" s="3">
        <f>SUM(OSRRefE14x_6)</f>
        <v>42979</v>
      </c>
      <c r="L16" s="3">
        <f>SUM(OSRRefE14x_7)</f>
        <v>40369</v>
      </c>
      <c r="M16" s="3">
        <f>SUM(OSRRefE14x_8)</f>
        <v>40191</v>
      </c>
      <c r="N16" s="3">
        <f>SUM(OSRRefE14x_9)</f>
        <v>24438</v>
      </c>
      <c r="O16" s="3">
        <f>SUM(OSRRefE14x_10)</f>
        <v>7162</v>
      </c>
      <c r="Q16" s="3">
        <f>SUM(OSRRefG14x)</f>
        <v>219172.11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/>
      <c r="E17" s="2">
        <v>5010</v>
      </c>
      <c r="F17" s="2">
        <v>12000</v>
      </c>
      <c r="G17" s="2">
        <v>12612</v>
      </c>
      <c r="H17" s="2">
        <v>7730</v>
      </c>
      <c r="I17" s="2">
        <v>6543</v>
      </c>
      <c r="J17" s="2">
        <v>14044</v>
      </c>
      <c r="K17" s="2">
        <v>42979</v>
      </c>
      <c r="L17" s="2">
        <v>40369</v>
      </c>
      <c r="M17" s="2">
        <v>40191</v>
      </c>
      <c r="N17" s="2">
        <v>24438</v>
      </c>
      <c r="O17" s="2">
        <v>7162</v>
      </c>
      <c r="Q17" s="2">
        <f>SUM(OSRRefD14_0x)+IFERROR(SUM(OSRRefE14_0x),0)</f>
        <v>213078</v>
      </c>
    </row>
    <row r="18" spans="1:17" s="9" customFormat="1" hidden="1" outlineLevel="1" x14ac:dyDescent="0.3">
      <c r="A18" s="22"/>
      <c r="B18" s="10" t="str">
        <f>CONCATENATE("          ","5053", " - ","PURCHASES @ COST-FOOD")</f>
        <v xml:space="preserve">          5053 - PURCHASES @ COST-FOOD</v>
      </c>
      <c r="C18" s="23"/>
      <c r="D18" s="2">
        <v>9259.11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9259.11</v>
      </c>
    </row>
    <row r="19" spans="1:17" s="9" customFormat="1" hidden="1" outlineLevel="1" x14ac:dyDescent="0.3">
      <c r="A19" s="22"/>
      <c r="B19" s="10" t="str">
        <f>CONCATENATE("          ","5059", " - ","PURCHASES @ COST-FOOD")</f>
        <v xml:space="preserve">          5059 - PURCHASES @ COST-FOOD</v>
      </c>
      <c r="C19" s="23"/>
      <c r="D19" s="2">
        <v>-3165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-3165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105</v>
      </c>
      <c r="C21" s="17"/>
      <c r="D21" s="8">
        <f t="shared" ref="D21:O21" si="0">IFERROR(+D10-D16, 0)</f>
        <v>13608.199999999997</v>
      </c>
      <c r="E21" s="8">
        <f t="shared" si="0"/>
        <v>8173</v>
      </c>
      <c r="F21" s="8">
        <f t="shared" si="0"/>
        <v>21332</v>
      </c>
      <c r="G21" s="8">
        <f t="shared" si="0"/>
        <v>32429</v>
      </c>
      <c r="H21" s="8">
        <f t="shared" si="0"/>
        <v>15695</v>
      </c>
      <c r="I21" s="8">
        <f t="shared" si="0"/>
        <v>13905</v>
      </c>
      <c r="J21" s="8">
        <f t="shared" si="0"/>
        <v>31260</v>
      </c>
      <c r="K21" s="8">
        <f t="shared" si="0"/>
        <v>95662</v>
      </c>
      <c r="L21" s="8">
        <f t="shared" si="0"/>
        <v>85785</v>
      </c>
      <c r="M21" s="8">
        <f t="shared" si="0"/>
        <v>81599</v>
      </c>
      <c r="N21" s="8">
        <f t="shared" si="0"/>
        <v>49617</v>
      </c>
      <c r="O21" s="8">
        <f t="shared" si="0"/>
        <v>19364</v>
      </c>
      <c r="Q21" s="8">
        <f>IFERROR(+Q10-Q16, 0)</f>
        <v>468429.19999999995</v>
      </c>
    </row>
    <row r="22" spans="1:17" s="6" customFormat="1" x14ac:dyDescent="0.3">
      <c r="B22" s="16"/>
      <c r="C22" s="16"/>
      <c r="D22" s="4">
        <f t="shared" ref="D22:O22" si="1">IFERROR(D21/D10, 0)</f>
        <v>0.69069058399751093</v>
      </c>
      <c r="E22" s="4">
        <f t="shared" si="1"/>
        <v>0.61996510657665171</v>
      </c>
      <c r="F22" s="4">
        <f t="shared" si="1"/>
        <v>0.63998559942397693</v>
      </c>
      <c r="G22" s="4">
        <f t="shared" si="1"/>
        <v>0.7199884549632557</v>
      </c>
      <c r="H22" s="4">
        <f t="shared" si="1"/>
        <v>0.67001067235859124</v>
      </c>
      <c r="I22" s="4">
        <f t="shared" si="1"/>
        <v>0.68001760563380287</v>
      </c>
      <c r="J22" s="4">
        <f t="shared" si="1"/>
        <v>0.69000529754547058</v>
      </c>
      <c r="K22" s="4">
        <f t="shared" si="1"/>
        <v>0.6899979082666744</v>
      </c>
      <c r="L22" s="4">
        <f t="shared" si="1"/>
        <v>0.68000221950948836</v>
      </c>
      <c r="M22" s="4">
        <f t="shared" si="1"/>
        <v>0.66999753674357498</v>
      </c>
      <c r="N22" s="4">
        <f t="shared" si="1"/>
        <v>0.67000202552157184</v>
      </c>
      <c r="O22" s="4">
        <f t="shared" si="1"/>
        <v>0.73000075397722985</v>
      </c>
      <c r="P22" s="18"/>
      <c r="Q22" s="4">
        <f>IFERROR(Q21/Q10, 0)</f>
        <v>0.68125117446329475</v>
      </c>
    </row>
    <row r="23" spans="1:17" x14ac:dyDescent="0.3">
      <c r="A23" s="5"/>
      <c r="B23" s="6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</row>
    <row r="24" spans="1:17" s="15" customFormat="1" x14ac:dyDescent="0.3">
      <c r="A24" s="6"/>
      <c r="B24" s="16" t="s">
        <v>255</v>
      </c>
      <c r="C24" s="6"/>
      <c r="D24" s="13">
        <f>SUM(OSRRefD20x_0)</f>
        <v>60021.139999999992</v>
      </c>
      <c r="E24" s="13">
        <f>SUM(OSRRefE20x_0)</f>
        <v>58659.473306203079</v>
      </c>
      <c r="F24" s="13">
        <f>SUM(OSRRefE20x_1)</f>
        <v>56810.652246522921</v>
      </c>
      <c r="G24" s="13">
        <f>SUM(OSRRefE20x_2)</f>
        <v>62942.451793378852</v>
      </c>
      <c r="H24" s="13">
        <f>SUM(OSRRefE20x_3)</f>
        <v>51556.156238122152</v>
      </c>
      <c r="I24" s="13">
        <f>SUM(OSRRefE20x_4)</f>
        <v>50890.036291291231</v>
      </c>
      <c r="J24" s="13">
        <f>SUM(OSRRefE20x_5)</f>
        <v>57697.079368147155</v>
      </c>
      <c r="K24" s="13">
        <f>SUM(OSRRefE20x_6)</f>
        <v>65015.449323703084</v>
      </c>
      <c r="L24" s="13">
        <f>SUM(OSRRefE20x_7)</f>
        <v>60917.946988122152</v>
      </c>
      <c r="M24" s="13">
        <f>SUM(OSRRefE20x_8)</f>
        <v>72260.447639948688</v>
      </c>
      <c r="N24" s="13">
        <f>SUM(OSRRefE20x_9)</f>
        <v>60264.390849212621</v>
      </c>
      <c r="O24" s="13">
        <f>SUM(OSRRefE20x_10)</f>
        <v>48265.147065272919</v>
      </c>
      <c r="Q24" s="13">
        <f>SUM(OSRRefG20x)</f>
        <v>705300.37110992498</v>
      </c>
    </row>
    <row r="25" spans="1:17" s="34" customFormat="1" collapsed="1" x14ac:dyDescent="0.3">
      <c r="A25" s="35"/>
      <c r="B25" s="14" t="str">
        <f>CONCATENATE("     ","*Benefits                                         ")</f>
        <v xml:space="preserve">     *Benefits                                         </v>
      </c>
      <c r="C25" s="14"/>
      <c r="D25" s="1">
        <f>SUM(OSRRefD21_0x_0)</f>
        <v>10097.829999999998</v>
      </c>
      <c r="E25" s="1">
        <f>SUM(OSRRefE21_0x_0)</f>
        <v>6571.2686062030798</v>
      </c>
      <c r="F25" s="1">
        <f>SUM(OSRRefE21_0x_1)</f>
        <v>6563.3547065229204</v>
      </c>
      <c r="G25" s="1">
        <f>SUM(OSRRefE21_0x_2)</f>
        <v>7871.6334183788513</v>
      </c>
      <c r="H25" s="1">
        <f>SUM(OSRRefE21_0x_3)</f>
        <v>5764.3944981221503</v>
      </c>
      <c r="I25" s="1">
        <f>SUM(OSRRefE21_0x_4)</f>
        <v>4953.59251129123</v>
      </c>
      <c r="J25" s="1">
        <f>SUM(OSRRefE21_0x_5)</f>
        <v>6247.3997531471505</v>
      </c>
      <c r="K25" s="1">
        <f>SUM(OSRRefE21_0x_6)</f>
        <v>6862.9796237030787</v>
      </c>
      <c r="L25" s="1">
        <f>SUM(OSRRefE21_0x_7)</f>
        <v>5969.67024812215</v>
      </c>
      <c r="M25" s="1">
        <f>SUM(OSRRefE21_0x_8)</f>
        <v>7987.0964249486906</v>
      </c>
      <c r="N25" s="1">
        <f>SUM(OSRRefE21_0x_9)</f>
        <v>6469.8901292126211</v>
      </c>
      <c r="O25" s="1">
        <f>SUM(OSRRefE21_0x_10)</f>
        <v>5943.7745252729201</v>
      </c>
      <c r="Q25" s="2">
        <f>SUM(OSRRefD20_0x)+IFERROR(SUM(OSRRefE20_0x),0)</f>
        <v>81302.884444924857</v>
      </c>
    </row>
    <row r="26" spans="1:17" s="34" customFormat="1" hidden="1" outlineLevel="1" x14ac:dyDescent="0.3">
      <c r="A26" s="35"/>
      <c r="B26" s="10" t="str">
        <f>CONCATENATE("          ","6111", " - ","F.I.C.A.")</f>
        <v xml:space="preserve">          6111 - F.I.C.A.</v>
      </c>
      <c r="C26" s="14"/>
      <c r="D26" s="2">
        <v>1121.3499999999999</v>
      </c>
      <c r="E26" s="2">
        <v>942.86306927999999</v>
      </c>
      <c r="F26" s="2">
        <v>966.07172544599996</v>
      </c>
      <c r="G26" s="2">
        <v>1247.785872225</v>
      </c>
      <c r="H26" s="2">
        <v>813.72429627600002</v>
      </c>
      <c r="I26" s="2">
        <v>598.00139452200006</v>
      </c>
      <c r="J26" s="2">
        <v>889.35832130100005</v>
      </c>
      <c r="K26" s="2">
        <v>998.71083678000002</v>
      </c>
      <c r="L26" s="2">
        <v>813.72429627600002</v>
      </c>
      <c r="M26" s="2">
        <v>1215.7494346410001</v>
      </c>
      <c r="N26" s="2">
        <v>920.00138482800003</v>
      </c>
      <c r="O26" s="2">
        <v>631.587794196</v>
      </c>
      <c r="P26" s="9"/>
      <c r="Q26" s="2">
        <f>SUM(OSRRefD21_0_0x)+IFERROR(SUM(OSRRefE21_0_0x),0)</f>
        <v>11158.928425771001</v>
      </c>
    </row>
    <row r="27" spans="1:17" s="34" customFormat="1" hidden="1" outlineLevel="1" x14ac:dyDescent="0.3">
      <c r="A27" s="35"/>
      <c r="B27" s="10" t="str">
        <f>CONCATENATE("          ","6112", " - ","COMPENSATION INSURANCE")</f>
        <v xml:space="preserve">          6112 - COMPENSATION INSURANCE</v>
      </c>
      <c r="C27" s="14"/>
      <c r="D27" s="2">
        <v>527.62</v>
      </c>
      <c r="E27" s="2">
        <v>592.15627040000004</v>
      </c>
      <c r="F27" s="2">
        <v>642.78165778000005</v>
      </c>
      <c r="G27" s="2">
        <v>835.96153174999995</v>
      </c>
      <c r="H27" s="2">
        <v>523.73059467999997</v>
      </c>
      <c r="I27" s="2">
        <v>469.44635646</v>
      </c>
      <c r="J27" s="2">
        <v>692.85962892999999</v>
      </c>
      <c r="K27" s="2">
        <v>770.94061390000002</v>
      </c>
      <c r="L27" s="2">
        <v>679.32961318000002</v>
      </c>
      <c r="M27" s="2">
        <v>1021.98239513</v>
      </c>
      <c r="N27" s="2">
        <v>755.28939578999996</v>
      </c>
      <c r="O27" s="2">
        <v>408.48670027999998</v>
      </c>
      <c r="P27" s="9"/>
      <c r="Q27" s="2">
        <f>SUM(OSRRefD21_0_1x)+IFERROR(SUM(OSRRefE21_0_1x),0)</f>
        <v>7920.5847582799988</v>
      </c>
    </row>
    <row r="28" spans="1:17" s="34" customFormat="1" hidden="1" outlineLevel="1" x14ac:dyDescent="0.3">
      <c r="A28" s="35"/>
      <c r="B28" s="10" t="str">
        <f>CONCATENATE("          ","6113", " - ","GROUP INSURANCE")</f>
        <v xml:space="preserve">          6113 - GROUP INSURANCE</v>
      </c>
      <c r="C28" s="14"/>
      <c r="D28" s="2">
        <v>5217.82</v>
      </c>
      <c r="E28" s="2">
        <v>3801.9230769230799</v>
      </c>
      <c r="F28" s="2">
        <v>3710.67692307692</v>
      </c>
      <c r="G28" s="2">
        <v>4258.1538461538503</v>
      </c>
      <c r="H28" s="2">
        <v>3254.4461538461501</v>
      </c>
      <c r="I28" s="2">
        <v>2706.9692307692299</v>
      </c>
      <c r="J28" s="2">
        <v>3254.4461538461501</v>
      </c>
      <c r="K28" s="2">
        <v>3801.9230769230799</v>
      </c>
      <c r="L28" s="2">
        <v>3254.4461538461501</v>
      </c>
      <c r="M28" s="2">
        <v>4166.90769230769</v>
      </c>
      <c r="N28" s="2">
        <v>3528.18461538462</v>
      </c>
      <c r="O28" s="2">
        <v>3710.67692307692</v>
      </c>
      <c r="P28" s="9"/>
      <c r="Q28" s="2">
        <f>SUM(OSRRefD21_0_2x)+IFERROR(SUM(OSRRefE21_0_2x),0)</f>
        <v>44666.573846153842</v>
      </c>
    </row>
    <row r="29" spans="1:17" s="34" customFormat="1" hidden="1" outlineLevel="1" x14ac:dyDescent="0.3">
      <c r="A29" s="35"/>
      <c r="B29" s="10" t="str">
        <f>CONCATENATE("          ","6114", " - ","STATE UNEMPLOYMENT INSURANCE")</f>
        <v xml:space="preserve">          6114 - STATE UNEMPLOYMENT INSURANCE</v>
      </c>
      <c r="C29" s="14"/>
      <c r="D29" s="2">
        <v>38.11</v>
      </c>
      <c r="E29" s="2">
        <v>32.8107696</v>
      </c>
      <c r="F29" s="2">
        <v>35.615870219999998</v>
      </c>
      <c r="G29" s="2">
        <v>46.319768250000003</v>
      </c>
      <c r="H29" s="2">
        <v>29.01937332</v>
      </c>
      <c r="I29" s="2">
        <v>26.011539540000001</v>
      </c>
      <c r="J29" s="2">
        <v>38.390639069999999</v>
      </c>
      <c r="K29" s="2">
        <v>42.717026099999998</v>
      </c>
      <c r="L29" s="2">
        <v>37.640954819999997</v>
      </c>
      <c r="M29" s="2">
        <v>56.626992870000002</v>
      </c>
      <c r="N29" s="2">
        <v>41.849808209999999</v>
      </c>
      <c r="O29" s="2">
        <v>22.633827719999999</v>
      </c>
      <c r="P29" s="9"/>
      <c r="Q29" s="2">
        <f>SUM(OSRRefD21_0_3x)+IFERROR(SUM(OSRRefE21_0_3x),0)</f>
        <v>447.74656971999997</v>
      </c>
    </row>
    <row r="30" spans="1:17" s="34" customFormat="1" hidden="1" outlineLevel="1" x14ac:dyDescent="0.3">
      <c r="A30" s="35"/>
      <c r="B30" s="10" t="str">
        <f>CONCATENATE("          ","6115", " - ","P.E.R.S.")</f>
        <v xml:space="preserve">          6115 - P.E.R.S.</v>
      </c>
      <c r="C30" s="14"/>
      <c r="D30" s="2">
        <v>870.61</v>
      </c>
      <c r="E30" s="2">
        <v>437.49662000000001</v>
      </c>
      <c r="F30" s="2">
        <v>437.49662000000001</v>
      </c>
      <c r="G30" s="2">
        <v>546.87077499999998</v>
      </c>
      <c r="H30" s="2">
        <v>437.49662000000001</v>
      </c>
      <c r="I30" s="2">
        <v>437.49662000000001</v>
      </c>
      <c r="J30" s="2">
        <v>546.87077499999998</v>
      </c>
      <c r="K30" s="2">
        <v>437.49662000000001</v>
      </c>
      <c r="L30" s="2">
        <v>437.49662000000001</v>
      </c>
      <c r="M30" s="2">
        <v>546.87077499999998</v>
      </c>
      <c r="N30" s="2">
        <v>437.49662000000001</v>
      </c>
      <c r="O30" s="2">
        <v>437.49662000000001</v>
      </c>
      <c r="P30" s="9"/>
      <c r="Q30" s="2">
        <f>SUM(OSRRefD21_0_4x)+IFERROR(SUM(OSRRefE21_0_4x),0)</f>
        <v>6011.1952849999989</v>
      </c>
    </row>
    <row r="31" spans="1:17" s="34" customFormat="1" hidden="1" outlineLevel="1" x14ac:dyDescent="0.3">
      <c r="A31" s="35"/>
      <c r="B31" s="10" t="str">
        <f>CONCATENATE("          ","6116", " - ","EDUCATIONAL BENEFITS")</f>
        <v xml:space="preserve">          6116 - EDUCATIONAL BENEFITS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SUM(OSRRefD21_0_5x)+IFERROR(SUM(OSRRefE21_0_5x),0)</f>
        <v>0</v>
      </c>
    </row>
    <row r="32" spans="1:17" s="34" customFormat="1" hidden="1" outlineLevel="1" x14ac:dyDescent="0.3">
      <c r="A32" s="35"/>
      <c r="B32" s="10" t="str">
        <f>CONCATENATE("          ","6118", " - ","VACATION")</f>
        <v xml:space="preserve">          6118 - VACATION</v>
      </c>
      <c r="C32" s="14"/>
      <c r="D32" s="2">
        <v>951.06</v>
      </c>
      <c r="E32" s="2">
        <v>252.58278000000001</v>
      </c>
      <c r="F32" s="2">
        <v>247.584396</v>
      </c>
      <c r="G32" s="2">
        <v>315.728475</v>
      </c>
      <c r="H32" s="2">
        <v>222.592476</v>
      </c>
      <c r="I32" s="2">
        <v>192.602172</v>
      </c>
      <c r="J32" s="2">
        <v>260.74625099999997</v>
      </c>
      <c r="K32" s="2">
        <v>252.58278000000001</v>
      </c>
      <c r="L32" s="2">
        <v>222.592476</v>
      </c>
      <c r="M32" s="2">
        <v>310.73009100000002</v>
      </c>
      <c r="N32" s="2">
        <v>237.587628</v>
      </c>
      <c r="O32" s="2">
        <v>247.584396</v>
      </c>
      <c r="P32" s="9"/>
      <c r="Q32" s="2">
        <f>SUM(OSRRefD21_0_6x)+IFERROR(SUM(OSRRefE21_0_6x),0)</f>
        <v>3713.9739210000002</v>
      </c>
    </row>
    <row r="33" spans="1:17" s="34" customFormat="1" hidden="1" outlineLevel="1" x14ac:dyDescent="0.3">
      <c r="A33" s="35"/>
      <c r="B33" s="10" t="str">
        <f>CONCATENATE("          ","6119", " - ","SICK LEAVE")</f>
        <v xml:space="preserve">          6119 - SICK LEAVE</v>
      </c>
      <c r="C33" s="14"/>
      <c r="D33" s="2">
        <v>875.97</v>
      </c>
      <c r="E33" s="2">
        <v>240.43602000000001</v>
      </c>
      <c r="F33" s="2">
        <v>252.12751399999999</v>
      </c>
      <c r="G33" s="2">
        <v>325.81315000000001</v>
      </c>
      <c r="H33" s="2">
        <v>212.384984</v>
      </c>
      <c r="I33" s="2">
        <v>188.06519800000001</v>
      </c>
      <c r="J33" s="2">
        <v>269.72798399999999</v>
      </c>
      <c r="K33" s="2">
        <v>287.60867000000002</v>
      </c>
      <c r="L33" s="2">
        <v>253.440134</v>
      </c>
      <c r="M33" s="2">
        <v>373.22904399999999</v>
      </c>
      <c r="N33" s="2">
        <v>278.48067700000001</v>
      </c>
      <c r="O33" s="2">
        <v>190.30826400000001</v>
      </c>
      <c r="P33" s="9"/>
      <c r="Q33" s="2">
        <f>SUM(OSRRefD21_0_7x)+IFERROR(SUM(OSRRefE21_0_7x),0)</f>
        <v>3747.5916390000002</v>
      </c>
    </row>
    <row r="34" spans="1:17" s="34" customFormat="1" hidden="1" outlineLevel="1" x14ac:dyDescent="0.3">
      <c r="A34" s="35"/>
      <c r="B34" s="10" t="str">
        <f>CONCATENATE("          ","6156", " - ","EMPLOYEE MEALS")</f>
        <v xml:space="preserve">          6156 - EMPLOYEE MEALS</v>
      </c>
      <c r="C34" s="14"/>
      <c r="D34" s="2">
        <v>495.29</v>
      </c>
      <c r="E34" s="2">
        <v>271</v>
      </c>
      <c r="F34" s="2">
        <v>271</v>
      </c>
      <c r="G34" s="2">
        <v>295</v>
      </c>
      <c r="H34" s="2">
        <v>271</v>
      </c>
      <c r="I34" s="2">
        <v>335</v>
      </c>
      <c r="J34" s="2">
        <v>295</v>
      </c>
      <c r="K34" s="2">
        <v>271</v>
      </c>
      <c r="L34" s="2">
        <v>271</v>
      </c>
      <c r="M34" s="2">
        <v>295</v>
      </c>
      <c r="N34" s="2">
        <v>271</v>
      </c>
      <c r="O34" s="2">
        <v>295</v>
      </c>
      <c r="P34" s="9"/>
      <c r="Q34" s="2">
        <f>SUM(OSRRefD21_0_8x)+IFERROR(SUM(OSRRefE21_0_8x),0)</f>
        <v>3636.29</v>
      </c>
    </row>
    <row r="35" spans="1:17" s="34" customFormat="1" collapsed="1" x14ac:dyDescent="0.3">
      <c r="A35" s="35"/>
      <c r="B35" s="14" t="str">
        <f>CONCATENATE("     ","*Payroll                                          ")</f>
        <v xml:space="preserve">     *Payroll                                          </v>
      </c>
      <c r="C35" s="14"/>
      <c r="D35" s="1">
        <f>SUM(OSRRefD21_1x_0)</f>
        <v>17651.629999999997</v>
      </c>
      <c r="E35" s="1">
        <f>SUM(OSRRefE21_1x_0)</f>
        <v>15203.2047</v>
      </c>
      <c r="F35" s="1">
        <f>SUM(OSRRefE21_1x_1)</f>
        <v>16547.29754</v>
      </c>
      <c r="G35" s="1">
        <f>SUM(OSRRefE21_1x_2)</f>
        <v>21530.818374999999</v>
      </c>
      <c r="H35" s="1">
        <f>SUM(OSRRefE21_1x_3)</f>
        <v>13447.76174</v>
      </c>
      <c r="I35" s="1">
        <f>SUM(OSRRefE21_1x_4)</f>
        <v>12065.44378</v>
      </c>
      <c r="J35" s="1">
        <f>SUM(OSRRefE21_1x_5)</f>
        <v>17846.679615000001</v>
      </c>
      <c r="K35" s="1">
        <f>SUM(OSRRefE21_1x_6)</f>
        <v>19920.469700000001</v>
      </c>
      <c r="L35" s="1">
        <f>SUM(OSRRefE21_1x_7)</f>
        <v>17553.276740000001</v>
      </c>
      <c r="M35" s="1">
        <f>SUM(OSRRefE21_1x_8)</f>
        <v>26447.351215000002</v>
      </c>
      <c r="N35" s="1">
        <f>SUM(OSRRefE21_1x_9)</f>
        <v>19532.50072</v>
      </c>
      <c r="O35" s="1">
        <f>SUM(OSRRefE21_1x_10)</f>
        <v>10365.37254</v>
      </c>
      <c r="Q35" s="2">
        <f>SUM(OSRRefD20_1x)+IFERROR(SUM(OSRRefE20_1x),0)</f>
        <v>208111.80666500004</v>
      </c>
    </row>
    <row r="36" spans="1:17" s="34" customFormat="1" hidden="1" outlineLevel="1" x14ac:dyDescent="0.3">
      <c r="A36" s="35"/>
      <c r="B36" s="10" t="str">
        <f>CONCATENATE("          ","6001", " - ","ADMINISTRATIVE SALARIES")</f>
        <v xml:space="preserve">          6001 - ADMINISTRATIVE SALARIES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SUM(OSRRefD21_1_0x)+IFERROR(SUM(OSRRefE21_1_0x),0)</f>
        <v>0</v>
      </c>
    </row>
    <row r="37" spans="1:17" s="34" customFormat="1" hidden="1" outlineLevel="1" x14ac:dyDescent="0.3">
      <c r="A37" s="35"/>
      <c r="B37" s="10" t="str">
        <f>CONCATENATE("          ","6002", " - ","STAFF SALARIES")</f>
        <v xml:space="preserve">          6002 - STAFF SALARIES</v>
      </c>
      <c r="C37" s="14"/>
      <c r="D37" s="2">
        <v>11462.58</v>
      </c>
      <c r="E37" s="2">
        <v>4832.8114999999998</v>
      </c>
      <c r="F37" s="2">
        <v>4832.8114999999998</v>
      </c>
      <c r="G37" s="2">
        <v>6041.0143749999997</v>
      </c>
      <c r="H37" s="2">
        <v>4832.8114999999998</v>
      </c>
      <c r="I37" s="2">
        <v>4832.8114999999998</v>
      </c>
      <c r="J37" s="2">
        <v>6041.0143749999997</v>
      </c>
      <c r="K37" s="2">
        <v>4832.8114999999998</v>
      </c>
      <c r="L37" s="2">
        <v>4832.8114999999998</v>
      </c>
      <c r="M37" s="2">
        <v>6041.0143749999997</v>
      </c>
      <c r="N37" s="2">
        <v>4832.8114999999998</v>
      </c>
      <c r="O37" s="2">
        <v>4832.8114999999998</v>
      </c>
      <c r="P37" s="9"/>
      <c r="Q37" s="2">
        <f>SUM(OSRRefD21_1_1x)+IFERROR(SUM(OSRRefE21_1_1x),0)</f>
        <v>68248.115124999982</v>
      </c>
    </row>
    <row r="38" spans="1:17" s="34" customFormat="1" hidden="1" outlineLevel="1" x14ac:dyDescent="0.3">
      <c r="A38" s="35"/>
      <c r="B38" s="10" t="str">
        <f>CONCATENATE("          ","6003", " - ","STAFF HOURLY-9 MONTH")</f>
        <v xml:space="preserve">          6003 - STAFF HOURLY-9 MONTH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SUM(OSRRefD21_1_2x)+IFERROR(SUM(OSRRefE21_1_2x),0)</f>
        <v>0</v>
      </c>
    </row>
    <row r="39" spans="1:17" s="34" customFormat="1" hidden="1" outlineLevel="1" x14ac:dyDescent="0.3">
      <c r="A39" s="35"/>
      <c r="B39" s="10" t="str">
        <f>CONCATENATE("          ","6004", " - ","STAFF HOURLY")</f>
        <v xml:space="preserve">          6004 - STAFF HOURLY</v>
      </c>
      <c r="C39" s="14"/>
      <c r="D39" s="2">
        <v>2994.99</v>
      </c>
      <c r="E39" s="2">
        <v>6268.3932000000004</v>
      </c>
      <c r="F39" s="2">
        <v>7377.9860399999998</v>
      </c>
      <c r="G39" s="2">
        <v>9737.3040000000001</v>
      </c>
      <c r="H39" s="2">
        <v>5428.9502400000001</v>
      </c>
      <c r="I39" s="2">
        <v>2660.1322799999998</v>
      </c>
      <c r="J39" s="2">
        <v>5145.4502400000001</v>
      </c>
      <c r="K39" s="2">
        <v>7796.1432000000004</v>
      </c>
      <c r="L39" s="2">
        <v>5428.9502400000001</v>
      </c>
      <c r="M39" s="2">
        <v>9327.0218399999994</v>
      </c>
      <c r="N39" s="2">
        <v>6313.2967200000003</v>
      </c>
      <c r="O39" s="2">
        <v>3007.3610399999998</v>
      </c>
      <c r="P39" s="9"/>
      <c r="Q39" s="2">
        <f>SUM(OSRRefD21_1_3x)+IFERROR(SUM(OSRRefE21_1_3x),0)</f>
        <v>71485.979039999991</v>
      </c>
    </row>
    <row r="40" spans="1:17" s="34" customFormat="1" hidden="1" outlineLevel="1" x14ac:dyDescent="0.3">
      <c r="A40" s="35"/>
      <c r="B40" s="10" t="str">
        <f>CONCATENATE("          ","6005", " - ","TEMPORARY WAGES-HOURLY")</f>
        <v xml:space="preserve">          6005 - TEMPORARY WAGES-HOURLY</v>
      </c>
      <c r="C40" s="14"/>
      <c r="D40" s="2">
        <v>1811.06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SUM(OSRRefD21_1_4x)+IFERROR(SUM(OSRRefE21_1_4x),0)</f>
        <v>1811.06</v>
      </c>
    </row>
    <row r="41" spans="1:17" s="34" customFormat="1" hidden="1" outlineLevel="1" x14ac:dyDescent="0.3">
      <c r="A41" s="35"/>
      <c r="B41" s="10" t="str">
        <f>CONCATENATE("          ","6006", " - ","TEMPORARY PART TIME")</f>
        <v xml:space="preserve">          6006 - TEMPORARY PART TIME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SUM(OSRRefD21_1_5x)+IFERROR(SUM(OSRRefE21_1_5x),0)</f>
        <v>0</v>
      </c>
    </row>
    <row r="42" spans="1:17" s="34" customFormat="1" hidden="1" outlineLevel="1" x14ac:dyDescent="0.3">
      <c r="A42" s="35"/>
      <c r="B42" s="10" t="str">
        <f>CONCATENATE("          ","6007", " - ","STUDENT HOURLY")</f>
        <v xml:space="preserve">          6007 - STUDENT HOURLY</v>
      </c>
      <c r="C42" s="14"/>
      <c r="D42" s="2">
        <v>1383</v>
      </c>
      <c r="E42" s="2">
        <v>798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479.36</v>
      </c>
      <c r="O42" s="2">
        <v>0</v>
      </c>
      <c r="P42" s="9"/>
      <c r="Q42" s="2">
        <f>SUM(OSRRefD21_1_6x)+IFERROR(SUM(OSRRefE21_1_6x),0)</f>
        <v>2660.36</v>
      </c>
    </row>
    <row r="43" spans="1:17" s="34" customFormat="1" hidden="1" outlineLevel="1" x14ac:dyDescent="0.3">
      <c r="A43" s="35"/>
      <c r="B43" s="10" t="str">
        <f>CONCATENATE("          ","6008", " - ","STUDENT HOURLY-FICA EXEMPT")</f>
        <v xml:space="preserve">          6008 - STUDENT HOURLY-FICA EXEMPT</v>
      </c>
      <c r="C43" s="14"/>
      <c r="D43" s="2"/>
      <c r="E43" s="2">
        <v>3304</v>
      </c>
      <c r="F43" s="2">
        <v>4336.5</v>
      </c>
      <c r="G43" s="2">
        <v>5752.5</v>
      </c>
      <c r="H43" s="2">
        <v>3186</v>
      </c>
      <c r="I43" s="2">
        <v>4572.5</v>
      </c>
      <c r="J43" s="2">
        <v>6660.2150000000001</v>
      </c>
      <c r="K43" s="2">
        <v>7291.5150000000003</v>
      </c>
      <c r="L43" s="2">
        <v>7291.5150000000003</v>
      </c>
      <c r="M43" s="2">
        <v>11079.315000000001</v>
      </c>
      <c r="N43" s="2">
        <v>7907.0325000000003</v>
      </c>
      <c r="O43" s="2">
        <v>2525.1999999999998</v>
      </c>
      <c r="P43" s="9"/>
      <c r="Q43" s="2">
        <f>SUM(OSRRefD21_1_7x)+IFERROR(SUM(OSRRefE21_1_7x),0)</f>
        <v>63906.292500000003</v>
      </c>
    </row>
    <row r="44" spans="1:17" s="34" customFormat="1" hidden="1" outlineLevel="1" x14ac:dyDescent="0.3">
      <c r="A44" s="35"/>
      <c r="B44" s="10" t="str">
        <f>CONCATENATE("          ","6009", " - ","TEMPORARY-SEASONAL")</f>
        <v xml:space="preserve">          6009 - TEMPORARY-SEASONAL</v>
      </c>
      <c r="C44" s="14"/>
      <c r="D44" s="2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9"/>
      <c r="Q44" s="2">
        <f>SUM(OSRRefD21_1_8x)+IFERROR(SUM(OSRRefE21_1_8x),0)</f>
        <v>0</v>
      </c>
    </row>
    <row r="45" spans="1:17" s="34" customFormat="1" hidden="1" outlineLevel="1" x14ac:dyDescent="0.3">
      <c r="A45" s="35"/>
      <c r="B45" s="10" t="str">
        <f>CONCATENATE("          ","6010", " - ","GRATUITY")</f>
        <v xml:space="preserve">          6010 - GRATUITY</v>
      </c>
      <c r="C45" s="14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9"/>
      <c r="Q45" s="2">
        <f>SUM(OSRRefD21_1_9x)+IFERROR(SUM(OSRRefE21_1_9x),0)</f>
        <v>0</v>
      </c>
    </row>
    <row r="46" spans="1:17" s="34" customFormat="1" collapsed="1" x14ac:dyDescent="0.3">
      <c r="A46" s="35"/>
      <c r="B46" s="14" t="str">
        <f>CONCATENATE("     ","Advertising/Promo                                 ")</f>
        <v xml:space="preserve">     Advertising/Promo                                 </v>
      </c>
      <c r="C46" s="14"/>
      <c r="D46" s="1">
        <f>SUM(OSRRefD21_2x_0)</f>
        <v>127.33</v>
      </c>
      <c r="E46" s="1">
        <f>SUM(OSRRefE21_2x_0)</f>
        <v>0</v>
      </c>
      <c r="F46" s="1">
        <f>SUM(OSRRefE21_2x_1)</f>
        <v>0</v>
      </c>
      <c r="G46" s="1">
        <f>SUM(OSRRefE21_2x_2)</f>
        <v>0</v>
      </c>
      <c r="H46" s="1">
        <f>SUM(OSRRefE21_2x_3)</f>
        <v>0</v>
      </c>
      <c r="I46" s="1">
        <f>SUM(OSRRefE21_2x_4)</f>
        <v>0</v>
      </c>
      <c r="J46" s="1">
        <f>SUM(OSRRefE21_2x_5)</f>
        <v>0</v>
      </c>
      <c r="K46" s="1">
        <f>SUM(OSRRefE21_2x_6)</f>
        <v>0</v>
      </c>
      <c r="L46" s="1">
        <f>SUM(OSRRefE21_2x_7)</f>
        <v>0</v>
      </c>
      <c r="M46" s="1">
        <f>SUM(OSRRefE21_2x_8)</f>
        <v>0</v>
      </c>
      <c r="N46" s="1">
        <f>SUM(OSRRefE21_2x_9)</f>
        <v>0</v>
      </c>
      <c r="O46" s="1">
        <f>SUM(OSRRefE21_2x_10)</f>
        <v>0</v>
      </c>
      <c r="Q46" s="2">
        <f>SUM(OSRRefD20_2x)+IFERROR(SUM(OSRRefE20_2x),0)</f>
        <v>127.33</v>
      </c>
    </row>
    <row r="47" spans="1:17" s="34" customFormat="1" hidden="1" outlineLevel="1" x14ac:dyDescent="0.3">
      <c r="A47" s="35"/>
      <c r="B47" s="10" t="str">
        <f>CONCATENATE("          ","6362", " - ","ADVERTISING EXPENSE")</f>
        <v xml:space="preserve">          6362 - ADVERTISING EXPENSE</v>
      </c>
      <c r="C47" s="14"/>
      <c r="D47" s="2">
        <v>127.33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2">
        <f>SUM(OSRRefD21_2_0x)+IFERROR(SUM(OSRRefE21_2_0x),0)</f>
        <v>127.33</v>
      </c>
    </row>
    <row r="48" spans="1:17" s="34" customFormat="1" collapsed="1" x14ac:dyDescent="0.3">
      <c r="A48" s="35"/>
      <c r="B48" s="14" t="str">
        <f>CONCATENATE("     ","Bad Debts/Over/Short                              ")</f>
        <v xml:space="preserve">     Bad Debts/Over/Short                              </v>
      </c>
      <c r="C48" s="14"/>
      <c r="D48" s="1">
        <f>SUM(OSRRefD21_3x_0)</f>
        <v>-19.02</v>
      </c>
      <c r="E48" s="1">
        <f>SUM(OSRRefE21_3x_0)</f>
        <v>10</v>
      </c>
      <c r="F48" s="1">
        <f>SUM(OSRRefE21_3x_1)</f>
        <v>10</v>
      </c>
      <c r="G48" s="1">
        <f>SUM(OSRRefE21_3x_2)</f>
        <v>10</v>
      </c>
      <c r="H48" s="1">
        <f>SUM(OSRRefE21_3x_3)</f>
        <v>0</v>
      </c>
      <c r="I48" s="1">
        <f>SUM(OSRRefE21_3x_4)</f>
        <v>10</v>
      </c>
      <c r="J48" s="1">
        <f>SUM(OSRRefE21_3x_5)</f>
        <v>0</v>
      </c>
      <c r="K48" s="1">
        <f>SUM(OSRRefE21_3x_6)</f>
        <v>10</v>
      </c>
      <c r="L48" s="1">
        <f>SUM(OSRRefE21_3x_7)</f>
        <v>0</v>
      </c>
      <c r="M48" s="1">
        <f>SUM(OSRRefE21_3x_8)</f>
        <v>10</v>
      </c>
      <c r="N48" s="1">
        <f>SUM(OSRRefE21_3x_9)</f>
        <v>0</v>
      </c>
      <c r="O48" s="1">
        <f>SUM(OSRRefE21_3x_10)</f>
        <v>10</v>
      </c>
      <c r="Q48" s="2">
        <f>SUM(OSRRefD20_3x)+IFERROR(SUM(OSRRefE20_3x),0)</f>
        <v>50.980000000000004</v>
      </c>
    </row>
    <row r="49" spans="1:17" s="34" customFormat="1" hidden="1" outlineLevel="1" x14ac:dyDescent="0.3">
      <c r="A49" s="35"/>
      <c r="B49" s="10" t="str">
        <f>CONCATENATE("          ","6272", " - ","CASH (OVER/SHORT)")</f>
        <v xml:space="preserve">          6272 - CASH (OVER/SHORT)</v>
      </c>
      <c r="C49" s="14"/>
      <c r="D49" s="2">
        <v>-19.02</v>
      </c>
      <c r="E49" s="2">
        <v>10</v>
      </c>
      <c r="F49" s="2">
        <v>10</v>
      </c>
      <c r="G49" s="2">
        <v>10</v>
      </c>
      <c r="H49" s="2"/>
      <c r="I49" s="2">
        <v>10</v>
      </c>
      <c r="J49" s="2"/>
      <c r="K49" s="2">
        <v>10</v>
      </c>
      <c r="L49" s="2"/>
      <c r="M49" s="2">
        <v>10</v>
      </c>
      <c r="N49" s="2"/>
      <c r="O49" s="2">
        <v>10</v>
      </c>
      <c r="P49" s="9"/>
      <c r="Q49" s="2">
        <f>SUM(OSRRefD21_3_0x)+IFERROR(SUM(OSRRefE21_3_0x),0)</f>
        <v>50.980000000000004</v>
      </c>
    </row>
    <row r="50" spans="1:17" s="34" customFormat="1" collapsed="1" x14ac:dyDescent="0.3">
      <c r="A50" s="35"/>
      <c r="B50" s="14" t="str">
        <f>CONCATENATE("     ","Bank/card Fees                                    ")</f>
        <v xml:space="preserve">     Bank/card Fees                                    </v>
      </c>
      <c r="C50" s="14"/>
      <c r="D50" s="1">
        <f>SUM(OSRRefD21_4x_0)</f>
        <v>690.24</v>
      </c>
      <c r="E50" s="1">
        <f>SUM(OSRRefE21_4x_0)</f>
        <v>661</v>
      </c>
      <c r="F50" s="1">
        <f>SUM(OSRRefE21_4x_1)</f>
        <v>1672</v>
      </c>
      <c r="G50" s="1">
        <f>SUM(OSRRefE21_4x_2)</f>
        <v>2259</v>
      </c>
      <c r="H50" s="1">
        <f>SUM(OSRRefE21_4x_3)</f>
        <v>1175</v>
      </c>
      <c r="I50" s="1">
        <f>SUM(OSRRefE21_4x_4)</f>
        <v>1025</v>
      </c>
      <c r="J50" s="1">
        <f>SUM(OSRRefE21_4x_5)</f>
        <v>2272</v>
      </c>
      <c r="K50" s="1">
        <f>SUM(OSRRefE21_4x_6)</f>
        <v>6953</v>
      </c>
      <c r="L50" s="1">
        <f>SUM(OSRRefE21_4x_7)</f>
        <v>6326</v>
      </c>
      <c r="M50" s="1">
        <f>SUM(OSRRefE21_4x_8)</f>
        <v>6108</v>
      </c>
      <c r="N50" s="1">
        <f>SUM(OSRRefE21_4x_9)</f>
        <v>3714</v>
      </c>
      <c r="O50" s="1">
        <f>SUM(OSRRefE21_4x_10)</f>
        <v>1330</v>
      </c>
      <c r="Q50" s="2">
        <f>SUM(OSRRefD20_4x)+IFERROR(SUM(OSRRefE20_4x),0)</f>
        <v>34185.24</v>
      </c>
    </row>
    <row r="51" spans="1:17" s="34" customFormat="1" hidden="1" outlineLevel="1" x14ac:dyDescent="0.3">
      <c r="A51" s="35"/>
      <c r="B51" s="10" t="str">
        <f>CONCATENATE("          ","6381", " - ","BANK/CREDIT CARD FEES")</f>
        <v xml:space="preserve">          6381 - BANK/CREDIT CARD FEES</v>
      </c>
      <c r="C51" s="14"/>
      <c r="D51" s="2">
        <v>690.24</v>
      </c>
      <c r="E51" s="2">
        <v>661</v>
      </c>
      <c r="F51" s="2">
        <v>1672</v>
      </c>
      <c r="G51" s="2">
        <v>2259</v>
      </c>
      <c r="H51" s="2">
        <v>1175</v>
      </c>
      <c r="I51" s="2">
        <v>1025</v>
      </c>
      <c r="J51" s="2">
        <v>2272</v>
      </c>
      <c r="K51" s="2">
        <v>6953</v>
      </c>
      <c r="L51" s="2">
        <v>6326</v>
      </c>
      <c r="M51" s="2">
        <v>6108</v>
      </c>
      <c r="N51" s="2">
        <v>3714</v>
      </c>
      <c r="O51" s="2">
        <v>1330</v>
      </c>
      <c r="P51" s="9"/>
      <c r="Q51" s="2">
        <f>SUM(OSRRefD21_4_0x)+IFERROR(SUM(OSRRefE21_4_0x),0)</f>
        <v>34185.24</v>
      </c>
    </row>
    <row r="52" spans="1:17" s="34" customFormat="1" collapsed="1" x14ac:dyDescent="0.3">
      <c r="A52" s="35"/>
      <c r="B52" s="14" t="str">
        <f>CONCATENATE("     ","Depreciation                                      ")</f>
        <v xml:space="preserve">     Depreciation                                      </v>
      </c>
      <c r="C52" s="14"/>
      <c r="D52" s="1">
        <f>SUM(OSRRefD21_5x_0)</f>
        <v>14007.34</v>
      </c>
      <c r="E52" s="1">
        <f>SUM(OSRRefE21_5x_0)</f>
        <v>13902</v>
      </c>
      <c r="F52" s="1">
        <f>SUM(OSRRefE21_5x_1)</f>
        <v>13902</v>
      </c>
      <c r="G52" s="1">
        <f>SUM(OSRRefE21_5x_2)</f>
        <v>13902</v>
      </c>
      <c r="H52" s="1">
        <f>SUM(OSRRefE21_5x_3)</f>
        <v>13902</v>
      </c>
      <c r="I52" s="1">
        <f>SUM(OSRRefE21_5x_4)</f>
        <v>13902</v>
      </c>
      <c r="J52" s="1">
        <f>SUM(OSRRefE21_5x_5)</f>
        <v>13902</v>
      </c>
      <c r="K52" s="1">
        <f>SUM(OSRRefE21_5x_6)</f>
        <v>13902</v>
      </c>
      <c r="L52" s="1">
        <f>SUM(OSRRefE21_5x_7)</f>
        <v>13902</v>
      </c>
      <c r="M52" s="1">
        <f>SUM(OSRRefE21_5x_8)</f>
        <v>13902</v>
      </c>
      <c r="N52" s="1">
        <f>SUM(OSRRefE21_5x_9)</f>
        <v>13902</v>
      </c>
      <c r="O52" s="1">
        <f>SUM(OSRRefE21_5x_10)</f>
        <v>13902</v>
      </c>
      <c r="Q52" s="2">
        <f>SUM(OSRRefD20_5x)+IFERROR(SUM(OSRRefE20_5x),0)</f>
        <v>166929.34</v>
      </c>
    </row>
    <row r="53" spans="1:17" s="34" customFormat="1" hidden="1" outlineLevel="1" x14ac:dyDescent="0.3">
      <c r="A53" s="35"/>
      <c r="B53" s="10" t="str">
        <f>CONCATENATE("          ","6321", " - ","BUILDING DEPRECIATION")</f>
        <v xml:space="preserve">          6321 - BUILDING DEPRECIATION</v>
      </c>
      <c r="C53" s="14"/>
      <c r="D53" s="2">
        <v>10597.26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2">
        <f>SUM(OSRRefD21_5_0x)+IFERROR(SUM(OSRRefE21_5_0x),0)</f>
        <v>10597.26</v>
      </c>
    </row>
    <row r="54" spans="1:17" s="34" customFormat="1" hidden="1" outlineLevel="1" x14ac:dyDescent="0.3">
      <c r="A54" s="35"/>
      <c r="B54" s="10" t="str">
        <f>CONCATENATE("          ","6322", " - ","EQUIPMENT DEPRECIATION EXPENSE")</f>
        <v xml:space="preserve">          6322 - EQUIPMENT DEPRECIATION EXPENSE</v>
      </c>
      <c r="C54" s="14"/>
      <c r="D54" s="2">
        <v>3410.08</v>
      </c>
      <c r="E54" s="2">
        <v>13902</v>
      </c>
      <c r="F54" s="2">
        <v>13902</v>
      </c>
      <c r="G54" s="2">
        <v>13902</v>
      </c>
      <c r="H54" s="2">
        <v>13902</v>
      </c>
      <c r="I54" s="2">
        <v>13902</v>
      </c>
      <c r="J54" s="2">
        <v>13902</v>
      </c>
      <c r="K54" s="2">
        <v>13902</v>
      </c>
      <c r="L54" s="2">
        <v>13902</v>
      </c>
      <c r="M54" s="2">
        <v>13902</v>
      </c>
      <c r="N54" s="2">
        <v>13902</v>
      </c>
      <c r="O54" s="2">
        <v>13902</v>
      </c>
      <c r="P54" s="9"/>
      <c r="Q54" s="2">
        <f>SUM(OSRRefD21_5_1x)+IFERROR(SUM(OSRRefE21_5_1x),0)</f>
        <v>156332.07999999999</v>
      </c>
    </row>
    <row r="55" spans="1:17" s="34" customFormat="1" collapsed="1" x14ac:dyDescent="0.3">
      <c r="A55" s="35"/>
      <c r="B55" s="14" t="str">
        <f>CONCATENATE("     ","Employees' Appreciation                           ")</f>
        <v xml:space="preserve">     Employees' Appreciation                           </v>
      </c>
      <c r="C55" s="14"/>
      <c r="D55" s="1">
        <f>SUM(OSRRefD21_6x_0)</f>
        <v>0</v>
      </c>
      <c r="E55" s="1">
        <f>SUM(OSRRefE21_6x_0)</f>
        <v>0</v>
      </c>
      <c r="F55" s="1">
        <f>SUM(OSRRefE21_6x_1)</f>
        <v>0</v>
      </c>
      <c r="G55" s="1">
        <f>SUM(OSRRefE21_6x_2)</f>
        <v>0</v>
      </c>
      <c r="H55" s="1">
        <f>SUM(OSRRefE21_6x_3)</f>
        <v>0</v>
      </c>
      <c r="I55" s="1">
        <f>SUM(OSRRefE21_6x_4)</f>
        <v>50</v>
      </c>
      <c r="J55" s="1">
        <f>SUM(OSRRefE21_6x_5)</f>
        <v>0</v>
      </c>
      <c r="K55" s="1">
        <f>SUM(OSRRefE21_6x_6)</f>
        <v>0</v>
      </c>
      <c r="L55" s="1">
        <f>SUM(OSRRefE21_6x_7)</f>
        <v>0</v>
      </c>
      <c r="M55" s="1">
        <f>SUM(OSRRefE21_6x_8)</f>
        <v>0</v>
      </c>
      <c r="N55" s="1">
        <f>SUM(OSRRefE21_6x_9)</f>
        <v>50</v>
      </c>
      <c r="O55" s="1">
        <f>SUM(OSRRefE21_6x_10)</f>
        <v>0</v>
      </c>
      <c r="Q55" s="2">
        <f>SUM(OSRRefD20_6x)+IFERROR(SUM(OSRRefE20_6x),0)</f>
        <v>100</v>
      </c>
    </row>
    <row r="56" spans="1:17" s="34" customFormat="1" hidden="1" outlineLevel="1" x14ac:dyDescent="0.3">
      <c r="A56" s="35"/>
      <c r="B56" s="10" t="str">
        <f>CONCATENATE("          ","6277", " - ","EMPLOYEE APPRECIATION")</f>
        <v xml:space="preserve">          6277 - EMPLOYEE APPRECIATION</v>
      </c>
      <c r="C56" s="14"/>
      <c r="D56" s="2"/>
      <c r="E56" s="2"/>
      <c r="F56" s="2"/>
      <c r="G56" s="2"/>
      <c r="H56" s="2"/>
      <c r="I56" s="2">
        <v>50</v>
      </c>
      <c r="J56" s="2"/>
      <c r="K56" s="2"/>
      <c r="L56" s="2"/>
      <c r="M56" s="2"/>
      <c r="N56" s="2">
        <v>50</v>
      </c>
      <c r="O56" s="2"/>
      <c r="P56" s="9"/>
      <c r="Q56" s="2">
        <f>SUM(OSRRefD21_6_0x)+IFERROR(SUM(OSRRefE21_6_0x),0)</f>
        <v>100</v>
      </c>
    </row>
    <row r="57" spans="1:17" s="34" customFormat="1" collapsed="1" x14ac:dyDescent="0.3">
      <c r="A57" s="35"/>
      <c r="B57" s="14" t="str">
        <f>CONCATENATE("     ","Equipment Rental                                  ")</f>
        <v xml:space="preserve">     Equipment Rental                                  </v>
      </c>
      <c r="C57" s="14"/>
      <c r="D57" s="1">
        <f>SUM(OSRRefD21_7x_0)</f>
        <v>161.19999999999999</v>
      </c>
      <c r="E57" s="1">
        <f>SUM(OSRRefE21_7x_0)</f>
        <v>275</v>
      </c>
      <c r="F57" s="1">
        <f>SUM(OSRRefE21_7x_1)</f>
        <v>275</v>
      </c>
      <c r="G57" s="1">
        <f>SUM(OSRRefE21_7x_2)</f>
        <v>275</v>
      </c>
      <c r="H57" s="1">
        <f>SUM(OSRRefE21_7x_3)</f>
        <v>275</v>
      </c>
      <c r="I57" s="1">
        <f>SUM(OSRRefE21_7x_4)</f>
        <v>275</v>
      </c>
      <c r="J57" s="1">
        <f>SUM(OSRRefE21_7x_5)</f>
        <v>275</v>
      </c>
      <c r="K57" s="1">
        <f>SUM(OSRRefE21_7x_6)</f>
        <v>275</v>
      </c>
      <c r="L57" s="1">
        <f>SUM(OSRRefE21_7x_7)</f>
        <v>275</v>
      </c>
      <c r="M57" s="1">
        <f>SUM(OSRRefE21_7x_8)</f>
        <v>275</v>
      </c>
      <c r="N57" s="1">
        <f>SUM(OSRRefE21_7x_9)</f>
        <v>275</v>
      </c>
      <c r="O57" s="1">
        <f>SUM(OSRRefE21_7x_10)</f>
        <v>275</v>
      </c>
      <c r="Q57" s="2">
        <f>SUM(OSRRefD20_7x)+IFERROR(SUM(OSRRefE20_7x),0)</f>
        <v>3186.2</v>
      </c>
    </row>
    <row r="58" spans="1:17" s="34" customFormat="1" hidden="1" outlineLevel="1" x14ac:dyDescent="0.3">
      <c r="A58" s="35"/>
      <c r="B58" s="10" t="str">
        <f>CONCATENATE("          ","6351", " - ","EQUIPMENT RENTAL")</f>
        <v xml:space="preserve">          6351 - EQUIPMENT RENTAL</v>
      </c>
      <c r="C58" s="14"/>
      <c r="D58" s="2">
        <v>161.19999999999999</v>
      </c>
      <c r="E58" s="2">
        <v>275</v>
      </c>
      <c r="F58" s="2">
        <v>275</v>
      </c>
      <c r="G58" s="2">
        <v>275</v>
      </c>
      <c r="H58" s="2">
        <v>275</v>
      </c>
      <c r="I58" s="2">
        <v>275</v>
      </c>
      <c r="J58" s="2">
        <v>275</v>
      </c>
      <c r="K58" s="2">
        <v>275</v>
      </c>
      <c r="L58" s="2">
        <v>275</v>
      </c>
      <c r="M58" s="2">
        <v>275</v>
      </c>
      <c r="N58" s="2">
        <v>275</v>
      </c>
      <c r="O58" s="2">
        <v>275</v>
      </c>
      <c r="P58" s="9"/>
      <c r="Q58" s="2">
        <f>SUM(OSRRefD21_7_0x)+IFERROR(SUM(OSRRefE21_7_0x),0)</f>
        <v>3186.2</v>
      </c>
    </row>
    <row r="59" spans="1:17" s="34" customFormat="1" collapsed="1" x14ac:dyDescent="0.3">
      <c r="A59" s="35"/>
      <c r="B59" s="14" t="str">
        <f>CONCATENATE("     ","General                                           ")</f>
        <v xml:space="preserve">     General                                           </v>
      </c>
      <c r="C59" s="14"/>
      <c r="D59" s="1">
        <f>SUM(OSRRefD21_8x_0)</f>
        <v>42.77</v>
      </c>
      <c r="E59" s="1">
        <f>SUM(OSRRefE21_8x_0)</f>
        <v>0</v>
      </c>
      <c r="F59" s="1">
        <f>SUM(OSRRefE21_8x_1)</f>
        <v>0</v>
      </c>
      <c r="G59" s="1">
        <f>SUM(OSRRefE21_8x_2)</f>
        <v>0</v>
      </c>
      <c r="H59" s="1">
        <f>SUM(OSRRefE21_8x_3)</f>
        <v>0</v>
      </c>
      <c r="I59" s="1">
        <f>SUM(OSRRefE21_8x_4)</f>
        <v>455</v>
      </c>
      <c r="J59" s="1">
        <f>SUM(OSRRefE21_8x_5)</f>
        <v>0</v>
      </c>
      <c r="K59" s="1">
        <f>SUM(OSRRefE21_8x_6)</f>
        <v>0</v>
      </c>
      <c r="L59" s="1">
        <f>SUM(OSRRefE21_8x_7)</f>
        <v>0</v>
      </c>
      <c r="M59" s="1">
        <f>SUM(OSRRefE21_8x_8)</f>
        <v>0</v>
      </c>
      <c r="N59" s="1">
        <f>SUM(OSRRefE21_8x_9)</f>
        <v>0</v>
      </c>
      <c r="O59" s="1">
        <f>SUM(OSRRefE21_8x_10)</f>
        <v>0</v>
      </c>
      <c r="Q59" s="2">
        <f>SUM(OSRRefD20_8x)+IFERROR(SUM(OSRRefE20_8x),0)</f>
        <v>497.77</v>
      </c>
    </row>
    <row r="60" spans="1:17" s="34" customFormat="1" hidden="1" outlineLevel="1" x14ac:dyDescent="0.3">
      <c r="A60" s="35"/>
      <c r="B60" s="10" t="str">
        <f>CONCATENATE("          ","6279", " - ","GENERAL EXPENSE")</f>
        <v xml:space="preserve">          6279 - GENERAL EXPENSE</v>
      </c>
      <c r="C60" s="14"/>
      <c r="D60" s="2">
        <v>42.77</v>
      </c>
      <c r="E60" s="2"/>
      <c r="F60" s="2"/>
      <c r="G60" s="2"/>
      <c r="H60" s="2"/>
      <c r="I60" s="2">
        <v>455</v>
      </c>
      <c r="J60" s="2"/>
      <c r="K60" s="2"/>
      <c r="L60" s="2"/>
      <c r="M60" s="2"/>
      <c r="N60" s="2"/>
      <c r="O60" s="2"/>
      <c r="P60" s="9"/>
      <c r="Q60" s="2">
        <f>SUM(OSRRefD21_8_0x)+IFERROR(SUM(OSRRefE21_8_0x),0)</f>
        <v>497.77</v>
      </c>
    </row>
    <row r="61" spans="1:17" s="34" customFormat="1" collapsed="1" x14ac:dyDescent="0.3">
      <c r="A61" s="35"/>
      <c r="B61" s="14" t="str">
        <f>CONCATENATE("     ","Insurance                                         ")</f>
        <v xml:space="preserve">     Insurance                                         </v>
      </c>
      <c r="C61" s="14"/>
      <c r="D61" s="1">
        <f>SUM(OSRRefD21_9x_0)</f>
        <v>871.61</v>
      </c>
      <c r="E61" s="1">
        <f>SUM(OSRRefE21_9x_0)</f>
        <v>850</v>
      </c>
      <c r="F61" s="1">
        <f>SUM(OSRRefE21_9x_1)</f>
        <v>850</v>
      </c>
      <c r="G61" s="1">
        <f>SUM(OSRRefE21_9x_2)</f>
        <v>850</v>
      </c>
      <c r="H61" s="1">
        <f>SUM(OSRRefE21_9x_3)</f>
        <v>850</v>
      </c>
      <c r="I61" s="1">
        <f>SUM(OSRRefE21_9x_4)</f>
        <v>850</v>
      </c>
      <c r="J61" s="1">
        <f>SUM(OSRRefE21_9x_5)</f>
        <v>850</v>
      </c>
      <c r="K61" s="1">
        <f>SUM(OSRRefE21_9x_6)</f>
        <v>850</v>
      </c>
      <c r="L61" s="1">
        <f>SUM(OSRRefE21_9x_7)</f>
        <v>850</v>
      </c>
      <c r="M61" s="1">
        <f>SUM(OSRRefE21_9x_8)</f>
        <v>850</v>
      </c>
      <c r="N61" s="1">
        <f>SUM(OSRRefE21_9x_9)</f>
        <v>850</v>
      </c>
      <c r="O61" s="1">
        <f>SUM(OSRRefE21_9x_10)</f>
        <v>850</v>
      </c>
      <c r="Q61" s="2">
        <f>SUM(OSRRefD20_9x)+IFERROR(SUM(OSRRefE20_9x),0)</f>
        <v>10221.61</v>
      </c>
    </row>
    <row r="62" spans="1:17" s="34" customFormat="1" hidden="1" outlineLevel="1" x14ac:dyDescent="0.3">
      <c r="A62" s="35"/>
      <c r="B62" s="10" t="str">
        <f>CONCATENATE("          ","6314", " - ","LIABILITY INSURANCE")</f>
        <v xml:space="preserve">          6314 - LIABILITY INSURANCE</v>
      </c>
      <c r="C62" s="14"/>
      <c r="D62" s="2">
        <v>871.61</v>
      </c>
      <c r="E62" s="2">
        <v>850</v>
      </c>
      <c r="F62" s="2">
        <v>850</v>
      </c>
      <c r="G62" s="2">
        <v>850</v>
      </c>
      <c r="H62" s="2">
        <v>850</v>
      </c>
      <c r="I62" s="2">
        <v>850</v>
      </c>
      <c r="J62" s="2">
        <v>850</v>
      </c>
      <c r="K62" s="2">
        <v>850</v>
      </c>
      <c r="L62" s="2">
        <v>850</v>
      </c>
      <c r="M62" s="2">
        <v>850</v>
      </c>
      <c r="N62" s="2">
        <v>850</v>
      </c>
      <c r="O62" s="2">
        <v>850</v>
      </c>
      <c r="P62" s="9"/>
      <c r="Q62" s="2">
        <f>SUM(OSRRefD21_9_0x)+IFERROR(SUM(OSRRefE21_9_0x),0)</f>
        <v>10221.61</v>
      </c>
    </row>
    <row r="63" spans="1:17" s="34" customFormat="1" collapsed="1" x14ac:dyDescent="0.3">
      <c r="A63" s="35"/>
      <c r="B63" s="14" t="str">
        <f>CONCATENATE("     ","Interest                                          ")</f>
        <v xml:space="preserve">     Interest                                          </v>
      </c>
      <c r="C63" s="14"/>
      <c r="D63" s="1">
        <f>SUM(OSRRefD21_10x_0)</f>
        <v>7253</v>
      </c>
      <c r="E63" s="1">
        <f>SUM(OSRRefE21_10x_0)</f>
        <v>7253</v>
      </c>
      <c r="F63" s="1">
        <f>SUM(OSRRefE21_10x_1)</f>
        <v>7253</v>
      </c>
      <c r="G63" s="1">
        <f>SUM(OSRRefE21_10x_2)</f>
        <v>7253</v>
      </c>
      <c r="H63" s="1">
        <f>SUM(OSRRefE21_10x_3)</f>
        <v>7253</v>
      </c>
      <c r="I63" s="1">
        <f>SUM(OSRRefE21_10x_4)</f>
        <v>7253</v>
      </c>
      <c r="J63" s="1">
        <f>SUM(OSRRefE21_10x_5)</f>
        <v>7253</v>
      </c>
      <c r="K63" s="1">
        <f>SUM(OSRRefE21_10x_6)</f>
        <v>7253</v>
      </c>
      <c r="L63" s="1">
        <f>SUM(OSRRefE21_10x_7)</f>
        <v>7253</v>
      </c>
      <c r="M63" s="1">
        <f>SUM(OSRRefE21_10x_8)</f>
        <v>7253</v>
      </c>
      <c r="N63" s="1">
        <f>SUM(OSRRefE21_10x_9)</f>
        <v>6982</v>
      </c>
      <c r="O63" s="1">
        <f>SUM(OSRRefE21_10x_10)</f>
        <v>6982</v>
      </c>
      <c r="Q63" s="2">
        <f>SUM(OSRRefD20_10x)+IFERROR(SUM(OSRRefE20_10x),0)</f>
        <v>86494</v>
      </c>
    </row>
    <row r="64" spans="1:17" s="34" customFormat="1" hidden="1" outlineLevel="1" x14ac:dyDescent="0.3">
      <c r="A64" s="35"/>
      <c r="B64" s="10" t="str">
        <f>CONCATENATE("          ","6401", " - ","INTEREST EXPENSE")</f>
        <v xml:space="preserve">          6401 - INTEREST EXPENSE</v>
      </c>
      <c r="C64" s="14"/>
      <c r="D64" s="2">
        <v>7253</v>
      </c>
      <c r="E64" s="2">
        <v>7253</v>
      </c>
      <c r="F64" s="2">
        <v>7253</v>
      </c>
      <c r="G64" s="2">
        <v>7253</v>
      </c>
      <c r="H64" s="2">
        <v>7253</v>
      </c>
      <c r="I64" s="2">
        <v>7253</v>
      </c>
      <c r="J64" s="2">
        <v>7253</v>
      </c>
      <c r="K64" s="2">
        <v>7253</v>
      </c>
      <c r="L64" s="2">
        <v>7253</v>
      </c>
      <c r="M64" s="2">
        <v>7253</v>
      </c>
      <c r="N64" s="2">
        <v>6982</v>
      </c>
      <c r="O64" s="2">
        <v>6982</v>
      </c>
      <c r="P64" s="9"/>
      <c r="Q64" s="2">
        <f>SUM(OSRRefD21_10_0x)+IFERROR(SUM(OSRRefE21_10_0x),0)</f>
        <v>86494</v>
      </c>
    </row>
    <row r="65" spans="1:17" s="34" customFormat="1" collapsed="1" x14ac:dyDescent="0.3">
      <c r="A65" s="35"/>
      <c r="B65" s="14" t="str">
        <f>CONCATENATE("     ","Repair and Maintenance                            ")</f>
        <v xml:space="preserve">     Repair and Maintenance                            </v>
      </c>
      <c r="C65" s="14"/>
      <c r="D65" s="1">
        <f>SUM(OSRRefD21_11x_0)</f>
        <v>1171.83</v>
      </c>
      <c r="E65" s="1">
        <f>SUM(OSRRefE21_11x_0)</f>
        <v>661</v>
      </c>
      <c r="F65" s="1">
        <f>SUM(OSRRefE21_11x_1)</f>
        <v>769</v>
      </c>
      <c r="G65" s="1">
        <f>SUM(OSRRefE21_11x_2)</f>
        <v>880</v>
      </c>
      <c r="H65" s="1">
        <f>SUM(OSRRefE21_11x_3)</f>
        <v>900</v>
      </c>
      <c r="I65" s="1">
        <f>SUM(OSRRefE21_11x_4)</f>
        <v>2062</v>
      </c>
      <c r="J65" s="1">
        <f>SUM(OSRRefE21_11x_5)</f>
        <v>880</v>
      </c>
      <c r="K65" s="1">
        <f>SUM(OSRRefE21_11x_6)</f>
        <v>500</v>
      </c>
      <c r="L65" s="1">
        <f>SUM(OSRRefE21_11x_7)</f>
        <v>500</v>
      </c>
      <c r="M65" s="1">
        <f>SUM(OSRRefE21_11x_8)</f>
        <v>1317</v>
      </c>
      <c r="N65" s="1">
        <f>SUM(OSRRefE21_11x_9)</f>
        <v>500</v>
      </c>
      <c r="O65" s="1">
        <f>SUM(OSRRefE21_11x_10)</f>
        <v>500</v>
      </c>
      <c r="Q65" s="2">
        <f>SUM(OSRRefD20_11x)+IFERROR(SUM(OSRRefE20_11x),0)</f>
        <v>10640.83</v>
      </c>
    </row>
    <row r="66" spans="1:17" s="34" customFormat="1" hidden="1" outlineLevel="1" x14ac:dyDescent="0.3">
      <c r="A66" s="35"/>
      <c r="B66" s="10" t="str">
        <f>CONCATENATE("          ","6373", " - ","MAINTENANCE CONTRACTS")</f>
        <v xml:space="preserve">          6373 - MAINTENANCE CONTRACTS</v>
      </c>
      <c r="C66" s="14"/>
      <c r="D66" s="2"/>
      <c r="E66" s="2"/>
      <c r="F66" s="2"/>
      <c r="G66" s="2">
        <v>380</v>
      </c>
      <c r="H66" s="2">
        <v>400</v>
      </c>
      <c r="I66" s="2">
        <v>1125</v>
      </c>
      <c r="J66" s="2">
        <v>380</v>
      </c>
      <c r="K66" s="2"/>
      <c r="L66" s="2"/>
      <c r="M66" s="2">
        <v>380</v>
      </c>
      <c r="N66" s="2"/>
      <c r="O66" s="2"/>
      <c r="P66" s="9"/>
      <c r="Q66" s="2">
        <f>SUM(OSRRefD21_11_0x)+IFERROR(SUM(OSRRefE21_11_0x),0)</f>
        <v>2665</v>
      </c>
    </row>
    <row r="67" spans="1:17" s="34" customFormat="1" hidden="1" outlineLevel="1" x14ac:dyDescent="0.3">
      <c r="A67" s="35"/>
      <c r="B67" s="10" t="str">
        <f>CONCATENATE("          ","6375", " - ","OUTSIDE REPAIRS &amp; MAINTENANCE")</f>
        <v xml:space="preserve">          6375 - OUTSIDE REPAIRS &amp; MAINTENANCE</v>
      </c>
      <c r="C67" s="14"/>
      <c r="D67" s="2">
        <v>1171.83</v>
      </c>
      <c r="E67" s="2">
        <v>661</v>
      </c>
      <c r="F67" s="2">
        <v>769</v>
      </c>
      <c r="G67" s="2">
        <v>500</v>
      </c>
      <c r="H67" s="2">
        <v>500</v>
      </c>
      <c r="I67" s="2">
        <v>937</v>
      </c>
      <c r="J67" s="2">
        <v>500</v>
      </c>
      <c r="K67" s="2">
        <v>500</v>
      </c>
      <c r="L67" s="2">
        <v>500</v>
      </c>
      <c r="M67" s="2">
        <v>937</v>
      </c>
      <c r="N67" s="2">
        <v>500</v>
      </c>
      <c r="O67" s="2">
        <v>500</v>
      </c>
      <c r="P67" s="9"/>
      <c r="Q67" s="2">
        <f>SUM(OSRRefD21_11_1x)+IFERROR(SUM(OSRRefE21_11_1x),0)</f>
        <v>7975.83</v>
      </c>
    </row>
    <row r="68" spans="1:17" s="34" customFormat="1" collapsed="1" x14ac:dyDescent="0.3">
      <c r="A68" s="35"/>
      <c r="B68" s="14" t="str">
        <f>CONCATENATE("     ","Services                                          ")</f>
        <v xml:space="preserve">     Services                                          </v>
      </c>
      <c r="C68" s="14"/>
      <c r="D68" s="1">
        <f>SUM(OSRRefD21_12x_0)</f>
        <v>3919.13</v>
      </c>
      <c r="E68" s="1">
        <f>SUM(OSRRefE21_12x_0)</f>
        <v>4857</v>
      </c>
      <c r="F68" s="1">
        <f>SUM(OSRRefE21_12x_1)</f>
        <v>4857</v>
      </c>
      <c r="G68" s="1">
        <f>SUM(OSRRefE21_12x_2)</f>
        <v>4979</v>
      </c>
      <c r="H68" s="1">
        <f>SUM(OSRRefE21_12x_3)</f>
        <v>4857</v>
      </c>
      <c r="I68" s="1">
        <f>SUM(OSRRefE21_12x_4)</f>
        <v>4857</v>
      </c>
      <c r="J68" s="1">
        <f>SUM(OSRRefE21_12x_5)</f>
        <v>4979</v>
      </c>
      <c r="K68" s="1">
        <f>SUM(OSRRefE21_12x_6)</f>
        <v>4857</v>
      </c>
      <c r="L68" s="1">
        <f>SUM(OSRRefE21_12x_7)</f>
        <v>4857</v>
      </c>
      <c r="M68" s="1">
        <f>SUM(OSRRefE21_12x_8)</f>
        <v>4979</v>
      </c>
      <c r="N68" s="1">
        <f>SUM(OSRRefE21_12x_9)</f>
        <v>4857</v>
      </c>
      <c r="O68" s="1">
        <f>SUM(OSRRefE21_12x_10)</f>
        <v>4979</v>
      </c>
      <c r="Q68" s="2">
        <f>SUM(OSRRefD20_12x)+IFERROR(SUM(OSRRefE20_12x),0)</f>
        <v>57834.13</v>
      </c>
    </row>
    <row r="69" spans="1:17" s="34" customFormat="1" hidden="1" outlineLevel="1" x14ac:dyDescent="0.3">
      <c r="A69" s="35"/>
      <c r="B69" s="10" t="str">
        <f>CONCATENATE("          ","6282", " - ","JANITORIAL/EXTERMINATOR EXPENS")</f>
        <v xml:space="preserve">          6282 - JANITORIAL/EXTERMINATOR EXPENS</v>
      </c>
      <c r="C69" s="14"/>
      <c r="D69" s="2"/>
      <c r="E69" s="2">
        <v>328</v>
      </c>
      <c r="F69" s="2">
        <v>328</v>
      </c>
      <c r="G69" s="2">
        <v>328</v>
      </c>
      <c r="H69" s="2">
        <v>328</v>
      </c>
      <c r="I69" s="2">
        <v>328</v>
      </c>
      <c r="J69" s="2">
        <v>328</v>
      </c>
      <c r="K69" s="2">
        <v>328</v>
      </c>
      <c r="L69" s="2">
        <v>328</v>
      </c>
      <c r="M69" s="2">
        <v>328</v>
      </c>
      <c r="N69" s="2">
        <v>328</v>
      </c>
      <c r="O69" s="2">
        <v>328</v>
      </c>
      <c r="P69" s="9"/>
      <c r="Q69" s="2">
        <f>SUM(OSRRefD21_12_0x)+IFERROR(SUM(OSRRefE21_12_0x),0)</f>
        <v>3608</v>
      </c>
    </row>
    <row r="70" spans="1:17" s="34" customFormat="1" hidden="1" outlineLevel="1" x14ac:dyDescent="0.3">
      <c r="A70" s="35"/>
      <c r="B70" s="10" t="str">
        <f>CONCATENATE("          ","6284", " - ","TRASH REMOVAL EXPENSE")</f>
        <v xml:space="preserve">          6284 - TRASH REMOVAL EXPENSE</v>
      </c>
      <c r="C70" s="14"/>
      <c r="D70" s="2"/>
      <c r="E70" s="2">
        <v>1000</v>
      </c>
      <c r="F70" s="2">
        <v>1000</v>
      </c>
      <c r="G70" s="2">
        <v>1000</v>
      </c>
      <c r="H70" s="2">
        <v>1000</v>
      </c>
      <c r="I70" s="2">
        <v>1000</v>
      </c>
      <c r="J70" s="2">
        <v>1000</v>
      </c>
      <c r="K70" s="2">
        <v>1000</v>
      </c>
      <c r="L70" s="2">
        <v>1000</v>
      </c>
      <c r="M70" s="2">
        <v>1000</v>
      </c>
      <c r="N70" s="2">
        <v>1000</v>
      </c>
      <c r="O70" s="2">
        <v>1000</v>
      </c>
      <c r="P70" s="9"/>
      <c r="Q70" s="2">
        <f>SUM(OSRRefD21_12_1x)+IFERROR(SUM(OSRRefE21_12_1x),0)</f>
        <v>11000</v>
      </c>
    </row>
    <row r="71" spans="1:17" s="34" customFormat="1" hidden="1" outlineLevel="1" x14ac:dyDescent="0.3">
      <c r="A71" s="35"/>
      <c r="B71" s="10" t="str">
        <f>CONCATENATE("          ","6285", " - ","JANITORIAL SERVICES")</f>
        <v xml:space="preserve">          6285 - JANITORIAL SERVICES</v>
      </c>
      <c r="C71" s="14"/>
      <c r="D71" s="2">
        <v>3759.39</v>
      </c>
      <c r="E71" s="2">
        <v>3041</v>
      </c>
      <c r="F71" s="2">
        <v>3041</v>
      </c>
      <c r="G71" s="2">
        <v>3041</v>
      </c>
      <c r="H71" s="2">
        <v>3041</v>
      </c>
      <c r="I71" s="2">
        <v>3041</v>
      </c>
      <c r="J71" s="2">
        <v>3041</v>
      </c>
      <c r="K71" s="2">
        <v>3041</v>
      </c>
      <c r="L71" s="2">
        <v>3041</v>
      </c>
      <c r="M71" s="2">
        <v>3041</v>
      </c>
      <c r="N71" s="2">
        <v>3041</v>
      </c>
      <c r="O71" s="2">
        <v>3041</v>
      </c>
      <c r="P71" s="9"/>
      <c r="Q71" s="2">
        <f>SUM(OSRRefD21_12_2x)+IFERROR(SUM(OSRRefE21_12_2x),0)</f>
        <v>37210.39</v>
      </c>
    </row>
    <row r="72" spans="1:17" s="34" customFormat="1" hidden="1" outlineLevel="1" x14ac:dyDescent="0.3">
      <c r="A72" s="35"/>
      <c r="B72" s="10" t="str">
        <f>CONCATENATE("          ","6286", " - ","LAUNDRY EXPENSE")</f>
        <v xml:space="preserve">          6286 - LAUNDRY EXPENSE</v>
      </c>
      <c r="C72" s="14"/>
      <c r="D72" s="2">
        <v>159.74</v>
      </c>
      <c r="E72" s="2">
        <v>488</v>
      </c>
      <c r="F72" s="2">
        <v>488</v>
      </c>
      <c r="G72" s="2">
        <v>610</v>
      </c>
      <c r="H72" s="2">
        <v>488</v>
      </c>
      <c r="I72" s="2">
        <v>488</v>
      </c>
      <c r="J72" s="2">
        <v>610</v>
      </c>
      <c r="K72" s="2">
        <v>488</v>
      </c>
      <c r="L72" s="2">
        <v>488</v>
      </c>
      <c r="M72" s="2">
        <v>610</v>
      </c>
      <c r="N72" s="2">
        <v>488</v>
      </c>
      <c r="O72" s="2">
        <v>610</v>
      </c>
      <c r="P72" s="9"/>
      <c r="Q72" s="2">
        <f>SUM(OSRRefD21_12_3x)+IFERROR(SUM(OSRRefE21_12_3x),0)</f>
        <v>6015.74</v>
      </c>
    </row>
    <row r="73" spans="1:17" s="34" customFormat="1" collapsed="1" x14ac:dyDescent="0.3">
      <c r="A73" s="35"/>
      <c r="B73" s="14" t="str">
        <f>CONCATENATE("     ","Subscriptions &amp; Dues                              ")</f>
        <v xml:space="preserve">     Subscriptions &amp; Dues                              </v>
      </c>
      <c r="C73" s="14"/>
      <c r="D73" s="1">
        <f>SUM(OSRRefD21_13x_0)</f>
        <v>130.66999999999999</v>
      </c>
      <c r="E73" s="1">
        <f>SUM(OSRRefE21_13x_0)</f>
        <v>380</v>
      </c>
      <c r="F73" s="1">
        <f>SUM(OSRRefE21_13x_1)</f>
        <v>380</v>
      </c>
      <c r="G73" s="1">
        <f>SUM(OSRRefE21_13x_2)</f>
        <v>380</v>
      </c>
      <c r="H73" s="1">
        <f>SUM(OSRRefE21_13x_3)</f>
        <v>380</v>
      </c>
      <c r="I73" s="1">
        <f>SUM(OSRRefE21_13x_4)</f>
        <v>380</v>
      </c>
      <c r="J73" s="1">
        <f>SUM(OSRRefE21_13x_5)</f>
        <v>380</v>
      </c>
      <c r="K73" s="1">
        <f>SUM(OSRRefE21_13x_6)</f>
        <v>380</v>
      </c>
      <c r="L73" s="1">
        <f>SUM(OSRRefE21_13x_7)</f>
        <v>380</v>
      </c>
      <c r="M73" s="1">
        <f>SUM(OSRRefE21_13x_8)</f>
        <v>380</v>
      </c>
      <c r="N73" s="1">
        <f>SUM(OSRRefE21_13x_9)</f>
        <v>380</v>
      </c>
      <c r="O73" s="1">
        <f>SUM(OSRRefE21_13x_10)</f>
        <v>380</v>
      </c>
      <c r="Q73" s="2">
        <f>SUM(OSRRefD20_13x)+IFERROR(SUM(OSRRefE20_13x),0)</f>
        <v>4310.67</v>
      </c>
    </row>
    <row r="74" spans="1:17" s="34" customFormat="1" hidden="1" outlineLevel="1" x14ac:dyDescent="0.3">
      <c r="A74" s="35"/>
      <c r="B74" s="10" t="str">
        <f>CONCATENATE("          ","6275", " - ","SUBSCRIPTIONS")</f>
        <v xml:space="preserve">          6275 - SUBSCRIPTIONS</v>
      </c>
      <c r="C74" s="14"/>
      <c r="D74" s="2">
        <v>130.66999999999999</v>
      </c>
      <c r="E74" s="2">
        <v>380</v>
      </c>
      <c r="F74" s="2">
        <v>380</v>
      </c>
      <c r="G74" s="2">
        <v>380</v>
      </c>
      <c r="H74" s="2">
        <v>380</v>
      </c>
      <c r="I74" s="2">
        <v>380</v>
      </c>
      <c r="J74" s="2">
        <v>380</v>
      </c>
      <c r="K74" s="2">
        <v>380</v>
      </c>
      <c r="L74" s="2">
        <v>380</v>
      </c>
      <c r="M74" s="2">
        <v>380</v>
      </c>
      <c r="N74" s="2">
        <v>380</v>
      </c>
      <c r="O74" s="2">
        <v>380</v>
      </c>
      <c r="P74" s="9"/>
      <c r="Q74" s="2">
        <f>SUM(OSRRefD21_13_0x)+IFERROR(SUM(OSRRefE21_13_0x),0)</f>
        <v>4310.67</v>
      </c>
    </row>
    <row r="75" spans="1:17" s="34" customFormat="1" collapsed="1" x14ac:dyDescent="0.3">
      <c r="A75" s="35"/>
      <c r="B75" s="14" t="str">
        <f>CONCATENATE("     ","Supplies                                          ")</f>
        <v xml:space="preserve">     Supplies                                          </v>
      </c>
      <c r="C75" s="14"/>
      <c r="D75" s="1">
        <f>SUM(OSRRefD21_14x_0)</f>
        <v>1208.58</v>
      </c>
      <c r="E75" s="1">
        <f>SUM(OSRRefE21_14x_0)</f>
        <v>5204</v>
      </c>
      <c r="F75" s="1">
        <f>SUM(OSRRefE21_14x_1)</f>
        <v>1180</v>
      </c>
      <c r="G75" s="1">
        <f>SUM(OSRRefE21_14x_2)</f>
        <v>200</v>
      </c>
      <c r="H75" s="1">
        <f>SUM(OSRRefE21_14x_3)</f>
        <v>200</v>
      </c>
      <c r="I75" s="1">
        <f>SUM(OSRRefE21_14x_4)</f>
        <v>200</v>
      </c>
      <c r="J75" s="1">
        <f>SUM(OSRRefE21_14x_5)</f>
        <v>200</v>
      </c>
      <c r="K75" s="1">
        <f>SUM(OSRRefE21_14x_6)</f>
        <v>700</v>
      </c>
      <c r="L75" s="1">
        <f>SUM(OSRRefE21_14x_7)</f>
        <v>200</v>
      </c>
      <c r="M75" s="1">
        <f>SUM(OSRRefE21_14x_8)</f>
        <v>200</v>
      </c>
      <c r="N75" s="1">
        <f>SUM(OSRRefE21_14x_9)</f>
        <v>200</v>
      </c>
      <c r="O75" s="1">
        <f>SUM(OSRRefE21_14x_10)</f>
        <v>200</v>
      </c>
      <c r="Q75" s="2">
        <f>SUM(OSRRefD20_14x)+IFERROR(SUM(OSRRefE20_14x),0)</f>
        <v>9892.58</v>
      </c>
    </row>
    <row r="76" spans="1:17" s="34" customFormat="1" hidden="1" outlineLevel="1" x14ac:dyDescent="0.3">
      <c r="A76" s="35"/>
      <c r="B76" s="10" t="str">
        <f>CONCATENATE("          ","6237", " - ","JANITORIAL SUPPLIES")</f>
        <v xml:space="preserve">          6237 - JANITORIAL SUPPLIES</v>
      </c>
      <c r="C76" s="14"/>
      <c r="D76" s="2">
        <v>1002.17</v>
      </c>
      <c r="E76" s="2">
        <v>719</v>
      </c>
      <c r="F76" s="2">
        <v>261</v>
      </c>
      <c r="G76" s="2"/>
      <c r="H76" s="2"/>
      <c r="I76" s="2"/>
      <c r="J76" s="2"/>
      <c r="K76" s="2"/>
      <c r="L76" s="2"/>
      <c r="M76" s="2"/>
      <c r="N76" s="2"/>
      <c r="O76" s="2"/>
      <c r="P76" s="9"/>
      <c r="Q76" s="2">
        <f>SUM(OSRRefD21_14_0x)+IFERROR(SUM(OSRRefE21_14_0x),0)</f>
        <v>1982.17</v>
      </c>
    </row>
    <row r="77" spans="1:17" s="34" customFormat="1" hidden="1" outlineLevel="1" x14ac:dyDescent="0.3">
      <c r="A77" s="35"/>
      <c r="B77" s="10" t="str">
        <f>CONCATENATE("          ","6239", " - ","KITCHEN SUPPLIES")</f>
        <v xml:space="preserve">          6239 - KITCHEN SUPPLIES</v>
      </c>
      <c r="C77" s="14"/>
      <c r="D77" s="2">
        <v>32.03</v>
      </c>
      <c r="E77" s="2">
        <v>73</v>
      </c>
      <c r="F77" s="2">
        <v>13</v>
      </c>
      <c r="G77" s="2"/>
      <c r="H77" s="2"/>
      <c r="I77" s="2"/>
      <c r="J77" s="2"/>
      <c r="K77" s="2"/>
      <c r="L77" s="2"/>
      <c r="M77" s="2"/>
      <c r="N77" s="2"/>
      <c r="O77" s="2"/>
      <c r="P77" s="9"/>
      <c r="Q77" s="2">
        <f>SUM(OSRRefD21_14_1x)+IFERROR(SUM(OSRRefE21_14_1x),0)</f>
        <v>118.03</v>
      </c>
    </row>
    <row r="78" spans="1:17" s="34" customFormat="1" hidden="1" outlineLevel="1" x14ac:dyDescent="0.3">
      <c r="A78" s="35"/>
      <c r="B78" s="10" t="str">
        <f>CONCATENATE("          ","6241", " - ","OFFICE EXPENSE")</f>
        <v xml:space="preserve">          6241 - OFFICE EXPENSE</v>
      </c>
      <c r="C78" s="14"/>
      <c r="D78" s="2">
        <v>9</v>
      </c>
      <c r="E78" s="2">
        <v>2500</v>
      </c>
      <c r="F78" s="2">
        <v>283</v>
      </c>
      <c r="G78" s="2"/>
      <c r="H78" s="2"/>
      <c r="I78" s="2"/>
      <c r="J78" s="2"/>
      <c r="K78" s="2"/>
      <c r="L78" s="2"/>
      <c r="M78" s="2"/>
      <c r="N78" s="2"/>
      <c r="O78" s="2"/>
      <c r="P78" s="9"/>
      <c r="Q78" s="2">
        <f>SUM(OSRRefD21_14_2x)+IFERROR(SUM(OSRRefE21_14_2x),0)</f>
        <v>2792</v>
      </c>
    </row>
    <row r="79" spans="1:17" s="34" customFormat="1" hidden="1" outlineLevel="1" x14ac:dyDescent="0.3">
      <c r="A79" s="35"/>
      <c r="B79" s="10" t="str">
        <f>CONCATENATE("          ","6243", " - ","PAPER SUPPLIES")</f>
        <v xml:space="preserve">          6243 - PAPER SUPPLIES</v>
      </c>
      <c r="C79" s="14"/>
      <c r="D79" s="2">
        <v>165.38</v>
      </c>
      <c r="E79" s="2">
        <v>501</v>
      </c>
      <c r="F79" s="2">
        <v>623</v>
      </c>
      <c r="G79" s="2">
        <v>200</v>
      </c>
      <c r="H79" s="2">
        <v>200</v>
      </c>
      <c r="I79" s="2">
        <v>200</v>
      </c>
      <c r="J79" s="2">
        <v>200</v>
      </c>
      <c r="K79" s="2">
        <v>200</v>
      </c>
      <c r="L79" s="2">
        <v>200</v>
      </c>
      <c r="M79" s="2">
        <v>200</v>
      </c>
      <c r="N79" s="2">
        <v>200</v>
      </c>
      <c r="O79" s="2">
        <v>200</v>
      </c>
      <c r="P79" s="9"/>
      <c r="Q79" s="2">
        <f>SUM(OSRRefD21_14_3x)+IFERROR(SUM(OSRRefE21_14_3x),0)</f>
        <v>3089.38</v>
      </c>
    </row>
    <row r="80" spans="1:17" s="34" customFormat="1" hidden="1" outlineLevel="1" x14ac:dyDescent="0.3">
      <c r="A80" s="35"/>
      <c r="B80" s="10" t="str">
        <f>CONCATENATE("          ","6247", " - ","STORE SUPPLIES")</f>
        <v xml:space="preserve">          6247 - STORE SUPPLIES</v>
      </c>
      <c r="C80" s="14"/>
      <c r="D80" s="2"/>
      <c r="E80" s="2">
        <v>411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2">
        <f>SUM(OSRRefD21_14_4x)+IFERROR(SUM(OSRRefE21_14_4x),0)</f>
        <v>411</v>
      </c>
    </row>
    <row r="81" spans="1:17" s="34" customFormat="1" hidden="1" outlineLevel="1" x14ac:dyDescent="0.3">
      <c r="A81" s="35"/>
      <c r="B81" s="10" t="str">
        <f>CONCATENATE("          ","6248", " - ","UNIFORMS")</f>
        <v xml:space="preserve">          6248 - UNIFORMS</v>
      </c>
      <c r="C81" s="14"/>
      <c r="D81" s="2"/>
      <c r="E81" s="2">
        <v>1000</v>
      </c>
      <c r="F81" s="2"/>
      <c r="G81" s="2"/>
      <c r="H81" s="2"/>
      <c r="I81" s="2"/>
      <c r="J81" s="2"/>
      <c r="K81" s="2">
        <v>500</v>
      </c>
      <c r="L81" s="2"/>
      <c r="M81" s="2"/>
      <c r="N81" s="2"/>
      <c r="O81" s="2"/>
      <c r="P81" s="9"/>
      <c r="Q81" s="2">
        <f>SUM(OSRRefD21_14_5x)+IFERROR(SUM(OSRRefE21_14_5x),0)</f>
        <v>1500</v>
      </c>
    </row>
    <row r="82" spans="1:17" s="34" customFormat="1" collapsed="1" x14ac:dyDescent="0.3">
      <c r="A82" s="35"/>
      <c r="B82" s="14" t="str">
        <f>CONCATENATE("     ","Telephone/Data Lines                              ")</f>
        <v xml:space="preserve">     Telephone/Data Lines                              </v>
      </c>
      <c r="C82" s="14"/>
      <c r="D82" s="1">
        <f>SUM(OSRRefD21_15x_0)</f>
        <v>307</v>
      </c>
      <c r="E82" s="1">
        <f>SUM(OSRRefE21_15x_0)</f>
        <v>135</v>
      </c>
      <c r="F82" s="1">
        <f>SUM(OSRRefE21_15x_1)</f>
        <v>135</v>
      </c>
      <c r="G82" s="1">
        <f>SUM(OSRRefE21_15x_2)</f>
        <v>135</v>
      </c>
      <c r="H82" s="1">
        <f>SUM(OSRRefE21_15x_3)</f>
        <v>135</v>
      </c>
      <c r="I82" s="1">
        <f>SUM(OSRRefE21_15x_4)</f>
        <v>135</v>
      </c>
      <c r="J82" s="1">
        <f>SUM(OSRRefE21_15x_5)</f>
        <v>135</v>
      </c>
      <c r="K82" s="1">
        <f>SUM(OSRRefE21_15x_6)</f>
        <v>135</v>
      </c>
      <c r="L82" s="1">
        <f>SUM(OSRRefE21_15x_7)</f>
        <v>135</v>
      </c>
      <c r="M82" s="1">
        <f>SUM(OSRRefE21_15x_8)</f>
        <v>135</v>
      </c>
      <c r="N82" s="1">
        <f>SUM(OSRRefE21_15x_9)</f>
        <v>135</v>
      </c>
      <c r="O82" s="1">
        <f>SUM(OSRRefE21_15x_10)</f>
        <v>135</v>
      </c>
      <c r="Q82" s="2">
        <f>SUM(OSRRefD20_15x)+IFERROR(SUM(OSRRefE20_15x),0)</f>
        <v>1792</v>
      </c>
    </row>
    <row r="83" spans="1:17" s="34" customFormat="1" hidden="1" outlineLevel="1" x14ac:dyDescent="0.3">
      <c r="A83" s="35"/>
      <c r="B83" s="10" t="str">
        <f>CONCATENATE("          ","6303", " - ","DATA PHONE LINES")</f>
        <v xml:space="preserve">          6303 - DATA PHONE LINES</v>
      </c>
      <c r="C83" s="14"/>
      <c r="D83" s="2"/>
      <c r="E83" s="2">
        <v>60</v>
      </c>
      <c r="F83" s="2">
        <v>60</v>
      </c>
      <c r="G83" s="2">
        <v>60</v>
      </c>
      <c r="H83" s="2">
        <v>60</v>
      </c>
      <c r="I83" s="2">
        <v>60</v>
      </c>
      <c r="J83" s="2">
        <v>60</v>
      </c>
      <c r="K83" s="2">
        <v>60</v>
      </c>
      <c r="L83" s="2">
        <v>60</v>
      </c>
      <c r="M83" s="2">
        <v>60</v>
      </c>
      <c r="N83" s="2">
        <v>60</v>
      </c>
      <c r="O83" s="2">
        <v>60</v>
      </c>
      <c r="P83" s="9"/>
      <c r="Q83" s="2">
        <f>SUM(OSRRefD21_15_0x)+IFERROR(SUM(OSRRefE21_15_0x),0)</f>
        <v>660</v>
      </c>
    </row>
    <row r="84" spans="1:17" s="34" customFormat="1" hidden="1" outlineLevel="1" x14ac:dyDescent="0.3">
      <c r="A84" s="35"/>
      <c r="B84" s="10" t="str">
        <f>CONCATENATE("          ","6309", " - ","TELEPHONE")</f>
        <v xml:space="preserve">          6309 - TELEPHONE</v>
      </c>
      <c r="C84" s="14"/>
      <c r="D84" s="2">
        <v>307</v>
      </c>
      <c r="E84" s="2">
        <v>75</v>
      </c>
      <c r="F84" s="2">
        <v>75</v>
      </c>
      <c r="G84" s="2">
        <v>75</v>
      </c>
      <c r="H84" s="2">
        <v>75</v>
      </c>
      <c r="I84" s="2">
        <v>75</v>
      </c>
      <c r="J84" s="2">
        <v>75</v>
      </c>
      <c r="K84" s="2">
        <v>75</v>
      </c>
      <c r="L84" s="2">
        <v>75</v>
      </c>
      <c r="M84" s="2">
        <v>75</v>
      </c>
      <c r="N84" s="2">
        <v>75</v>
      </c>
      <c r="O84" s="2">
        <v>75</v>
      </c>
      <c r="P84" s="9"/>
      <c r="Q84" s="2">
        <f>SUM(OSRRefD21_15_1x)+IFERROR(SUM(OSRRefE21_15_1x),0)</f>
        <v>1132</v>
      </c>
    </row>
    <row r="85" spans="1:17" s="34" customFormat="1" collapsed="1" x14ac:dyDescent="0.3">
      <c r="A85" s="35"/>
      <c r="B85" s="14" t="str">
        <f>CONCATENATE("     ","Training                                          ")</f>
        <v xml:space="preserve">     Training                                          </v>
      </c>
      <c r="C85" s="14"/>
      <c r="D85" s="1">
        <f>SUM(OSRRefD21_16x_0)</f>
        <v>0</v>
      </c>
      <c r="E85" s="1">
        <f>SUM(OSRRefE21_16x_0)</f>
        <v>280</v>
      </c>
      <c r="F85" s="1">
        <f>SUM(OSRRefE21_16x_1)</f>
        <v>0</v>
      </c>
      <c r="G85" s="1">
        <f>SUM(OSRRefE21_16x_2)</f>
        <v>0</v>
      </c>
      <c r="H85" s="1">
        <f>SUM(OSRRefE21_16x_3)</f>
        <v>0</v>
      </c>
      <c r="I85" s="1">
        <f>SUM(OSRRefE21_16x_4)</f>
        <v>0</v>
      </c>
      <c r="J85" s="1">
        <f>SUM(OSRRefE21_16x_5)</f>
        <v>60</v>
      </c>
      <c r="K85" s="1">
        <f>SUM(OSRRefE21_16x_6)</f>
        <v>0</v>
      </c>
      <c r="L85" s="1">
        <f>SUM(OSRRefE21_16x_7)</f>
        <v>300</v>
      </c>
      <c r="M85" s="1">
        <f>SUM(OSRRefE21_16x_8)</f>
        <v>0</v>
      </c>
      <c r="N85" s="1">
        <f>SUM(OSRRefE21_16x_9)</f>
        <v>0</v>
      </c>
      <c r="O85" s="1">
        <f>SUM(OSRRefE21_16x_10)</f>
        <v>0</v>
      </c>
      <c r="Q85" s="2">
        <f>SUM(OSRRefD20_16x)+IFERROR(SUM(OSRRefE20_16x),0)</f>
        <v>640</v>
      </c>
    </row>
    <row r="86" spans="1:17" s="34" customFormat="1" hidden="1" outlineLevel="1" x14ac:dyDescent="0.3">
      <c r="A86" s="35"/>
      <c r="B86" s="10" t="str">
        <f>CONCATENATE("          ","6376", " - ","TRAINING")</f>
        <v xml:space="preserve">          6376 - TRAINING</v>
      </c>
      <c r="C86" s="14"/>
      <c r="D86" s="2"/>
      <c r="E86" s="2">
        <v>280</v>
      </c>
      <c r="F86" s="2"/>
      <c r="G86" s="2"/>
      <c r="H86" s="2"/>
      <c r="I86" s="2"/>
      <c r="J86" s="2">
        <v>60</v>
      </c>
      <c r="K86" s="2"/>
      <c r="L86" s="2">
        <v>300</v>
      </c>
      <c r="M86" s="2"/>
      <c r="N86" s="2"/>
      <c r="O86" s="2"/>
      <c r="P86" s="9"/>
      <c r="Q86" s="2">
        <f>SUM(OSRRefD21_16_0x)+IFERROR(SUM(OSRRefE21_16_0x),0)</f>
        <v>640</v>
      </c>
    </row>
    <row r="87" spans="1:17" s="34" customFormat="1" collapsed="1" x14ac:dyDescent="0.3">
      <c r="A87" s="35"/>
      <c r="B87" s="14" t="str">
        <f>CONCATENATE("     ","Utilities                                         ")</f>
        <v xml:space="preserve">     Utilities                                         </v>
      </c>
      <c r="C87" s="14"/>
      <c r="D87" s="1">
        <f>SUM(OSRRefD21_17x_0)</f>
        <v>2400</v>
      </c>
      <c r="E87" s="1">
        <f>SUM(OSRRefE21_17x_0)</f>
        <v>2417</v>
      </c>
      <c r="F87" s="1">
        <f>SUM(OSRRefE21_17x_1)</f>
        <v>2417</v>
      </c>
      <c r="G87" s="1">
        <f>SUM(OSRRefE21_17x_2)</f>
        <v>2417</v>
      </c>
      <c r="H87" s="1">
        <f>SUM(OSRRefE21_17x_3)</f>
        <v>2417</v>
      </c>
      <c r="I87" s="1">
        <f>SUM(OSRRefE21_17x_4)</f>
        <v>2417</v>
      </c>
      <c r="J87" s="1">
        <f>SUM(OSRRefE21_17x_5)</f>
        <v>2417</v>
      </c>
      <c r="K87" s="1">
        <f>SUM(OSRRefE21_17x_6)</f>
        <v>2417</v>
      </c>
      <c r="L87" s="1">
        <f>SUM(OSRRefE21_17x_7)</f>
        <v>2417</v>
      </c>
      <c r="M87" s="1">
        <f>SUM(OSRRefE21_17x_8)</f>
        <v>2417</v>
      </c>
      <c r="N87" s="1">
        <f>SUM(OSRRefE21_17x_9)</f>
        <v>2417</v>
      </c>
      <c r="O87" s="1">
        <f>SUM(OSRRefE21_17x_10)</f>
        <v>2413</v>
      </c>
      <c r="Q87" s="2">
        <f>SUM(OSRRefD20_17x)+IFERROR(SUM(OSRRefE20_17x),0)</f>
        <v>28983</v>
      </c>
    </row>
    <row r="88" spans="1:17" s="34" customFormat="1" hidden="1" outlineLevel="1" x14ac:dyDescent="0.3">
      <c r="A88" s="35"/>
      <c r="B88" s="10" t="str">
        <f>CONCATENATE("          ","6274", " - ","UTILITIES")</f>
        <v xml:space="preserve">          6274 - UTILITIES</v>
      </c>
      <c r="C88" s="14"/>
      <c r="D88" s="2">
        <v>2400</v>
      </c>
      <c r="E88" s="2">
        <v>2417</v>
      </c>
      <c r="F88" s="2">
        <v>2417</v>
      </c>
      <c r="G88" s="2">
        <v>2417</v>
      </c>
      <c r="H88" s="2">
        <v>2417</v>
      </c>
      <c r="I88" s="2">
        <v>2417</v>
      </c>
      <c r="J88" s="2">
        <v>2417</v>
      </c>
      <c r="K88" s="2">
        <v>2417</v>
      </c>
      <c r="L88" s="2">
        <v>2417</v>
      </c>
      <c r="M88" s="2">
        <v>2417</v>
      </c>
      <c r="N88" s="2">
        <v>2417</v>
      </c>
      <c r="O88" s="2">
        <v>2413</v>
      </c>
      <c r="P88" s="9"/>
      <c r="Q88" s="2">
        <f>SUM(OSRRefD21_17_0x)+IFERROR(SUM(OSRRefE21_17_0x),0)</f>
        <v>28983</v>
      </c>
    </row>
    <row r="89" spans="1:17" s="28" customFormat="1" x14ac:dyDescent="0.3">
      <c r="A89" s="21"/>
      <c r="B89" s="21"/>
      <c r="C89" s="2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1"/>
    </row>
    <row r="90" spans="1:17" s="9" customFormat="1" x14ac:dyDescent="0.3">
      <c r="A90" s="22"/>
      <c r="B90" s="16" t="s">
        <v>293</v>
      </c>
      <c r="C90" s="23"/>
      <c r="D90" s="3">
        <f>--2.33</f>
        <v>2.33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2">
        <f>SUM(OSRRefD23_0x)+IFERROR(SUM(OSRRefE23_0x),0)</f>
        <v>2.33</v>
      </c>
    </row>
    <row r="91" spans="1:17" x14ac:dyDescent="0.3">
      <c r="A91" s="5"/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s="15" customFormat="1" x14ac:dyDescent="0.3">
      <c r="A92" s="6"/>
      <c r="B92" s="17" t="s">
        <v>276</v>
      </c>
      <c r="C92" s="17"/>
      <c r="D92" s="8">
        <f t="shared" ref="D92:O92" si="2">IFERROR(+D21-D24+D90, 0)</f>
        <v>-46410.609999999993</v>
      </c>
      <c r="E92" s="8">
        <f t="shared" si="2"/>
        <v>-50486.473306203079</v>
      </c>
      <c r="F92" s="8">
        <f t="shared" si="2"/>
        <v>-35478.652246522921</v>
      </c>
      <c r="G92" s="8">
        <f t="shared" si="2"/>
        <v>-30513.451793378852</v>
      </c>
      <c r="H92" s="8">
        <f t="shared" si="2"/>
        <v>-35861.156238122152</v>
      </c>
      <c r="I92" s="8">
        <f t="shared" si="2"/>
        <v>-36985.036291291231</v>
      </c>
      <c r="J92" s="8">
        <f t="shared" si="2"/>
        <v>-26437.079368147155</v>
      </c>
      <c r="K92" s="8">
        <f t="shared" si="2"/>
        <v>30646.550676296916</v>
      </c>
      <c r="L92" s="8">
        <f t="shared" si="2"/>
        <v>24867.053011877848</v>
      </c>
      <c r="M92" s="8">
        <f t="shared" si="2"/>
        <v>9338.5523600513116</v>
      </c>
      <c r="N92" s="8">
        <f t="shared" si="2"/>
        <v>-10647.390849212621</v>
      </c>
      <c r="O92" s="8">
        <f t="shared" si="2"/>
        <v>-28901.147065272919</v>
      </c>
      <c r="Q92" s="8">
        <f>IFERROR(+Q21-Q24+Q90, 0)</f>
        <v>-236868.84110992504</v>
      </c>
    </row>
    <row r="93" spans="1:17" s="6" customFormat="1" x14ac:dyDescent="0.3">
      <c r="B93" s="16"/>
      <c r="C93" s="16"/>
      <c r="D93" s="4">
        <f t="shared" ref="D93:O93" si="3">IFERROR(D92/D10, 0)</f>
        <v>-2.3555923137946766</v>
      </c>
      <c r="E93" s="4">
        <f t="shared" si="3"/>
        <v>-3.8296649705077055</v>
      </c>
      <c r="F93" s="4">
        <f t="shared" si="3"/>
        <v>-1.0644021434814268</v>
      </c>
      <c r="G93" s="4">
        <f t="shared" si="3"/>
        <v>-0.67745946567302795</v>
      </c>
      <c r="H93" s="4">
        <f t="shared" si="3"/>
        <v>-1.5308924754801345</v>
      </c>
      <c r="I93" s="4">
        <f t="shared" si="3"/>
        <v>-1.8087361253565744</v>
      </c>
      <c r="J93" s="4">
        <f t="shared" si="3"/>
        <v>-0.58354845859410109</v>
      </c>
      <c r="K93" s="4">
        <f t="shared" si="3"/>
        <v>0.22104969436383837</v>
      </c>
      <c r="L93" s="4">
        <f t="shared" si="3"/>
        <v>0.19711664324458875</v>
      </c>
      <c r="M93" s="4">
        <f t="shared" si="3"/>
        <v>7.6677497003459327E-2</v>
      </c>
      <c r="N93" s="4">
        <f t="shared" si="3"/>
        <v>-0.14377679899011034</v>
      </c>
      <c r="O93" s="4">
        <f t="shared" si="3"/>
        <v>-1.0895403402425137</v>
      </c>
      <c r="P93" s="18"/>
      <c r="Q93" s="4">
        <f>IFERROR(Q92/Q10, 0)</f>
        <v>-0.34448573274231409</v>
      </c>
    </row>
    <row r="94" spans="1:17" x14ac:dyDescent="0.3">
      <c r="A94" s="5"/>
      <c r="B94" s="6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</row>
    <row r="95" spans="1:17" s="15" customFormat="1" x14ac:dyDescent="0.3">
      <c r="A95" s="25"/>
      <c r="B95" s="6" t="s">
        <v>125</v>
      </c>
      <c r="C95" s="6"/>
      <c r="D95" s="3">
        <v>9102.39</v>
      </c>
      <c r="E95" s="3">
        <v>-37</v>
      </c>
      <c r="F95" s="3">
        <v>3554</v>
      </c>
      <c r="G95" s="3">
        <v>5516</v>
      </c>
      <c r="H95" s="3">
        <v>3907</v>
      </c>
      <c r="I95" s="3">
        <v>3187</v>
      </c>
      <c r="J95" s="3">
        <v>5086</v>
      </c>
      <c r="K95" s="3">
        <v>16379</v>
      </c>
      <c r="L95" s="3">
        <v>15212</v>
      </c>
      <c r="M95" s="3">
        <v>15539</v>
      </c>
      <c r="N95" s="3">
        <v>9723</v>
      </c>
      <c r="O95" s="3">
        <v>-3834</v>
      </c>
      <c r="Q95" s="2">
        <f>SUM(OSRRefD28_0x)+IFERROR(SUM(OSRRefE28_0x),0)</f>
        <v>83334.39</v>
      </c>
    </row>
    <row r="96" spans="1:17" x14ac:dyDescent="0.3">
      <c r="A96" s="5"/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</row>
    <row r="97" spans="1:17" s="15" customFormat="1" ht="15" thickBot="1" x14ac:dyDescent="0.35">
      <c r="A97" s="6"/>
      <c r="B97" s="17" t="s">
        <v>124</v>
      </c>
      <c r="C97" s="17"/>
      <c r="D97" s="7">
        <f t="shared" ref="D97:O97" si="4">IFERROR(+D92-D95, 0)</f>
        <v>-55512.999999999993</v>
      </c>
      <c r="E97" s="7">
        <f t="shared" si="4"/>
        <v>-50449.473306203079</v>
      </c>
      <c r="F97" s="7">
        <f t="shared" si="4"/>
        <v>-39032.652246522921</v>
      </c>
      <c r="G97" s="7">
        <f t="shared" si="4"/>
        <v>-36029.451793378852</v>
      </c>
      <c r="H97" s="7">
        <f t="shared" si="4"/>
        <v>-39768.156238122152</v>
      </c>
      <c r="I97" s="7">
        <f t="shared" si="4"/>
        <v>-40172.036291291231</v>
      </c>
      <c r="J97" s="7">
        <f t="shared" si="4"/>
        <v>-31523.079368147155</v>
      </c>
      <c r="K97" s="7">
        <f t="shared" si="4"/>
        <v>14267.550676296916</v>
      </c>
      <c r="L97" s="7">
        <f t="shared" si="4"/>
        <v>9655.0530118778479</v>
      </c>
      <c r="M97" s="7">
        <f t="shared" si="4"/>
        <v>-6200.4476399486884</v>
      </c>
      <c r="N97" s="7">
        <f t="shared" si="4"/>
        <v>-20370.390849212621</v>
      </c>
      <c r="O97" s="7">
        <f t="shared" si="4"/>
        <v>-25067.147065272919</v>
      </c>
      <c r="Q97" s="7">
        <f>IFERROR(+Q92-Q95, 0)</f>
        <v>-320203.23110992502</v>
      </c>
    </row>
    <row r="98" spans="1:17" ht="15" thickTop="1" x14ac:dyDescent="0.3">
      <c r="A98" s="5"/>
      <c r="B98" s="5"/>
      <c r="C98" s="5"/>
      <c r="D98" s="4">
        <f t="shared" ref="D98:O98" si="5">IFERROR(D97/D10, 0)</f>
        <v>-2.8175883944572995</v>
      </c>
      <c r="E98" s="4">
        <f t="shared" si="5"/>
        <v>-3.8268583255862154</v>
      </c>
      <c r="F98" s="4">
        <f t="shared" si="5"/>
        <v>-1.1710264084520257</v>
      </c>
      <c r="G98" s="4">
        <f t="shared" si="5"/>
        <v>-0.79992566313756031</v>
      </c>
      <c r="H98" s="4">
        <f t="shared" si="5"/>
        <v>-1.6976800955441687</v>
      </c>
      <c r="I98" s="4">
        <f t="shared" si="5"/>
        <v>-1.964594889049845</v>
      </c>
      <c r="J98" s="4">
        <f t="shared" si="5"/>
        <v>-0.69581227635853693</v>
      </c>
      <c r="K98" s="4">
        <f t="shared" si="5"/>
        <v>0.10291003870642101</v>
      </c>
      <c r="L98" s="4">
        <f t="shared" si="5"/>
        <v>7.6533863467490901E-2</v>
      </c>
      <c r="M98" s="4">
        <f t="shared" si="5"/>
        <v>-5.0910974956471698E-2</v>
      </c>
      <c r="N98" s="4">
        <f t="shared" si="5"/>
        <v>-0.27507110727449358</v>
      </c>
      <c r="O98" s="4">
        <f t="shared" si="5"/>
        <v>-0.94500290527304975</v>
      </c>
      <c r="P98" s="18"/>
      <c r="Q98" s="4">
        <f>IFERROR(Q97/Q10, 0)</f>
        <v>-0.46568153151122565</v>
      </c>
    </row>
    <row r="99" spans="1:17" x14ac:dyDescent="0.3">
      <c r="A99" s="5"/>
      <c r="B99" s="5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Q99" s="3"/>
    </row>
    <row r="100" spans="1:17" x14ac:dyDescent="0.3">
      <c r="A100" s="5"/>
      <c r="B100" s="5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Q100" s="3"/>
    </row>
    <row r="101" spans="1:17" s="15" customFormat="1" ht="15" thickBot="1" x14ac:dyDescent="0.35">
      <c r="A101" s="6"/>
      <c r="B101" s="17" t="s">
        <v>294</v>
      </c>
      <c r="C101" s="17"/>
      <c r="D101" s="7">
        <f t="shared" ref="D101:O101" si="6">IFERROR(SUM(D97:D100), 0)</f>
        <v>-55515.81758839445</v>
      </c>
      <c r="E101" s="7">
        <f t="shared" si="6"/>
        <v>-50453.300164528664</v>
      </c>
      <c r="F101" s="7">
        <f t="shared" si="6"/>
        <v>-39033.823272931375</v>
      </c>
      <c r="G101" s="7">
        <f t="shared" si="6"/>
        <v>-36030.251719041989</v>
      </c>
      <c r="H101" s="7">
        <f t="shared" si="6"/>
        <v>-39769.853918217697</v>
      </c>
      <c r="I101" s="7">
        <f t="shared" si="6"/>
        <v>-40174.000886180278</v>
      </c>
      <c r="J101" s="7">
        <f t="shared" si="6"/>
        <v>-31523.775180423512</v>
      </c>
      <c r="K101" s="7">
        <f t="shared" si="6"/>
        <v>14267.653586335622</v>
      </c>
      <c r="L101" s="7">
        <f t="shared" si="6"/>
        <v>9655.1295457413162</v>
      </c>
      <c r="M101" s="7">
        <f t="shared" si="6"/>
        <v>-6200.4985509236449</v>
      </c>
      <c r="N101" s="7">
        <f t="shared" si="6"/>
        <v>-20370.665920319894</v>
      </c>
      <c r="O101" s="7">
        <f t="shared" si="6"/>
        <v>-25068.09206817819</v>
      </c>
      <c r="Q101" s="7">
        <f>IFERROR(SUM(Q97:Q100), 0)</f>
        <v>-320203.69679145655</v>
      </c>
    </row>
    <row r="102" spans="1:17" ht="15" thickTop="1" x14ac:dyDescent="0.3">
      <c r="A102" s="5"/>
      <c r="C102" s="5"/>
      <c r="D102" s="4">
        <f t="shared" ref="D102:O102" si="7">IFERROR(D101/D10, 0)</f>
        <v>-2.8177314024799354</v>
      </c>
      <c r="E102" s="4">
        <f t="shared" si="7"/>
        <v>-3.8271486129506687</v>
      </c>
      <c r="F102" s="4">
        <f t="shared" si="7"/>
        <v>-1.1710615406495672</v>
      </c>
      <c r="G102" s="4">
        <f t="shared" si="7"/>
        <v>-0.79994342308212496</v>
      </c>
      <c r="H102" s="4">
        <f t="shared" si="7"/>
        <v>-1.6977525685471802</v>
      </c>
      <c r="I102" s="4">
        <f t="shared" si="7"/>
        <v>-1.9646909666559214</v>
      </c>
      <c r="J102" s="4">
        <f t="shared" si="7"/>
        <v>-0.69582763509675771</v>
      </c>
      <c r="K102" s="4">
        <f t="shared" si="7"/>
        <v>0.10291078098351586</v>
      </c>
      <c r="L102" s="4">
        <f t="shared" si="7"/>
        <v>7.653447013762002E-2</v>
      </c>
      <c r="M102" s="4">
        <f t="shared" si="7"/>
        <v>-5.0911392979092245E-2</v>
      </c>
      <c r="N102" s="4">
        <f t="shared" si="7"/>
        <v>-0.27507482169090397</v>
      </c>
      <c r="O102" s="4">
        <f t="shared" si="7"/>
        <v>-0.94503853080668743</v>
      </c>
      <c r="P102" s="18"/>
      <c r="Q102" s="4">
        <f>IFERROR(Q101/Q10, 0)</f>
        <v>-0.46568220876638028</v>
      </c>
    </row>
    <row r="103" spans="1:17" x14ac:dyDescent="0.3">
      <c r="A103" s="5"/>
      <c r="B103" s="30">
        <v>44462.678423958336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Q103" s="11"/>
    </row>
    <row r="104" spans="1:17" x14ac:dyDescent="0.3">
      <c r="A104" s="5"/>
      <c r="B104" s="31" t="s">
        <v>54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Q104" s="11"/>
    </row>
    <row r="105" spans="1:17" x14ac:dyDescent="0.3">
      <c r="A105" s="5"/>
      <c r="B105" s="2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Q105" s="11"/>
    </row>
    <row r="106" spans="1:17" x14ac:dyDescent="0.3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92D050"/>
    <outlinePr summaryBelow="0" summaryRight="0"/>
    <pageSetUpPr fitToPage="1"/>
  </sheetPr>
  <dimension ref="A2:R99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","418", " - ", "Nugget")</f>
        <v>Department 418 - Nugget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23813</v>
      </c>
      <c r="F10" s="3">
        <f>SUM(OSRRefE11x_1)</f>
        <v>55091</v>
      </c>
      <c r="G10" s="3">
        <f>SUM(OSRRefE11x_2)</f>
        <v>69242</v>
      </c>
      <c r="H10" s="3">
        <f>SUM(OSRRefE11x_3)</f>
        <v>34400</v>
      </c>
      <c r="I10" s="3">
        <f>SUM(OSRRefE11x_4)</f>
        <v>36196</v>
      </c>
      <c r="J10" s="3">
        <f>SUM(OSRRefE11x_5)</f>
        <v>75717</v>
      </c>
      <c r="K10" s="3">
        <f>SUM(OSRRefE11x_6)</f>
        <v>168573</v>
      </c>
      <c r="L10" s="3">
        <f>SUM(OSRRefE11x_7)</f>
        <v>163353</v>
      </c>
      <c r="M10" s="3">
        <f>SUM(OSRRefE11x_8)</f>
        <v>180776</v>
      </c>
      <c r="N10" s="3">
        <f>SUM(OSRRefE11x_9)</f>
        <v>111906</v>
      </c>
      <c r="O10" s="3">
        <f>SUM(OSRRefE11x_10)</f>
        <v>43661</v>
      </c>
      <c r="P10" s="24"/>
      <c r="Q10" s="3">
        <f>SUM(OSRRefG11x)</f>
        <v>962728</v>
      </c>
      <c r="R10" s="24"/>
    </row>
    <row r="11" spans="1:18" s="9" customFormat="1" hidden="1" outlineLevel="1" x14ac:dyDescent="0.3">
      <c r="A11" s="22"/>
      <c r="B11" s="10" t="str">
        <f>CONCATENATE("          ","4000", " - ","TAXABLE SALES")</f>
        <v xml:space="preserve">          4000 - TAXABLE SALES</v>
      </c>
      <c r="C11" s="23"/>
      <c r="D11" s="2">
        <f t="shared" ref="D11:D12" si="0">0</f>
        <v>0</v>
      </c>
      <c r="E11" s="2">
        <v>8501</v>
      </c>
      <c r="F11" s="2">
        <v>19667</v>
      </c>
      <c r="G11" s="2">
        <v>24719</v>
      </c>
      <c r="H11" s="2">
        <v>12281</v>
      </c>
      <c r="I11" s="2">
        <v>12922</v>
      </c>
      <c r="J11" s="2">
        <v>48686</v>
      </c>
      <c r="K11" s="2">
        <v>108393</v>
      </c>
      <c r="L11" s="2">
        <v>105037</v>
      </c>
      <c r="M11" s="2">
        <v>116240</v>
      </c>
      <c r="N11" s="2">
        <v>71956</v>
      </c>
      <c r="O11" s="2">
        <v>28074</v>
      </c>
      <c r="Q11" s="2">
        <f>SUM(OSRRefD11_0x)+IFERROR(SUM(OSRRefE11_0x),0)</f>
        <v>556476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 t="shared" si="0"/>
        <v>0</v>
      </c>
      <c r="E12" s="2">
        <v>15312</v>
      </c>
      <c r="F12" s="2">
        <v>35424</v>
      </c>
      <c r="G12" s="2">
        <v>44523</v>
      </c>
      <c r="H12" s="2">
        <v>22119</v>
      </c>
      <c r="I12" s="2">
        <v>23274</v>
      </c>
      <c r="J12" s="2">
        <v>27031</v>
      </c>
      <c r="K12" s="2">
        <v>60180</v>
      </c>
      <c r="L12" s="2">
        <v>58316</v>
      </c>
      <c r="M12" s="2">
        <v>64536</v>
      </c>
      <c r="N12" s="2">
        <v>39950</v>
      </c>
      <c r="O12" s="2">
        <v>15587</v>
      </c>
      <c r="Q12" s="2">
        <f>SUM(OSRRefD11_1x)+IFERROR(SUM(OSRRefE11_1x),0)</f>
        <v>406252</v>
      </c>
    </row>
    <row r="13" spans="1:18" x14ac:dyDescent="0.3">
      <c r="A13" s="5"/>
      <c r="B13" s="6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9" customFormat="1" collapsed="1" x14ac:dyDescent="0.3">
      <c r="A14" s="22"/>
      <c r="B14" s="16" t="s">
        <v>218</v>
      </c>
      <c r="C14" s="23"/>
      <c r="D14" s="3">
        <f>SUM(OSRRefD14x_0)</f>
        <v>0</v>
      </c>
      <c r="E14" s="3">
        <f>SUM(OSRRefE14x_0)</f>
        <v>9049</v>
      </c>
      <c r="F14" s="3">
        <f>SUM(OSRRefE14x_1)</f>
        <v>18180</v>
      </c>
      <c r="G14" s="3">
        <f>SUM(OSRRefE14x_2)</f>
        <v>22850</v>
      </c>
      <c r="H14" s="3">
        <f>SUM(OSRRefE14x_3)</f>
        <v>11352</v>
      </c>
      <c r="I14" s="3">
        <f>SUM(OSRRefE14x_4)</f>
        <v>11945</v>
      </c>
      <c r="J14" s="3">
        <f>SUM(OSRRefE14x_5)</f>
        <v>26501</v>
      </c>
      <c r="K14" s="3">
        <f>SUM(OSRRefE14x_6)</f>
        <v>57315</v>
      </c>
      <c r="L14" s="3">
        <f>SUM(OSRRefE14x_7)</f>
        <v>55540</v>
      </c>
      <c r="M14" s="3">
        <f>SUM(OSRRefE14x_8)</f>
        <v>61464</v>
      </c>
      <c r="N14" s="3">
        <f>SUM(OSRRefE14x_9)</f>
        <v>38048</v>
      </c>
      <c r="O14" s="3">
        <f>SUM(OSRRefE14x_10)</f>
        <v>14845</v>
      </c>
      <c r="Q14" s="3">
        <f>SUM(OSRRefG14x)</f>
        <v>327089</v>
      </c>
    </row>
    <row r="15" spans="1:18" s="9" customFormat="1" hidden="1" outlineLevel="1" x14ac:dyDescent="0.3">
      <c r="A15" s="22"/>
      <c r="B15" s="10" t="str">
        <f>CONCATENATE("          ","5000", " - ","PURCHASES @ COST")</f>
        <v xml:space="preserve">          5000 - PURCHASES @ COST</v>
      </c>
      <c r="C15" s="23"/>
      <c r="D15" s="2"/>
      <c r="E15" s="2">
        <v>9049</v>
      </c>
      <c r="F15" s="2">
        <v>18180</v>
      </c>
      <c r="G15" s="2">
        <v>22850</v>
      </c>
      <c r="H15" s="2">
        <v>11352</v>
      </c>
      <c r="I15" s="2">
        <v>11945</v>
      </c>
      <c r="J15" s="2">
        <v>26501</v>
      </c>
      <c r="K15" s="2">
        <v>57315</v>
      </c>
      <c r="L15" s="2">
        <v>55540</v>
      </c>
      <c r="M15" s="2">
        <v>61464</v>
      </c>
      <c r="N15" s="2">
        <v>38048</v>
      </c>
      <c r="O15" s="2">
        <v>14845</v>
      </c>
      <c r="Q15" s="2">
        <f>SUM(OSRRefD14_0x)+IFERROR(SUM(OSRRefE14_0x),0)</f>
        <v>327089</v>
      </c>
    </row>
    <row r="16" spans="1:18" x14ac:dyDescent="0.3">
      <c r="A16" s="5"/>
      <c r="B16" s="6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Q16" s="3"/>
    </row>
    <row r="17" spans="1:17" s="15" customFormat="1" x14ac:dyDescent="0.3">
      <c r="A17" s="6"/>
      <c r="B17" s="17" t="s">
        <v>105</v>
      </c>
      <c r="C17" s="17"/>
      <c r="D17" s="8">
        <f t="shared" ref="D17:O17" si="1">IFERROR(+D10-D14, 0)</f>
        <v>0</v>
      </c>
      <c r="E17" s="8">
        <f t="shared" si="1"/>
        <v>14764</v>
      </c>
      <c r="F17" s="8">
        <f t="shared" si="1"/>
        <v>36911</v>
      </c>
      <c r="G17" s="8">
        <f t="shared" si="1"/>
        <v>46392</v>
      </c>
      <c r="H17" s="8">
        <f t="shared" si="1"/>
        <v>23048</v>
      </c>
      <c r="I17" s="8">
        <f t="shared" si="1"/>
        <v>24251</v>
      </c>
      <c r="J17" s="8">
        <f t="shared" si="1"/>
        <v>49216</v>
      </c>
      <c r="K17" s="8">
        <f t="shared" si="1"/>
        <v>111258</v>
      </c>
      <c r="L17" s="8">
        <f t="shared" si="1"/>
        <v>107813</v>
      </c>
      <c r="M17" s="8">
        <f t="shared" si="1"/>
        <v>119312</v>
      </c>
      <c r="N17" s="8">
        <f t="shared" si="1"/>
        <v>73858</v>
      </c>
      <c r="O17" s="8">
        <f t="shared" si="1"/>
        <v>28816</v>
      </c>
      <c r="Q17" s="8">
        <f>IFERROR(+Q10-Q14, 0)</f>
        <v>635639</v>
      </c>
    </row>
    <row r="18" spans="1:17" s="6" customFormat="1" x14ac:dyDescent="0.3">
      <c r="B18" s="16"/>
      <c r="C18" s="16"/>
      <c r="D18" s="4">
        <f t="shared" ref="D18:O18" si="2">IFERROR(D17/D10, 0)</f>
        <v>0</v>
      </c>
      <c r="E18" s="4">
        <f t="shared" si="2"/>
        <v>0.61999748036786628</v>
      </c>
      <c r="F18" s="4">
        <f t="shared" si="2"/>
        <v>0.67000054455355684</v>
      </c>
      <c r="G18" s="4">
        <f t="shared" si="2"/>
        <v>0.66999797810577399</v>
      </c>
      <c r="H18" s="4">
        <f t="shared" si="2"/>
        <v>0.67</v>
      </c>
      <c r="I18" s="4">
        <f t="shared" si="2"/>
        <v>0.66999115924411534</v>
      </c>
      <c r="J18" s="4">
        <f t="shared" si="2"/>
        <v>0.64999933964631451</v>
      </c>
      <c r="K18" s="4">
        <f t="shared" si="2"/>
        <v>0.65999893221334383</v>
      </c>
      <c r="L18" s="4">
        <f t="shared" si="2"/>
        <v>0.66000012243423756</v>
      </c>
      <c r="M18" s="4">
        <f t="shared" si="2"/>
        <v>0.65999911492676022</v>
      </c>
      <c r="N18" s="4">
        <f t="shared" si="2"/>
        <v>0.66000035744285379</v>
      </c>
      <c r="O18" s="4">
        <f t="shared" si="2"/>
        <v>0.65999404502874415</v>
      </c>
      <c r="P18" s="18"/>
      <c r="Q18" s="4">
        <f>IFERROR(Q17/Q10, 0)</f>
        <v>0.66024775429820259</v>
      </c>
    </row>
    <row r="19" spans="1:17" x14ac:dyDescent="0.3">
      <c r="A19" s="5"/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Q19" s="1"/>
    </row>
    <row r="20" spans="1:17" s="15" customFormat="1" x14ac:dyDescent="0.3">
      <c r="A20" s="6"/>
      <c r="B20" s="16" t="s">
        <v>255</v>
      </c>
      <c r="C20" s="6"/>
      <c r="D20" s="13">
        <f>SUM(OSRRefD20x_0)</f>
        <v>21761.300000000003</v>
      </c>
      <c r="E20" s="13">
        <f>SUM(OSRRefE20x_0)</f>
        <v>35984.144581538465</v>
      </c>
      <c r="F20" s="13">
        <f>SUM(OSRRefE20x_1)</f>
        <v>37712.289463076915</v>
      </c>
      <c r="G20" s="13">
        <f>SUM(OSRRefE20x_2)</f>
        <v>46415.130726923075</v>
      </c>
      <c r="H20" s="13">
        <f>SUM(OSRRefE20x_3)</f>
        <v>31207.49364538462</v>
      </c>
      <c r="I20" s="13">
        <f>SUM(OSRRefE20x_4)</f>
        <v>32834.998436153852</v>
      </c>
      <c r="J20" s="13">
        <f>SUM(OSRRefE20x_5)</f>
        <v>52554.364565249241</v>
      </c>
      <c r="K20" s="13">
        <f>SUM(OSRRefE20x_6)</f>
        <v>63997.00654618461</v>
      </c>
      <c r="L20" s="13">
        <f>SUM(OSRRefE20x_7)</f>
        <v>62985.022526787681</v>
      </c>
      <c r="M20" s="13">
        <f>SUM(OSRRefE20x_8)</f>
        <v>67813.087823440001</v>
      </c>
      <c r="N20" s="13">
        <f>SUM(OSRRefE20x_9)</f>
        <v>54112.58574618461</v>
      </c>
      <c r="O20" s="13">
        <f>SUM(OSRRefE20x_10)</f>
        <v>44929.69979997538</v>
      </c>
      <c r="Q20" s="13">
        <f>SUM(OSRRefG20x)</f>
        <v>552307.12386089843</v>
      </c>
    </row>
    <row r="21" spans="1:17" s="34" customFormat="1" collapsed="1" x14ac:dyDescent="0.3">
      <c r="A21" s="35"/>
      <c r="B21" s="14" t="str">
        <f>CONCATENATE("     ","*Benefits                                         ")</f>
        <v xml:space="preserve">     *Benefits                                         </v>
      </c>
      <c r="C21" s="14"/>
      <c r="D21" s="1">
        <f>SUM(OSRRefD21_0x_0)</f>
        <v>5008.0300000000007</v>
      </c>
      <c r="E21" s="1">
        <f>SUM(OSRRefE21_0x_0)</f>
        <v>8271.4445815384606</v>
      </c>
      <c r="F21" s="1">
        <f>SUM(OSRRefE21_0x_1)</f>
        <v>8125.6694630769198</v>
      </c>
      <c r="G21" s="1">
        <f>SUM(OSRRefE21_0x_2)</f>
        <v>10468.78072692308</v>
      </c>
      <c r="H21" s="1">
        <f>SUM(OSRRefE21_0x_3)</f>
        <v>6556.2836453846203</v>
      </c>
      <c r="I21" s="1">
        <f>SUM(OSRRefE21_0x_4)</f>
        <v>6601.8284361538499</v>
      </c>
      <c r="J21" s="1">
        <f>SUM(OSRRefE21_0x_5)</f>
        <v>11401.995688326158</v>
      </c>
      <c r="K21" s="1">
        <f>SUM(OSRRefE21_0x_6)</f>
        <v>11836.577084646149</v>
      </c>
      <c r="L21" s="1">
        <f>SUM(OSRRefE21_0x_7)</f>
        <v>11607.028265249226</v>
      </c>
      <c r="M21" s="1">
        <f>SUM(OSRRefE21_0x_8)</f>
        <v>13100.501746516931</v>
      </c>
      <c r="N21" s="1">
        <f>SUM(OSRRefE21_0x_9)</f>
        <v>11369.500684646151</v>
      </c>
      <c r="O21" s="1">
        <f>SUM(OSRRefE21_0x_10)</f>
        <v>11695.126138436921</v>
      </c>
      <c r="Q21" s="2">
        <f>SUM(OSRRefD20_0x)+IFERROR(SUM(OSRRefE20_0x),0)</f>
        <v>116042.76646089848</v>
      </c>
    </row>
    <row r="22" spans="1:17" s="34" customFormat="1" hidden="1" outlineLevel="1" x14ac:dyDescent="0.3">
      <c r="A22" s="35"/>
      <c r="B22" s="10" t="str">
        <f>CONCATENATE("          ","6111", " - ","F.I.C.A.")</f>
        <v xml:space="preserve">          6111 - F.I.C.A.</v>
      </c>
      <c r="C22" s="14"/>
      <c r="D22" s="2">
        <v>512.97</v>
      </c>
      <c r="E22" s="2">
        <v>765.60612000000003</v>
      </c>
      <c r="F22" s="2">
        <v>728.41254000000004</v>
      </c>
      <c r="G22" s="2">
        <v>957.00765000000001</v>
      </c>
      <c r="H22" s="2">
        <v>554.91903000000002</v>
      </c>
      <c r="I22" s="2">
        <v>574.20459000000005</v>
      </c>
      <c r="J22" s="2">
        <v>1249.12977140308</v>
      </c>
      <c r="K22" s="2">
        <v>1189.64519233846</v>
      </c>
      <c r="L22" s="2">
        <v>1154.64465601846</v>
      </c>
      <c r="M22" s="2">
        <v>1354.1313803630801</v>
      </c>
      <c r="N22" s="2">
        <v>1189.64519233846</v>
      </c>
      <c r="O22" s="2">
        <v>1182.9527968984601</v>
      </c>
      <c r="P22" s="9"/>
      <c r="Q22" s="2">
        <f>SUM(OSRRefD21_0_0x)+IFERROR(SUM(OSRRefE21_0_0x),0)</f>
        <v>11413.26891936</v>
      </c>
    </row>
    <row r="23" spans="1:17" s="34" customFormat="1" hidden="1" outlineLevel="1" x14ac:dyDescent="0.3">
      <c r="A23" s="35"/>
      <c r="B23" s="10" t="str">
        <f>CONCATENATE("          ","6112", " - ","COMPENSATION INSURANCE")</f>
        <v xml:space="preserve">          6112 - COMPENSATION INSURANCE</v>
      </c>
      <c r="C23" s="14"/>
      <c r="D23" s="2">
        <v>240.59</v>
      </c>
      <c r="E23" s="2">
        <v>577.97500000000002</v>
      </c>
      <c r="F23" s="2">
        <v>587.82899999999995</v>
      </c>
      <c r="G23" s="2">
        <v>779.03449999999998</v>
      </c>
      <c r="H23" s="2">
        <v>441.19389999999999</v>
      </c>
      <c r="I23" s="2">
        <v>467.72390000000001</v>
      </c>
      <c r="J23" s="2">
        <v>954.79169178461598</v>
      </c>
      <c r="K23" s="2">
        <v>1241.4842943076901</v>
      </c>
      <c r="L23" s="2">
        <v>1187.8154687076899</v>
      </c>
      <c r="M23" s="2">
        <v>1294.3935805846199</v>
      </c>
      <c r="N23" s="2">
        <v>988.59578630769204</v>
      </c>
      <c r="O23" s="2">
        <v>775.29807310769195</v>
      </c>
      <c r="P23" s="9"/>
      <c r="Q23" s="2">
        <f>SUM(OSRRefD21_0_1x)+IFERROR(SUM(OSRRefE21_0_1x),0)</f>
        <v>9536.7251947999994</v>
      </c>
    </row>
    <row r="24" spans="1:17" s="34" customFormat="1" hidden="1" outlineLevel="1" x14ac:dyDescent="0.3">
      <c r="A24" s="35"/>
      <c r="B24" s="10" t="str">
        <f>CONCATENATE("          ","6113", " - ","GROUP INSURANCE")</f>
        <v xml:space="preserve">          6113 - GROUP INSURANCE</v>
      </c>
      <c r="C24" s="14"/>
      <c r="D24" s="2">
        <v>3353.46</v>
      </c>
      <c r="E24" s="2">
        <v>4925.5384615384601</v>
      </c>
      <c r="F24" s="2">
        <v>4648.4769230769198</v>
      </c>
      <c r="G24" s="2">
        <v>6156.9230769230799</v>
      </c>
      <c r="H24" s="2">
        <v>3561.93461538462</v>
      </c>
      <c r="I24" s="2">
        <v>3694.1538461538498</v>
      </c>
      <c r="J24" s="2">
        <v>6061.2615384615401</v>
      </c>
      <c r="K24" s="2">
        <v>6307.5384615384601</v>
      </c>
      <c r="L24" s="2">
        <v>6061.2615384615401</v>
      </c>
      <c r="M24" s="2">
        <v>6800.09230769231</v>
      </c>
      <c r="N24" s="2">
        <v>6307.5384615384601</v>
      </c>
      <c r="O24" s="2">
        <v>7046.3692307692299</v>
      </c>
      <c r="P24" s="9"/>
      <c r="Q24" s="2">
        <f>SUM(OSRRefD21_0_2x)+IFERROR(SUM(OSRRefE21_0_2x),0)</f>
        <v>64924.548461538485</v>
      </c>
    </row>
    <row r="25" spans="1:17" s="34" customFormat="1" hidden="1" outlineLevel="1" x14ac:dyDescent="0.3">
      <c r="A25" s="35"/>
      <c r="B25" s="10" t="str">
        <f>CONCATENATE("          ","6114", " - ","STATE UNEMPLOYMENT INSURANCE")</f>
        <v xml:space="preserve">          6114 - STATE UNEMPLOYMENT INSURANCE</v>
      </c>
      <c r="C25" s="14"/>
      <c r="D25" s="2">
        <v>17.43</v>
      </c>
      <c r="E25" s="2">
        <v>32.024999999999999</v>
      </c>
      <c r="F25" s="2">
        <v>32.570999999999998</v>
      </c>
      <c r="G25" s="2">
        <v>43.165500000000002</v>
      </c>
      <c r="H25" s="2">
        <v>24.446100000000001</v>
      </c>
      <c r="I25" s="2">
        <v>25.9161</v>
      </c>
      <c r="J25" s="2">
        <v>52.904025138461499</v>
      </c>
      <c r="K25" s="2">
        <v>68.789367230769201</v>
      </c>
      <c r="L25" s="2">
        <v>65.815632830769204</v>
      </c>
      <c r="M25" s="2">
        <v>71.721016338461496</v>
      </c>
      <c r="N25" s="2">
        <v>54.777075230769199</v>
      </c>
      <c r="O25" s="2">
        <v>42.958468430769202</v>
      </c>
      <c r="P25" s="9"/>
      <c r="Q25" s="2">
        <f>SUM(OSRRefD21_0_3x)+IFERROR(SUM(OSRRefE21_0_3x),0)</f>
        <v>532.51928519999967</v>
      </c>
    </row>
    <row r="26" spans="1:17" s="34" customFormat="1" hidden="1" outlineLevel="1" x14ac:dyDescent="0.3">
      <c r="A26" s="35"/>
      <c r="B26" s="10" t="str">
        <f>CONCATENATE("          ","6115", " - ","P.E.R.S.")</f>
        <v xml:space="preserve">          6115 - P.E.R.S.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530.88461538461502</v>
      </c>
      <c r="K26" s="2">
        <v>424.70769230769201</v>
      </c>
      <c r="L26" s="2">
        <v>424.70769230769201</v>
      </c>
      <c r="M26" s="2">
        <v>530.88461538461502</v>
      </c>
      <c r="N26" s="2">
        <v>424.70769230769201</v>
      </c>
      <c r="O26" s="2">
        <v>424.70769230769201</v>
      </c>
      <c r="P26" s="9"/>
      <c r="Q26" s="2">
        <f>SUM(OSRRefD21_0_4x)+IFERROR(SUM(OSRRefE21_0_4x),0)</f>
        <v>2760.5999999999981</v>
      </c>
    </row>
    <row r="27" spans="1:17" s="34" customFormat="1" hidden="1" outlineLevel="1" x14ac:dyDescent="0.3">
      <c r="A27" s="35"/>
      <c r="B27" s="10" t="str">
        <f>CONCATENATE("          ","6116", " - ","EDUCATIONAL BENEFITS")</f>
        <v xml:space="preserve">          6116 - EDUCATIONAL BENEFITS</v>
      </c>
      <c r="C27" s="14"/>
      <c r="D27" s="2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9"/>
      <c r="Q27" s="2">
        <f>SUM(OSRRefD21_0_5x)+IFERROR(SUM(OSRRefE21_0_5x),0)</f>
        <v>0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>
        <v>277.64</v>
      </c>
      <c r="E28" s="2">
        <v>259.2</v>
      </c>
      <c r="F28" s="2">
        <v>244.62</v>
      </c>
      <c r="G28" s="2">
        <v>324</v>
      </c>
      <c r="H28" s="2">
        <v>186.84</v>
      </c>
      <c r="I28" s="2">
        <v>194.4</v>
      </c>
      <c r="J28" s="2">
        <v>445.87838769230802</v>
      </c>
      <c r="K28" s="2">
        <v>422.56024615384598</v>
      </c>
      <c r="L28" s="2">
        <v>408.83992615384602</v>
      </c>
      <c r="M28" s="2">
        <v>487.03934769230801</v>
      </c>
      <c r="N28" s="2">
        <v>422.56024615384598</v>
      </c>
      <c r="O28" s="2">
        <v>463.72120615384603</v>
      </c>
      <c r="P28" s="9"/>
      <c r="Q28" s="2">
        <f>SUM(OSRRefD21_0_6x)+IFERROR(SUM(OSRRefE21_0_6x),0)</f>
        <v>4137.2993600000009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>
        <v>263.87</v>
      </c>
      <c r="E29" s="2">
        <v>371.1</v>
      </c>
      <c r="F29" s="2">
        <v>383.76</v>
      </c>
      <c r="G29" s="2">
        <v>508.65</v>
      </c>
      <c r="H29" s="2">
        <v>286.95</v>
      </c>
      <c r="I29" s="2">
        <v>305.43</v>
      </c>
      <c r="J29" s="2">
        <v>607.14565846153801</v>
      </c>
      <c r="K29" s="2">
        <v>841.85183076923101</v>
      </c>
      <c r="L29" s="2">
        <v>803.94335076923096</v>
      </c>
      <c r="M29" s="2">
        <v>862.23949846153903</v>
      </c>
      <c r="N29" s="2">
        <v>641.67623076923098</v>
      </c>
      <c r="O29" s="2">
        <v>459.11867076923102</v>
      </c>
      <c r="P29" s="9"/>
      <c r="Q29" s="2">
        <f>SUM(OSRRefD21_0_7x)+IFERROR(SUM(OSRRefE21_0_7x),0)</f>
        <v>6335.7352400000018</v>
      </c>
    </row>
    <row r="30" spans="1:17" s="34" customFormat="1" hidden="1" outlineLevel="1" x14ac:dyDescent="0.3">
      <c r="A30" s="35"/>
      <c r="B30" s="10" t="str">
        <f>CONCATENATE("          ","6156", " - ","EMPLOYEE MEALS")</f>
        <v xml:space="preserve">          6156 - EMPLOYEE MEALS</v>
      </c>
      <c r="C30" s="14"/>
      <c r="D30" s="2">
        <v>342.07</v>
      </c>
      <c r="E30" s="2">
        <v>1340</v>
      </c>
      <c r="F30" s="2">
        <v>1500</v>
      </c>
      <c r="G30" s="2">
        <v>1700</v>
      </c>
      <c r="H30" s="2">
        <v>1500</v>
      </c>
      <c r="I30" s="2">
        <v>1340</v>
      </c>
      <c r="J30" s="2">
        <v>1500</v>
      </c>
      <c r="K30" s="2">
        <v>1340</v>
      </c>
      <c r="L30" s="2">
        <v>1500</v>
      </c>
      <c r="M30" s="2">
        <v>1700</v>
      </c>
      <c r="N30" s="2">
        <v>1340</v>
      </c>
      <c r="O30" s="2">
        <v>1300</v>
      </c>
      <c r="P30" s="9"/>
      <c r="Q30" s="2">
        <f>SUM(OSRRefD21_0_8x)+IFERROR(SUM(OSRRefE21_0_8x),0)</f>
        <v>16402.07</v>
      </c>
    </row>
    <row r="31" spans="1:17" s="34" customFormat="1" collapsed="1" x14ac:dyDescent="0.3">
      <c r="A31" s="35"/>
      <c r="B31" s="14" t="str">
        <f>CONCATENATE("     ","*Payroll                                          ")</f>
        <v xml:space="preserve">     *Payroll                                          </v>
      </c>
      <c r="C31" s="14"/>
      <c r="D31" s="1">
        <f>SUM(OSRRefD21_1x_0)</f>
        <v>8439.6</v>
      </c>
      <c r="E31" s="1">
        <f>SUM(OSRRefE21_1x_0)</f>
        <v>14619.7</v>
      </c>
      <c r="F31" s="1">
        <f>SUM(OSRRefE21_1x_1)</f>
        <v>14881.619999999999</v>
      </c>
      <c r="G31" s="1">
        <f>SUM(OSRRefE21_1x_2)</f>
        <v>19722.349999999999</v>
      </c>
      <c r="H31" s="1">
        <f>SUM(OSRRefE21_1x_3)</f>
        <v>11167.21</v>
      </c>
      <c r="I31" s="1">
        <f>SUM(OSRRefE21_1x_4)</f>
        <v>11841.17</v>
      </c>
      <c r="J31" s="1">
        <f>SUM(OSRRefE21_1x_5)</f>
        <v>24139.368876923079</v>
      </c>
      <c r="K31" s="1">
        <f>SUM(OSRRefE21_1x_6)</f>
        <v>31492.429461538461</v>
      </c>
      <c r="L31" s="1">
        <f>SUM(OSRRefE21_1x_7)</f>
        <v>30127.994261538457</v>
      </c>
      <c r="M31" s="1">
        <f>SUM(OSRRefE21_1x_8)</f>
        <v>32803.586076923079</v>
      </c>
      <c r="N31" s="1">
        <f>SUM(OSRRefE21_1x_9)</f>
        <v>25020.085061538459</v>
      </c>
      <c r="O31" s="1">
        <f>SUM(OSRRefE21_1x_10)</f>
        <v>19533.573661538459</v>
      </c>
      <c r="Q31" s="2">
        <f>SUM(OSRRefD20_1x)+IFERROR(SUM(OSRRefE20_1x),0)</f>
        <v>243788.68740000002</v>
      </c>
    </row>
    <row r="32" spans="1:17" s="34" customFormat="1" hidden="1" outlineLevel="1" x14ac:dyDescent="0.3">
      <c r="A32" s="35"/>
      <c r="B32" s="10" t="str">
        <f>CONCATENATE("          ","6001", " - ","ADMINISTRATIVE SALARIES")</f>
        <v xml:space="preserve">          6001 - ADMINISTRATIVE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SUM(OSRRefD21_1_0x)+IFERROR(SUM(OSRRefE21_1_0x),0)</f>
        <v>0</v>
      </c>
    </row>
    <row r="33" spans="1:17" s="34" customFormat="1" hidden="1" outlineLevel="1" x14ac:dyDescent="0.3">
      <c r="A33" s="35"/>
      <c r="B33" s="10" t="str">
        <f>CONCATENATE("          ","6002", " - ","STAFF SALARIES")</f>
        <v xml:space="preserve">          6002 - STAFF SALARIES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5864.4230769230799</v>
      </c>
      <c r="K33" s="2">
        <v>4691.5384615384601</v>
      </c>
      <c r="L33" s="2">
        <v>4691.5384615384601</v>
      </c>
      <c r="M33" s="2">
        <v>5864.4230769230799</v>
      </c>
      <c r="N33" s="2">
        <v>4691.5384615384601</v>
      </c>
      <c r="O33" s="2">
        <v>4691.5384615384601</v>
      </c>
      <c r="P33" s="9"/>
      <c r="Q33" s="2">
        <f>SUM(OSRRefD21_1_1x)+IFERROR(SUM(OSRRefE21_1_1x),0)</f>
        <v>30495</v>
      </c>
    </row>
    <row r="34" spans="1:17" s="34" customFormat="1" hidden="1" outlineLevel="1" x14ac:dyDescent="0.3">
      <c r="A34" s="35"/>
      <c r="B34" s="10" t="str">
        <f>CONCATENATE("          ","6003", " - ","STAFF HOURLY-9 MONTH")</f>
        <v xml:space="preserve">          6003 - STAFF HOURLY-9 MONTH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SUM(OSRRefD21_1_2x)+IFERROR(SUM(OSRRefE21_1_2x),0)</f>
        <v>0</v>
      </c>
    </row>
    <row r="35" spans="1:17" s="34" customFormat="1" hidden="1" outlineLevel="1" x14ac:dyDescent="0.3">
      <c r="A35" s="35"/>
      <c r="B35" s="10" t="str">
        <f>CONCATENATE("          ","6004", " - ","STAFF HOURLY")</f>
        <v xml:space="preserve">          6004 - STAFF HOURLY</v>
      </c>
      <c r="C35" s="14"/>
      <c r="D35" s="2">
        <v>4731.2700000000004</v>
      </c>
      <c r="E35" s="2">
        <v>8208</v>
      </c>
      <c r="F35" s="2">
        <v>7746.3</v>
      </c>
      <c r="G35" s="2">
        <v>10260</v>
      </c>
      <c r="H35" s="2">
        <v>5916.6</v>
      </c>
      <c r="I35" s="2">
        <v>6156</v>
      </c>
      <c r="J35" s="2">
        <v>8255.0591999999997</v>
      </c>
      <c r="K35" s="2">
        <v>8689.5360000000001</v>
      </c>
      <c r="L35" s="2">
        <v>8255.0591999999997</v>
      </c>
      <c r="M35" s="2">
        <v>9558.4896000000008</v>
      </c>
      <c r="N35" s="2">
        <v>8689.5360000000001</v>
      </c>
      <c r="O35" s="2">
        <v>9992.9663999999993</v>
      </c>
      <c r="P35" s="9"/>
      <c r="Q35" s="2">
        <f>SUM(OSRRefD21_1_3x)+IFERROR(SUM(OSRRefE21_1_3x),0)</f>
        <v>96458.816399999996</v>
      </c>
    </row>
    <row r="36" spans="1:17" s="34" customFormat="1" hidden="1" outlineLevel="1" x14ac:dyDescent="0.3">
      <c r="A36" s="35"/>
      <c r="B36" s="10" t="str">
        <f>CONCATENATE("          ","6005", " - ","TEMPORARY WAGES-HOURLY")</f>
        <v xml:space="preserve">          6005 - TEMPORARY WAGES-HOURLY</v>
      </c>
      <c r="C36" s="14"/>
      <c r="D36" s="2">
        <v>1542.33</v>
      </c>
      <c r="E36" s="2">
        <v>4531.84</v>
      </c>
      <c r="F36" s="2">
        <v>4671.5200000000004</v>
      </c>
      <c r="G36" s="2">
        <v>6246.8</v>
      </c>
      <c r="H36" s="2">
        <v>3429.92</v>
      </c>
      <c r="I36" s="2">
        <v>3755.84</v>
      </c>
      <c r="J36" s="2">
        <v>3038.9712</v>
      </c>
      <c r="K36" s="2">
        <v>5347.2608</v>
      </c>
      <c r="L36" s="2">
        <v>4998.5263999999997</v>
      </c>
      <c r="M36" s="2">
        <v>5197.8032000000003</v>
      </c>
      <c r="N36" s="2">
        <v>4599.9727999999996</v>
      </c>
      <c r="O36" s="2">
        <v>4849.0688</v>
      </c>
      <c r="P36" s="9"/>
      <c r="Q36" s="2">
        <f>SUM(OSRRefD21_1_4x)+IFERROR(SUM(OSRRefE21_1_4x),0)</f>
        <v>52209.853200000005</v>
      </c>
    </row>
    <row r="37" spans="1:17" s="34" customFormat="1" hidden="1" outlineLevel="1" x14ac:dyDescent="0.3">
      <c r="A37" s="35"/>
      <c r="B37" s="10" t="str">
        <f>CONCATENATE("          ","6006", " - ","TEMPORARY PART TIME")</f>
        <v xml:space="preserve">          6006 - TEMPORARY PART TIME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SUM(OSRRefD21_1_5x)+IFERROR(SUM(OSRRefE21_1_5x),0)</f>
        <v>0</v>
      </c>
    </row>
    <row r="38" spans="1:17" s="34" customFormat="1" hidden="1" outlineLevel="1" x14ac:dyDescent="0.3">
      <c r="A38" s="35"/>
      <c r="B38" s="10" t="str">
        <f>CONCATENATE("          ","6007", " - ","STUDENT HOURLY")</f>
        <v xml:space="preserve">          6007 - STUDENT HOURLY</v>
      </c>
      <c r="C38" s="14"/>
      <c r="D38" s="2">
        <v>2166</v>
      </c>
      <c r="E38" s="2">
        <v>1323.08</v>
      </c>
      <c r="F38" s="2">
        <v>1323.08</v>
      </c>
      <c r="G38" s="2">
        <v>1653.85</v>
      </c>
      <c r="H38" s="2">
        <v>992.31</v>
      </c>
      <c r="I38" s="2">
        <v>992.31</v>
      </c>
      <c r="J38" s="2">
        <v>1415.6956</v>
      </c>
      <c r="K38" s="2">
        <v>1415.6956</v>
      </c>
      <c r="L38" s="2">
        <v>1415.6956</v>
      </c>
      <c r="M38" s="2">
        <v>1415.6956</v>
      </c>
      <c r="N38" s="2">
        <v>1415.6956</v>
      </c>
      <c r="O38" s="2">
        <v>0</v>
      </c>
      <c r="P38" s="9"/>
      <c r="Q38" s="2">
        <f>SUM(OSRRefD21_1_6x)+IFERROR(SUM(OSRRefE21_1_6x),0)</f>
        <v>15529.107999999997</v>
      </c>
    </row>
    <row r="39" spans="1:17" s="34" customFormat="1" hidden="1" outlineLevel="1" x14ac:dyDescent="0.3">
      <c r="A39" s="35"/>
      <c r="B39" s="10" t="str">
        <f>CONCATENATE("          ","6008", " - ","STUDENT HOURLY-FICA EXEMPT")</f>
        <v xml:space="preserve">          6008 - STUDENT HOURLY-FICA EXEMPT</v>
      </c>
      <c r="C39" s="14"/>
      <c r="D39" s="2"/>
      <c r="E39" s="2">
        <v>556.78</v>
      </c>
      <c r="F39" s="2">
        <v>1140.72</v>
      </c>
      <c r="G39" s="2">
        <v>1561.7</v>
      </c>
      <c r="H39" s="2">
        <v>828.38</v>
      </c>
      <c r="I39" s="2">
        <v>937.02</v>
      </c>
      <c r="J39" s="2">
        <v>5565.2197999999999</v>
      </c>
      <c r="K39" s="2">
        <v>11348.3986</v>
      </c>
      <c r="L39" s="2">
        <v>10767.1746</v>
      </c>
      <c r="M39" s="2">
        <v>10767.1746</v>
      </c>
      <c r="N39" s="2">
        <v>5623.3422</v>
      </c>
      <c r="O39" s="2">
        <v>0</v>
      </c>
      <c r="P39" s="9"/>
      <c r="Q39" s="2">
        <f>SUM(OSRRefD21_1_7x)+IFERROR(SUM(OSRRefE21_1_7x),0)</f>
        <v>49095.909800000001</v>
      </c>
    </row>
    <row r="40" spans="1:17" s="34" customFormat="1" hidden="1" outlineLevel="1" x14ac:dyDescent="0.3">
      <c r="A40" s="35"/>
      <c r="B40" s="10" t="str">
        <f>CONCATENATE("          ","6009", " - ","TEMPORARY-SEASONAL")</f>
        <v xml:space="preserve">          6009 - TEMPORARY-SEASONAL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SUM(OSRRefD21_1_8x)+IFERROR(SUM(OSRRefE21_1_8x),0)</f>
        <v>0</v>
      </c>
    </row>
    <row r="41" spans="1:17" s="34" customFormat="1" hidden="1" outlineLevel="1" x14ac:dyDescent="0.3">
      <c r="A41" s="35"/>
      <c r="B41" s="10" t="str">
        <f>CONCATENATE("          ","6010", " - ","GRATUITY")</f>
        <v xml:space="preserve">          6010 - GRATUITY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SUM(OSRRefD21_1_9x)+IFERROR(SUM(OSRRefE21_1_9x),0)</f>
        <v>0</v>
      </c>
    </row>
    <row r="42" spans="1:17" s="34" customFormat="1" collapsed="1" x14ac:dyDescent="0.3">
      <c r="A42" s="35"/>
      <c r="B42" s="14" t="str">
        <f>CONCATENATE("     ","Advertising/Promo                                 ")</f>
        <v xml:space="preserve">     Advertising/Promo                                 </v>
      </c>
      <c r="C42" s="14"/>
      <c r="D42" s="1">
        <f>SUM(OSRRefD21_2x_0)</f>
        <v>249.32</v>
      </c>
      <c r="E42" s="1">
        <f>SUM(OSRRefE21_2x_0)</f>
        <v>0</v>
      </c>
      <c r="F42" s="1">
        <f>SUM(OSRRefE21_2x_1)</f>
        <v>0</v>
      </c>
      <c r="G42" s="1">
        <f>SUM(OSRRefE21_2x_2)</f>
        <v>0</v>
      </c>
      <c r="H42" s="1">
        <f>SUM(OSRRefE21_2x_3)</f>
        <v>0</v>
      </c>
      <c r="I42" s="1">
        <f>SUM(OSRRefE21_2x_4)</f>
        <v>0</v>
      </c>
      <c r="J42" s="1">
        <f>SUM(OSRRefE21_2x_5)</f>
        <v>0</v>
      </c>
      <c r="K42" s="1">
        <f>SUM(OSRRefE21_2x_6)</f>
        <v>0</v>
      </c>
      <c r="L42" s="1">
        <f>SUM(OSRRefE21_2x_7)</f>
        <v>0</v>
      </c>
      <c r="M42" s="1">
        <f>SUM(OSRRefE21_2x_8)</f>
        <v>0</v>
      </c>
      <c r="N42" s="1">
        <f>SUM(OSRRefE21_2x_9)</f>
        <v>0</v>
      </c>
      <c r="O42" s="1">
        <f>SUM(OSRRefE21_2x_10)</f>
        <v>0</v>
      </c>
      <c r="Q42" s="2">
        <f>SUM(OSRRefD20_2x)+IFERROR(SUM(OSRRefE20_2x),0)</f>
        <v>249.32</v>
      </c>
    </row>
    <row r="43" spans="1:17" s="34" customFormat="1" hidden="1" outlineLevel="1" x14ac:dyDescent="0.3">
      <c r="A43" s="35"/>
      <c r="B43" s="10" t="str">
        <f>CONCATENATE("          ","6362", " - ","ADVERTISING EXPENSE")</f>
        <v xml:space="preserve">          6362 - ADVERTISING EXPENSE</v>
      </c>
      <c r="C43" s="14"/>
      <c r="D43" s="2">
        <v>249.32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2">
        <f>SUM(OSRRefD21_2_0x)+IFERROR(SUM(OSRRefE21_2_0x),0)</f>
        <v>249.32</v>
      </c>
    </row>
    <row r="44" spans="1:17" s="34" customFormat="1" collapsed="1" x14ac:dyDescent="0.3">
      <c r="A44" s="35"/>
      <c r="B44" s="14" t="str">
        <f>CONCATENATE("     ","Bank/card Fees                                    ")</f>
        <v xml:space="preserve">     Bank/card Fees                                    </v>
      </c>
      <c r="C44" s="14"/>
      <c r="D44" s="1">
        <f>SUM(OSRRefD21_3x_0)</f>
        <v>0.1</v>
      </c>
      <c r="E44" s="1">
        <f>SUM(OSRRefE21_3x_0)</f>
        <v>952</v>
      </c>
      <c r="F44" s="1">
        <f>SUM(OSRRefE21_3x_1)</f>
        <v>2202</v>
      </c>
      <c r="G44" s="1">
        <f>SUM(OSRRefE21_3x_2)</f>
        <v>2768</v>
      </c>
      <c r="H44" s="1">
        <f>SUM(OSRRefE21_3x_3)</f>
        <v>1375</v>
      </c>
      <c r="I44" s="1">
        <f>SUM(OSRRefE21_3x_4)</f>
        <v>1447</v>
      </c>
      <c r="J44" s="1">
        <f>SUM(OSRRefE21_3x_5)</f>
        <v>3026</v>
      </c>
      <c r="K44" s="1">
        <f>SUM(OSRRefE21_3x_6)</f>
        <v>6738</v>
      </c>
      <c r="L44" s="1">
        <f>SUM(OSRRefE21_3x_7)</f>
        <v>6529</v>
      </c>
      <c r="M44" s="1">
        <f>SUM(OSRRefE21_3x_8)</f>
        <v>7226</v>
      </c>
      <c r="N44" s="1">
        <f>SUM(OSRRefE21_3x_9)</f>
        <v>4473</v>
      </c>
      <c r="O44" s="1">
        <f>SUM(OSRRefE21_3x_10)</f>
        <v>1745</v>
      </c>
      <c r="Q44" s="2">
        <f>SUM(OSRRefD20_3x)+IFERROR(SUM(OSRRefE20_3x),0)</f>
        <v>38481.1</v>
      </c>
    </row>
    <row r="45" spans="1:17" s="34" customFormat="1" hidden="1" outlineLevel="1" x14ac:dyDescent="0.3">
      <c r="A45" s="35"/>
      <c r="B45" s="10" t="str">
        <f>CONCATENATE("          ","6381", " - ","BANK/CREDIT CARD FEES")</f>
        <v xml:space="preserve">          6381 - BANK/CREDIT CARD FEES</v>
      </c>
      <c r="C45" s="14"/>
      <c r="D45" s="2">
        <v>0.1</v>
      </c>
      <c r="E45" s="2">
        <v>952</v>
      </c>
      <c r="F45" s="2">
        <v>2202</v>
      </c>
      <c r="G45" s="2">
        <v>2768</v>
      </c>
      <c r="H45" s="2">
        <v>1375</v>
      </c>
      <c r="I45" s="2">
        <v>1447</v>
      </c>
      <c r="J45" s="2">
        <v>3026</v>
      </c>
      <c r="K45" s="2">
        <v>6738</v>
      </c>
      <c r="L45" s="2">
        <v>6529</v>
      </c>
      <c r="M45" s="2">
        <v>7226</v>
      </c>
      <c r="N45" s="2">
        <v>4473</v>
      </c>
      <c r="O45" s="2">
        <v>1745</v>
      </c>
      <c r="P45" s="9"/>
      <c r="Q45" s="2">
        <f>SUM(OSRRefD21_3_0x)+IFERROR(SUM(OSRRefE21_3_0x),0)</f>
        <v>38481.1</v>
      </c>
    </row>
    <row r="46" spans="1:17" s="34" customFormat="1" collapsed="1" x14ac:dyDescent="0.3">
      <c r="A46" s="35"/>
      <c r="B46" s="14" t="str">
        <f>CONCATENATE("     ","Depreciation                                      ")</f>
        <v xml:space="preserve">     Depreciation                                      </v>
      </c>
      <c r="C46" s="14"/>
      <c r="D46" s="1">
        <f>SUM(OSRRefD21_4x_0)</f>
        <v>6745.15</v>
      </c>
      <c r="E46" s="1">
        <f>SUM(OSRRefE21_4x_0)</f>
        <v>6745</v>
      </c>
      <c r="F46" s="1">
        <f>SUM(OSRRefE21_4x_1)</f>
        <v>6701</v>
      </c>
      <c r="G46" s="1">
        <f>SUM(OSRRefE21_4x_2)</f>
        <v>6701</v>
      </c>
      <c r="H46" s="1">
        <f>SUM(OSRRefE21_4x_3)</f>
        <v>6701</v>
      </c>
      <c r="I46" s="1">
        <f>SUM(OSRRefE21_4x_4)</f>
        <v>6701</v>
      </c>
      <c r="J46" s="1">
        <f>SUM(OSRRefE21_4x_5)</f>
        <v>6701</v>
      </c>
      <c r="K46" s="1">
        <f>SUM(OSRRefE21_4x_6)</f>
        <v>6701</v>
      </c>
      <c r="L46" s="1">
        <f>SUM(OSRRefE21_4x_7)</f>
        <v>6701</v>
      </c>
      <c r="M46" s="1">
        <f>SUM(OSRRefE21_4x_8)</f>
        <v>6701</v>
      </c>
      <c r="N46" s="1">
        <f>SUM(OSRRefE21_4x_9)</f>
        <v>6701</v>
      </c>
      <c r="O46" s="1">
        <f>SUM(OSRRefE21_4x_10)</f>
        <v>6701</v>
      </c>
      <c r="Q46" s="2">
        <f>SUM(OSRRefD20_4x)+IFERROR(SUM(OSRRefE20_4x),0)</f>
        <v>80500.149999999994</v>
      </c>
    </row>
    <row r="47" spans="1:17" s="34" customFormat="1" hidden="1" outlineLevel="1" x14ac:dyDescent="0.3">
      <c r="A47" s="35"/>
      <c r="B47" s="10" t="str">
        <f>CONCATENATE("          ","6321", " - ","BUILDING DEPRECIATION")</f>
        <v xml:space="preserve">          6321 - BUILDING DEPRECIATION</v>
      </c>
      <c r="C47" s="14"/>
      <c r="D47" s="2">
        <v>6537.03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2">
        <f>SUM(OSRRefD21_4_0x)+IFERROR(SUM(OSRRefE21_4_0x),0)</f>
        <v>6537.03</v>
      </c>
    </row>
    <row r="48" spans="1:17" s="34" customFormat="1" hidden="1" outlineLevel="1" x14ac:dyDescent="0.3">
      <c r="A48" s="35"/>
      <c r="B48" s="10" t="str">
        <f>CONCATENATE("          ","6322", " - ","EQUIPMENT DEPRECIATION EXPENSE")</f>
        <v xml:space="preserve">          6322 - EQUIPMENT DEPRECIATION EXPENSE</v>
      </c>
      <c r="C48" s="14"/>
      <c r="D48" s="2">
        <v>208.12</v>
      </c>
      <c r="E48" s="2">
        <v>6745</v>
      </c>
      <c r="F48" s="2">
        <v>6701</v>
      </c>
      <c r="G48" s="2">
        <v>6701</v>
      </c>
      <c r="H48" s="2">
        <v>6701</v>
      </c>
      <c r="I48" s="2">
        <v>6701</v>
      </c>
      <c r="J48" s="2">
        <v>6701</v>
      </c>
      <c r="K48" s="2">
        <v>6701</v>
      </c>
      <c r="L48" s="2">
        <v>6701</v>
      </c>
      <c r="M48" s="2">
        <v>6701</v>
      </c>
      <c r="N48" s="2">
        <v>6701</v>
      </c>
      <c r="O48" s="2">
        <v>6701</v>
      </c>
      <c r="P48" s="9"/>
      <c r="Q48" s="2">
        <f>SUM(OSRRefD21_4_1x)+IFERROR(SUM(OSRRefE21_4_1x),0)</f>
        <v>73963.12</v>
      </c>
    </row>
    <row r="49" spans="1:17" s="34" customFormat="1" collapsed="1" x14ac:dyDescent="0.3">
      <c r="A49" s="35"/>
      <c r="B49" s="14" t="str">
        <f>CONCATENATE("     ","Employees' Appreciation                           ")</f>
        <v xml:space="preserve">     Employees' Appreciation                           </v>
      </c>
      <c r="C49" s="14"/>
      <c r="D49" s="1">
        <f>SUM(OSRRefD21_5x_0)</f>
        <v>0</v>
      </c>
      <c r="E49" s="1">
        <f>SUM(OSRRefE21_5x_0)</f>
        <v>20</v>
      </c>
      <c r="F49" s="1">
        <f>SUM(OSRRefE21_5x_1)</f>
        <v>0</v>
      </c>
      <c r="G49" s="1">
        <f>SUM(OSRRefE21_5x_2)</f>
        <v>20</v>
      </c>
      <c r="H49" s="1">
        <f>SUM(OSRRefE21_5x_3)</f>
        <v>20</v>
      </c>
      <c r="I49" s="1">
        <f>SUM(OSRRefE21_5x_4)</f>
        <v>20</v>
      </c>
      <c r="J49" s="1">
        <f>SUM(OSRRefE21_5x_5)</f>
        <v>0</v>
      </c>
      <c r="K49" s="1">
        <f>SUM(OSRRefE21_5x_6)</f>
        <v>0</v>
      </c>
      <c r="L49" s="1">
        <f>SUM(OSRRefE21_5x_7)</f>
        <v>20</v>
      </c>
      <c r="M49" s="1">
        <f>SUM(OSRRefE21_5x_8)</f>
        <v>20</v>
      </c>
      <c r="N49" s="1">
        <f>SUM(OSRRefE21_5x_9)</f>
        <v>20</v>
      </c>
      <c r="O49" s="1">
        <f>SUM(OSRRefE21_5x_10)</f>
        <v>0</v>
      </c>
      <c r="Q49" s="2">
        <f>SUM(OSRRefD20_5x)+IFERROR(SUM(OSRRefE20_5x),0)</f>
        <v>140</v>
      </c>
    </row>
    <row r="50" spans="1:17" s="34" customFormat="1" hidden="1" outlineLevel="1" x14ac:dyDescent="0.3">
      <c r="A50" s="35"/>
      <c r="B50" s="10" t="str">
        <f>CONCATENATE("          ","6277", " - ","EMPLOYEE APPRECIATION")</f>
        <v xml:space="preserve">          6277 - EMPLOYEE APPRECIATION</v>
      </c>
      <c r="C50" s="14"/>
      <c r="D50" s="2"/>
      <c r="E50" s="2">
        <v>20</v>
      </c>
      <c r="F50" s="2"/>
      <c r="G50" s="2">
        <v>20</v>
      </c>
      <c r="H50" s="2">
        <v>20</v>
      </c>
      <c r="I50" s="2">
        <v>20</v>
      </c>
      <c r="J50" s="2"/>
      <c r="K50" s="2"/>
      <c r="L50" s="2">
        <v>20</v>
      </c>
      <c r="M50" s="2">
        <v>20</v>
      </c>
      <c r="N50" s="2">
        <v>20</v>
      </c>
      <c r="O50" s="2"/>
      <c r="P50" s="9"/>
      <c r="Q50" s="2">
        <f>SUM(OSRRefD21_5_0x)+IFERROR(SUM(OSRRefE21_5_0x),0)</f>
        <v>140</v>
      </c>
    </row>
    <row r="51" spans="1:17" s="34" customFormat="1" collapsed="1" x14ac:dyDescent="0.3">
      <c r="A51" s="35"/>
      <c r="B51" s="14" t="str">
        <f>CONCATENATE("     ","Equipment Rental                                  ")</f>
        <v xml:space="preserve">     Equipment Rental                                  </v>
      </c>
      <c r="C51" s="14"/>
      <c r="D51" s="1">
        <f>SUM(OSRRefD21_6x_0)</f>
        <v>215.47</v>
      </c>
      <c r="E51" s="1">
        <f>SUM(OSRRefE21_6x_0)</f>
        <v>200</v>
      </c>
      <c r="F51" s="1">
        <f>SUM(OSRRefE21_6x_1)</f>
        <v>200</v>
      </c>
      <c r="G51" s="1">
        <f>SUM(OSRRefE21_6x_2)</f>
        <v>200</v>
      </c>
      <c r="H51" s="1">
        <f>SUM(OSRRefE21_6x_3)</f>
        <v>200</v>
      </c>
      <c r="I51" s="1">
        <f>SUM(OSRRefE21_6x_4)</f>
        <v>200</v>
      </c>
      <c r="J51" s="1">
        <f>SUM(OSRRefE21_6x_5)</f>
        <v>200</v>
      </c>
      <c r="K51" s="1">
        <f>SUM(OSRRefE21_6x_6)</f>
        <v>200</v>
      </c>
      <c r="L51" s="1">
        <f>SUM(OSRRefE21_6x_7)</f>
        <v>200</v>
      </c>
      <c r="M51" s="1">
        <f>SUM(OSRRefE21_6x_8)</f>
        <v>200</v>
      </c>
      <c r="N51" s="1">
        <f>SUM(OSRRefE21_6x_9)</f>
        <v>200</v>
      </c>
      <c r="O51" s="1">
        <f>SUM(OSRRefE21_6x_10)</f>
        <v>200</v>
      </c>
      <c r="Q51" s="2">
        <f>SUM(OSRRefD20_6x)+IFERROR(SUM(OSRRefE20_6x),0)</f>
        <v>2415.4699999999998</v>
      </c>
    </row>
    <row r="52" spans="1:17" s="34" customFormat="1" hidden="1" outlineLevel="1" x14ac:dyDescent="0.3">
      <c r="A52" s="35"/>
      <c r="B52" s="10" t="str">
        <f>CONCATENATE("          ","6351", " - ","EQUIPMENT RENTAL")</f>
        <v xml:space="preserve">          6351 - EQUIPMENT RENTAL</v>
      </c>
      <c r="C52" s="14"/>
      <c r="D52" s="2">
        <v>215.47</v>
      </c>
      <c r="E52" s="2">
        <v>200</v>
      </c>
      <c r="F52" s="2">
        <v>200</v>
      </c>
      <c r="G52" s="2">
        <v>200</v>
      </c>
      <c r="H52" s="2">
        <v>200</v>
      </c>
      <c r="I52" s="2">
        <v>200</v>
      </c>
      <c r="J52" s="2">
        <v>200</v>
      </c>
      <c r="K52" s="2">
        <v>200</v>
      </c>
      <c r="L52" s="2">
        <v>200</v>
      </c>
      <c r="M52" s="2">
        <v>200</v>
      </c>
      <c r="N52" s="2">
        <v>200</v>
      </c>
      <c r="O52" s="2">
        <v>200</v>
      </c>
      <c r="P52" s="9"/>
      <c r="Q52" s="2">
        <f>SUM(OSRRefD21_6_0x)+IFERROR(SUM(OSRRefE21_6_0x),0)</f>
        <v>2415.4699999999998</v>
      </c>
    </row>
    <row r="53" spans="1:17" s="34" customFormat="1" collapsed="1" x14ac:dyDescent="0.3">
      <c r="A53" s="35"/>
      <c r="B53" s="14" t="str">
        <f>CONCATENATE("     ","General                                           ")</f>
        <v xml:space="preserve">     General                                           </v>
      </c>
      <c r="C53" s="14"/>
      <c r="D53" s="1">
        <f>SUM(OSRRefD21_7x_0)</f>
        <v>0</v>
      </c>
      <c r="E53" s="1">
        <f>SUM(OSRRefE21_7x_0)</f>
        <v>0</v>
      </c>
      <c r="F53" s="1">
        <f>SUM(OSRRefE21_7x_1)</f>
        <v>0</v>
      </c>
      <c r="G53" s="1">
        <f>SUM(OSRRefE21_7x_2)</f>
        <v>0</v>
      </c>
      <c r="H53" s="1">
        <f>SUM(OSRRefE21_7x_3)</f>
        <v>0</v>
      </c>
      <c r="I53" s="1">
        <f>SUM(OSRRefE21_7x_4)</f>
        <v>500</v>
      </c>
      <c r="J53" s="1">
        <f>SUM(OSRRefE21_7x_5)</f>
        <v>250</v>
      </c>
      <c r="K53" s="1">
        <f>SUM(OSRRefE21_7x_6)</f>
        <v>0</v>
      </c>
      <c r="L53" s="1">
        <f>SUM(OSRRefE21_7x_7)</f>
        <v>250</v>
      </c>
      <c r="M53" s="1">
        <f>SUM(OSRRefE21_7x_8)</f>
        <v>0</v>
      </c>
      <c r="N53" s="1">
        <f>SUM(OSRRefE21_7x_9)</f>
        <v>0</v>
      </c>
      <c r="O53" s="1">
        <f>SUM(OSRRefE21_7x_10)</f>
        <v>0</v>
      </c>
      <c r="Q53" s="2">
        <f>SUM(OSRRefD20_7x)+IFERROR(SUM(OSRRefE20_7x),0)</f>
        <v>1000</v>
      </c>
    </row>
    <row r="54" spans="1:17" s="34" customFormat="1" hidden="1" outlineLevel="1" x14ac:dyDescent="0.3">
      <c r="A54" s="35"/>
      <c r="B54" s="10" t="str">
        <f>CONCATENATE("          ","6269", " - ","ENTERTAINMENT")</f>
        <v xml:space="preserve">          6269 - ENTERTAINMENT</v>
      </c>
      <c r="C54" s="14"/>
      <c r="D54" s="2"/>
      <c r="E54" s="2"/>
      <c r="F54" s="2"/>
      <c r="G54" s="2"/>
      <c r="H54" s="2"/>
      <c r="I54" s="2"/>
      <c r="J54" s="2">
        <v>250</v>
      </c>
      <c r="K54" s="2"/>
      <c r="L54" s="2">
        <v>250</v>
      </c>
      <c r="M54" s="2"/>
      <c r="N54" s="2"/>
      <c r="O54" s="2"/>
      <c r="P54" s="9"/>
      <c r="Q54" s="2">
        <f>SUM(OSRRefD21_7_0x)+IFERROR(SUM(OSRRefE21_7_0x),0)</f>
        <v>500</v>
      </c>
    </row>
    <row r="55" spans="1:17" s="34" customFormat="1" hidden="1" outlineLevel="1" x14ac:dyDescent="0.3">
      <c r="A55" s="35"/>
      <c r="B55" s="10" t="str">
        <f>CONCATENATE("          ","6279", " - ","GENERAL EXPENSE")</f>
        <v xml:space="preserve">          6279 - GENERAL EXPENSE</v>
      </c>
      <c r="C55" s="14"/>
      <c r="D55" s="2"/>
      <c r="E55" s="2"/>
      <c r="F55" s="2"/>
      <c r="G55" s="2"/>
      <c r="H55" s="2"/>
      <c r="I55" s="2">
        <v>500</v>
      </c>
      <c r="J55" s="2"/>
      <c r="K55" s="2"/>
      <c r="L55" s="2"/>
      <c r="M55" s="2"/>
      <c r="N55" s="2"/>
      <c r="O55" s="2"/>
      <c r="P55" s="9"/>
      <c r="Q55" s="2">
        <f>SUM(OSRRefD21_7_1x)+IFERROR(SUM(OSRRefE21_7_1x),0)</f>
        <v>500</v>
      </c>
    </row>
    <row r="56" spans="1:17" s="34" customFormat="1" collapsed="1" x14ac:dyDescent="0.3">
      <c r="A56" s="35"/>
      <c r="B56" s="14" t="str">
        <f>CONCATENATE("     ","Repair and Maintenance                            ")</f>
        <v xml:space="preserve">     Repair and Maintenance                            </v>
      </c>
      <c r="C56" s="14"/>
      <c r="D56" s="1">
        <f>SUM(OSRRefD21_8x_0)</f>
        <v>951.47</v>
      </c>
      <c r="E56" s="1">
        <f>SUM(OSRRefE21_8x_0)</f>
        <v>476</v>
      </c>
      <c r="F56" s="1">
        <f>SUM(OSRRefE21_8x_1)</f>
        <v>1102</v>
      </c>
      <c r="G56" s="1">
        <f>SUM(OSRRefE21_8x_2)</f>
        <v>1885</v>
      </c>
      <c r="H56" s="1">
        <f>SUM(OSRRefE21_8x_3)</f>
        <v>688</v>
      </c>
      <c r="I56" s="1">
        <f>SUM(OSRRefE21_8x_4)</f>
        <v>724</v>
      </c>
      <c r="J56" s="1">
        <f>SUM(OSRRefE21_8x_5)</f>
        <v>1636</v>
      </c>
      <c r="K56" s="1">
        <f>SUM(OSRRefE21_8x_6)</f>
        <v>2529</v>
      </c>
      <c r="L56" s="1">
        <f>SUM(OSRRefE21_8x_7)</f>
        <v>2450</v>
      </c>
      <c r="M56" s="1">
        <f>SUM(OSRRefE21_8x_8)</f>
        <v>3212</v>
      </c>
      <c r="N56" s="1">
        <f>SUM(OSRRefE21_8x_9)</f>
        <v>1679</v>
      </c>
      <c r="O56" s="1">
        <f>SUM(OSRRefE21_8x_10)</f>
        <v>655</v>
      </c>
      <c r="Q56" s="2">
        <f>SUM(OSRRefD20_8x)+IFERROR(SUM(OSRRefE20_8x),0)</f>
        <v>17987.47</v>
      </c>
    </row>
    <row r="57" spans="1:17" s="34" customFormat="1" hidden="1" outlineLevel="1" x14ac:dyDescent="0.3">
      <c r="A57" s="35"/>
      <c r="B57" s="10" t="str">
        <f>CONCATENATE("          ","6373", " - ","MAINTENANCE CONTRACTS")</f>
        <v xml:space="preserve">          6373 - MAINTENANCE CONTRACTS</v>
      </c>
      <c r="C57" s="14"/>
      <c r="D57" s="2"/>
      <c r="E57" s="2"/>
      <c r="F57" s="2"/>
      <c r="G57" s="2">
        <v>500</v>
      </c>
      <c r="H57" s="2"/>
      <c r="I57" s="2"/>
      <c r="J57" s="2">
        <v>500</v>
      </c>
      <c r="K57" s="2"/>
      <c r="L57" s="2"/>
      <c r="M57" s="2">
        <v>500</v>
      </c>
      <c r="N57" s="2"/>
      <c r="O57" s="2"/>
      <c r="P57" s="9"/>
      <c r="Q57" s="2">
        <f>SUM(OSRRefD21_8_0x)+IFERROR(SUM(OSRRefE21_8_0x),0)</f>
        <v>1500</v>
      </c>
    </row>
    <row r="58" spans="1:17" s="34" customFormat="1" hidden="1" outlineLevel="1" x14ac:dyDescent="0.3">
      <c r="A58" s="35"/>
      <c r="B58" s="10" t="str">
        <f>CONCATENATE("          ","6375", " - ","OUTSIDE REPAIRS &amp; MAINTENANCE")</f>
        <v xml:space="preserve">          6375 - OUTSIDE REPAIRS &amp; MAINTENANCE</v>
      </c>
      <c r="C58" s="14"/>
      <c r="D58" s="2">
        <v>951.47</v>
      </c>
      <c r="E58" s="2">
        <v>476</v>
      </c>
      <c r="F58" s="2">
        <v>1102</v>
      </c>
      <c r="G58" s="2">
        <v>1385</v>
      </c>
      <c r="H58" s="2">
        <v>688</v>
      </c>
      <c r="I58" s="2">
        <v>724</v>
      </c>
      <c r="J58" s="2">
        <v>1136</v>
      </c>
      <c r="K58" s="2">
        <v>2529</v>
      </c>
      <c r="L58" s="2">
        <v>2450</v>
      </c>
      <c r="M58" s="2">
        <v>2712</v>
      </c>
      <c r="N58" s="2">
        <v>1679</v>
      </c>
      <c r="O58" s="2">
        <v>655</v>
      </c>
      <c r="P58" s="9"/>
      <c r="Q58" s="2">
        <f>SUM(OSRRefD21_8_1x)+IFERROR(SUM(OSRRefE21_8_1x),0)</f>
        <v>16487.47</v>
      </c>
    </row>
    <row r="59" spans="1:17" s="34" customFormat="1" collapsed="1" x14ac:dyDescent="0.3">
      <c r="A59" s="35"/>
      <c r="B59" s="14" t="str">
        <f>CONCATENATE("     ","Services                                          ")</f>
        <v xml:space="preserve">     Services                                          </v>
      </c>
      <c r="C59" s="14"/>
      <c r="D59" s="1">
        <f>SUM(OSRRefD21_9x_0)</f>
        <v>0</v>
      </c>
      <c r="E59" s="1">
        <f>SUM(OSRRefE21_9x_0)</f>
        <v>3225</v>
      </c>
      <c r="F59" s="1">
        <f>SUM(OSRRefE21_9x_1)</f>
        <v>3225</v>
      </c>
      <c r="G59" s="1">
        <f>SUM(OSRRefE21_9x_2)</f>
        <v>3225</v>
      </c>
      <c r="H59" s="1">
        <f>SUM(OSRRefE21_9x_3)</f>
        <v>3225</v>
      </c>
      <c r="I59" s="1">
        <f>SUM(OSRRefE21_9x_4)</f>
        <v>3225</v>
      </c>
      <c r="J59" s="1">
        <f>SUM(OSRRefE21_9x_5)</f>
        <v>3225</v>
      </c>
      <c r="K59" s="1">
        <f>SUM(OSRRefE21_9x_6)</f>
        <v>3225</v>
      </c>
      <c r="L59" s="1">
        <f>SUM(OSRRefE21_9x_7)</f>
        <v>3225</v>
      </c>
      <c r="M59" s="1">
        <f>SUM(OSRRefE21_9x_8)</f>
        <v>3225</v>
      </c>
      <c r="N59" s="1">
        <f>SUM(OSRRefE21_9x_9)</f>
        <v>3225</v>
      </c>
      <c r="O59" s="1">
        <f>SUM(OSRRefE21_9x_10)</f>
        <v>3200</v>
      </c>
      <c r="Q59" s="2">
        <f>SUM(OSRRefD20_9x)+IFERROR(SUM(OSRRefE20_9x),0)</f>
        <v>35450</v>
      </c>
    </row>
    <row r="60" spans="1:17" s="34" customFormat="1" hidden="1" outlineLevel="1" x14ac:dyDescent="0.3">
      <c r="A60" s="35"/>
      <c r="B60" s="10" t="str">
        <f>CONCATENATE("          ","6283", " - ","PLANT SERVICE")</f>
        <v xml:space="preserve">          6283 - PLANT SERVICE</v>
      </c>
      <c r="C60" s="14"/>
      <c r="D60" s="2"/>
      <c r="E60" s="2">
        <v>100</v>
      </c>
      <c r="F60" s="2">
        <v>100</v>
      </c>
      <c r="G60" s="2">
        <v>100</v>
      </c>
      <c r="H60" s="2">
        <v>100</v>
      </c>
      <c r="I60" s="2">
        <v>100</v>
      </c>
      <c r="J60" s="2">
        <v>100</v>
      </c>
      <c r="K60" s="2">
        <v>100</v>
      </c>
      <c r="L60" s="2">
        <v>100</v>
      </c>
      <c r="M60" s="2">
        <v>100</v>
      </c>
      <c r="N60" s="2">
        <v>100</v>
      </c>
      <c r="O60" s="2">
        <v>100</v>
      </c>
      <c r="P60" s="9"/>
      <c r="Q60" s="2">
        <f>SUM(OSRRefD21_9_0x)+IFERROR(SUM(OSRRefE21_9_0x),0)</f>
        <v>1100</v>
      </c>
    </row>
    <row r="61" spans="1:17" s="34" customFormat="1" hidden="1" outlineLevel="1" x14ac:dyDescent="0.3">
      <c r="A61" s="35"/>
      <c r="B61" s="10" t="str">
        <f>CONCATENATE("          ","6285", " - ","JANITORIAL SERVICES")</f>
        <v xml:space="preserve">          6285 - JANITORIAL SERVICES</v>
      </c>
      <c r="C61" s="14"/>
      <c r="D61" s="2"/>
      <c r="E61" s="2">
        <v>3100</v>
      </c>
      <c r="F61" s="2">
        <v>3100</v>
      </c>
      <c r="G61" s="2">
        <v>3100</v>
      </c>
      <c r="H61" s="2">
        <v>3100</v>
      </c>
      <c r="I61" s="2">
        <v>3100</v>
      </c>
      <c r="J61" s="2">
        <v>3100</v>
      </c>
      <c r="K61" s="2">
        <v>3100</v>
      </c>
      <c r="L61" s="2">
        <v>3100</v>
      </c>
      <c r="M61" s="2">
        <v>3100</v>
      </c>
      <c r="N61" s="2">
        <v>3100</v>
      </c>
      <c r="O61" s="2">
        <v>3100</v>
      </c>
      <c r="P61" s="9"/>
      <c r="Q61" s="2">
        <f>SUM(OSRRefD21_9_1x)+IFERROR(SUM(OSRRefE21_9_1x),0)</f>
        <v>34100</v>
      </c>
    </row>
    <row r="62" spans="1:17" s="34" customFormat="1" hidden="1" outlineLevel="1" x14ac:dyDescent="0.3">
      <c r="A62" s="35"/>
      <c r="B62" s="10" t="str">
        <f>CONCATENATE("          ","6286", " - ","LAUNDRY EXPENSE")</f>
        <v xml:space="preserve">          6286 - LAUNDRY EXPENSE</v>
      </c>
      <c r="C62" s="14"/>
      <c r="D62" s="2"/>
      <c r="E62" s="2">
        <v>25</v>
      </c>
      <c r="F62" s="2">
        <v>25</v>
      </c>
      <c r="G62" s="2">
        <v>25</v>
      </c>
      <c r="H62" s="2">
        <v>25</v>
      </c>
      <c r="I62" s="2">
        <v>25</v>
      </c>
      <c r="J62" s="2">
        <v>25</v>
      </c>
      <c r="K62" s="2">
        <v>25</v>
      </c>
      <c r="L62" s="2">
        <v>25</v>
      </c>
      <c r="M62" s="2">
        <v>25</v>
      </c>
      <c r="N62" s="2">
        <v>25</v>
      </c>
      <c r="O62" s="2"/>
      <c r="P62" s="9"/>
      <c r="Q62" s="2">
        <f>SUM(OSRRefD21_9_2x)+IFERROR(SUM(OSRRefE21_9_2x),0)</f>
        <v>250</v>
      </c>
    </row>
    <row r="63" spans="1:17" s="34" customFormat="1" collapsed="1" x14ac:dyDescent="0.3">
      <c r="A63" s="35"/>
      <c r="B63" s="14" t="str">
        <f>CONCATENATE("     ","Subscriptions &amp; Dues                              ")</f>
        <v xml:space="preserve">     Subscriptions &amp; Dues                              </v>
      </c>
      <c r="C63" s="14"/>
      <c r="D63" s="1">
        <f>SUM(OSRRefD21_10x_0)</f>
        <v>0</v>
      </c>
      <c r="E63" s="1">
        <f>SUM(OSRRefE21_10x_0)</f>
        <v>200</v>
      </c>
      <c r="F63" s="1">
        <f>SUM(OSRRefE21_10x_1)</f>
        <v>200</v>
      </c>
      <c r="G63" s="1">
        <f>SUM(OSRRefE21_10x_2)</f>
        <v>200</v>
      </c>
      <c r="H63" s="1">
        <f>SUM(OSRRefE21_10x_3)</f>
        <v>200</v>
      </c>
      <c r="I63" s="1">
        <f>SUM(OSRRefE21_10x_4)</f>
        <v>200</v>
      </c>
      <c r="J63" s="1">
        <f>SUM(OSRRefE21_10x_5)</f>
        <v>200</v>
      </c>
      <c r="K63" s="1">
        <f>SUM(OSRRefE21_10x_6)</f>
        <v>200</v>
      </c>
      <c r="L63" s="1">
        <f>SUM(OSRRefE21_10x_7)</f>
        <v>200</v>
      </c>
      <c r="M63" s="1">
        <f>SUM(OSRRefE21_10x_8)</f>
        <v>200</v>
      </c>
      <c r="N63" s="1">
        <f>SUM(OSRRefE21_10x_9)</f>
        <v>200</v>
      </c>
      <c r="O63" s="1">
        <f>SUM(OSRRefE21_10x_10)</f>
        <v>200</v>
      </c>
      <c r="Q63" s="2">
        <f>SUM(OSRRefD20_10x)+IFERROR(SUM(OSRRefE20_10x),0)</f>
        <v>2200</v>
      </c>
    </row>
    <row r="64" spans="1:17" s="34" customFormat="1" hidden="1" outlineLevel="1" x14ac:dyDescent="0.3">
      <c r="A64" s="35"/>
      <c r="B64" s="10" t="str">
        <f>CONCATENATE("          ","6275", " - ","SUBSCRIPTIONS")</f>
        <v xml:space="preserve">          6275 - SUBSCRIPTIONS</v>
      </c>
      <c r="C64" s="14"/>
      <c r="D64" s="2"/>
      <c r="E64" s="2">
        <v>200</v>
      </c>
      <c r="F64" s="2">
        <v>200</v>
      </c>
      <c r="G64" s="2">
        <v>200</v>
      </c>
      <c r="H64" s="2">
        <v>200</v>
      </c>
      <c r="I64" s="2">
        <v>200</v>
      </c>
      <c r="J64" s="2">
        <v>200</v>
      </c>
      <c r="K64" s="2">
        <v>200</v>
      </c>
      <c r="L64" s="2">
        <v>200</v>
      </c>
      <c r="M64" s="2">
        <v>200</v>
      </c>
      <c r="N64" s="2">
        <v>200</v>
      </c>
      <c r="O64" s="2">
        <v>200</v>
      </c>
      <c r="P64" s="9"/>
      <c r="Q64" s="2">
        <f>SUM(OSRRefD21_10_0x)+IFERROR(SUM(OSRRefE21_10_0x),0)</f>
        <v>2200</v>
      </c>
    </row>
    <row r="65" spans="1:17" s="34" customFormat="1" collapsed="1" x14ac:dyDescent="0.3">
      <c r="A65" s="35"/>
      <c r="B65" s="14" t="str">
        <f>CONCATENATE("     ","Supplies                                          ")</f>
        <v xml:space="preserve">     Supplies                                          </v>
      </c>
      <c r="C65" s="14"/>
      <c r="D65" s="1">
        <f>SUM(OSRRefD21_11x_0)</f>
        <v>77.16</v>
      </c>
      <c r="E65" s="1">
        <f>SUM(OSRRefE21_11x_0)</f>
        <v>700</v>
      </c>
      <c r="F65" s="1">
        <f>SUM(OSRRefE21_11x_1)</f>
        <v>500</v>
      </c>
      <c r="G65" s="1">
        <f>SUM(OSRRefE21_11x_2)</f>
        <v>500</v>
      </c>
      <c r="H65" s="1">
        <f>SUM(OSRRefE21_11x_3)</f>
        <v>500</v>
      </c>
      <c r="I65" s="1">
        <f>SUM(OSRRefE21_11x_4)</f>
        <v>800</v>
      </c>
      <c r="J65" s="1">
        <f>SUM(OSRRefE21_11x_5)</f>
        <v>850</v>
      </c>
      <c r="K65" s="1">
        <f>SUM(OSRRefE21_11x_6)</f>
        <v>500</v>
      </c>
      <c r="L65" s="1">
        <f>SUM(OSRRefE21_11x_7)</f>
        <v>500</v>
      </c>
      <c r="M65" s="1">
        <f>SUM(OSRRefE21_11x_8)</f>
        <v>550</v>
      </c>
      <c r="N65" s="1">
        <f>SUM(OSRRefE21_11x_9)</f>
        <v>500</v>
      </c>
      <c r="O65" s="1">
        <f>SUM(OSRRefE21_11x_10)</f>
        <v>425</v>
      </c>
      <c r="Q65" s="2">
        <f>SUM(OSRRefD20_11x)+IFERROR(SUM(OSRRefE20_11x),0)</f>
        <v>6402.16</v>
      </c>
    </row>
    <row r="66" spans="1:17" s="34" customFormat="1" hidden="1" outlineLevel="1" x14ac:dyDescent="0.3">
      <c r="A66" s="35"/>
      <c r="B66" s="10" t="str">
        <f>CONCATENATE("          ","6235", " - ","COVID-19 EXPENSES")</f>
        <v xml:space="preserve">          6235 - COVID-19 EXPENSES</v>
      </c>
      <c r="C66" s="14"/>
      <c r="D66" s="2"/>
      <c r="E66" s="2">
        <v>175</v>
      </c>
      <c r="F66" s="2">
        <v>175</v>
      </c>
      <c r="G66" s="2">
        <v>175</v>
      </c>
      <c r="H66" s="2">
        <v>175</v>
      </c>
      <c r="I66" s="2">
        <v>175</v>
      </c>
      <c r="J66" s="2">
        <v>175</v>
      </c>
      <c r="K66" s="2">
        <v>175</v>
      </c>
      <c r="L66" s="2">
        <v>175</v>
      </c>
      <c r="M66" s="2">
        <v>175</v>
      </c>
      <c r="N66" s="2">
        <v>175</v>
      </c>
      <c r="O66" s="2">
        <v>150</v>
      </c>
      <c r="P66" s="9"/>
      <c r="Q66" s="2">
        <f>SUM(OSRRefD21_11_0x)+IFERROR(SUM(OSRRefE21_11_0x),0)</f>
        <v>1900</v>
      </c>
    </row>
    <row r="67" spans="1:17" s="34" customFormat="1" hidden="1" outlineLevel="1" x14ac:dyDescent="0.3">
      <c r="A67" s="35"/>
      <c r="B67" s="10" t="str">
        <f>CONCATENATE("          ","6237", " - ","JANITORIAL SUPPLIES")</f>
        <v xml:space="preserve">          6237 - JANITORIAL SUPPLIES</v>
      </c>
      <c r="C67" s="14"/>
      <c r="D67" s="2"/>
      <c r="E67" s="2">
        <v>75</v>
      </c>
      <c r="F67" s="2">
        <v>75</v>
      </c>
      <c r="G67" s="2">
        <v>75</v>
      </c>
      <c r="H67" s="2">
        <v>75</v>
      </c>
      <c r="I67" s="2">
        <v>75</v>
      </c>
      <c r="J67" s="2">
        <v>75</v>
      </c>
      <c r="K67" s="2">
        <v>75</v>
      </c>
      <c r="L67" s="2">
        <v>75</v>
      </c>
      <c r="M67" s="2">
        <v>75</v>
      </c>
      <c r="N67" s="2">
        <v>75</v>
      </c>
      <c r="O67" s="2">
        <v>75</v>
      </c>
      <c r="P67" s="9"/>
      <c r="Q67" s="2">
        <f>SUM(OSRRefD21_11_1x)+IFERROR(SUM(OSRRefE21_11_1x),0)</f>
        <v>825</v>
      </c>
    </row>
    <row r="68" spans="1:17" s="34" customFormat="1" hidden="1" outlineLevel="1" x14ac:dyDescent="0.3">
      <c r="A68" s="35"/>
      <c r="B68" s="10" t="str">
        <f>CONCATENATE("          ","6241", " - ","OFFICE EXPENSE")</f>
        <v xml:space="preserve">          6241 - OFFICE EXPENSE</v>
      </c>
      <c r="C68" s="14"/>
      <c r="D68" s="2">
        <v>77.16</v>
      </c>
      <c r="E68" s="2"/>
      <c r="F68" s="2"/>
      <c r="G68" s="2"/>
      <c r="H68" s="2"/>
      <c r="I68" s="2"/>
      <c r="J68" s="2">
        <v>150</v>
      </c>
      <c r="K68" s="2"/>
      <c r="L68" s="2"/>
      <c r="M68" s="2"/>
      <c r="N68" s="2"/>
      <c r="O68" s="2"/>
      <c r="P68" s="9"/>
      <c r="Q68" s="2">
        <f>SUM(OSRRefD21_11_2x)+IFERROR(SUM(OSRRefE21_11_2x),0)</f>
        <v>227.16</v>
      </c>
    </row>
    <row r="69" spans="1:17" s="34" customFormat="1" hidden="1" outlineLevel="1" x14ac:dyDescent="0.3">
      <c r="A69" s="35"/>
      <c r="B69" s="10" t="str">
        <f>CONCATENATE("          ","6243", " - ","PAPER SUPPLIES")</f>
        <v xml:space="preserve">          6243 - PAPER SUPPLIES</v>
      </c>
      <c r="C69" s="14"/>
      <c r="D69" s="2"/>
      <c r="E69" s="2">
        <v>300</v>
      </c>
      <c r="F69" s="2">
        <v>200</v>
      </c>
      <c r="G69" s="2">
        <v>200</v>
      </c>
      <c r="H69" s="2">
        <v>200</v>
      </c>
      <c r="I69" s="2">
        <v>200</v>
      </c>
      <c r="J69" s="2">
        <v>200</v>
      </c>
      <c r="K69" s="2">
        <v>200</v>
      </c>
      <c r="L69" s="2">
        <v>200</v>
      </c>
      <c r="M69" s="2">
        <v>200</v>
      </c>
      <c r="N69" s="2">
        <v>200</v>
      </c>
      <c r="O69" s="2">
        <v>150</v>
      </c>
      <c r="P69" s="9"/>
      <c r="Q69" s="2">
        <f>SUM(OSRRefD21_11_3x)+IFERROR(SUM(OSRRefE21_11_3x),0)</f>
        <v>2250</v>
      </c>
    </row>
    <row r="70" spans="1:17" s="34" customFormat="1" hidden="1" outlineLevel="1" x14ac:dyDescent="0.3">
      <c r="A70" s="35"/>
      <c r="B70" s="10" t="str">
        <f>CONCATENATE("          ","6244", " - ","SAFETY SUPPLY EXPENSE")</f>
        <v xml:space="preserve">          6244 - SAFETY SUPPLY EXPENSE</v>
      </c>
      <c r="C70" s="14"/>
      <c r="D70" s="2"/>
      <c r="E70" s="2"/>
      <c r="F70" s="2"/>
      <c r="G70" s="2"/>
      <c r="H70" s="2"/>
      <c r="I70" s="2">
        <v>50</v>
      </c>
      <c r="J70" s="2"/>
      <c r="K70" s="2"/>
      <c r="L70" s="2"/>
      <c r="M70" s="2">
        <v>50</v>
      </c>
      <c r="N70" s="2"/>
      <c r="O70" s="2"/>
      <c r="P70" s="9"/>
      <c r="Q70" s="2">
        <f>SUM(OSRRefD21_11_4x)+IFERROR(SUM(OSRRefE21_11_4x),0)</f>
        <v>100</v>
      </c>
    </row>
    <row r="71" spans="1:17" s="34" customFormat="1" hidden="1" outlineLevel="1" x14ac:dyDescent="0.3">
      <c r="A71" s="35"/>
      <c r="B71" s="10" t="str">
        <f>CONCATENATE("          ","6245", " - ","PRINTING")</f>
        <v xml:space="preserve">          6245 - PRINTING</v>
      </c>
      <c r="C71" s="14"/>
      <c r="D71" s="2"/>
      <c r="E71" s="2">
        <v>150</v>
      </c>
      <c r="F71" s="2">
        <v>50</v>
      </c>
      <c r="G71" s="2">
        <v>50</v>
      </c>
      <c r="H71" s="2">
        <v>50</v>
      </c>
      <c r="I71" s="2">
        <v>50</v>
      </c>
      <c r="J71" s="2">
        <v>250</v>
      </c>
      <c r="K71" s="2">
        <v>50</v>
      </c>
      <c r="L71" s="2">
        <v>50</v>
      </c>
      <c r="M71" s="2">
        <v>50</v>
      </c>
      <c r="N71" s="2">
        <v>50</v>
      </c>
      <c r="O71" s="2">
        <v>50</v>
      </c>
      <c r="P71" s="9"/>
      <c r="Q71" s="2">
        <f>SUM(OSRRefD21_11_5x)+IFERROR(SUM(OSRRefE21_11_5x),0)</f>
        <v>850</v>
      </c>
    </row>
    <row r="72" spans="1:17" s="34" customFormat="1" hidden="1" outlineLevel="1" x14ac:dyDescent="0.3">
      <c r="A72" s="35"/>
      <c r="B72" s="10" t="str">
        <f>CONCATENATE("          ","6248", " - ","UNIFORMS")</f>
        <v xml:space="preserve">          6248 - UNIFORMS</v>
      </c>
      <c r="C72" s="14"/>
      <c r="D72" s="2"/>
      <c r="E72" s="2"/>
      <c r="F72" s="2"/>
      <c r="G72" s="2"/>
      <c r="H72" s="2"/>
      <c r="I72" s="2">
        <v>250</v>
      </c>
      <c r="J72" s="2"/>
      <c r="K72" s="2"/>
      <c r="L72" s="2"/>
      <c r="M72" s="2"/>
      <c r="N72" s="2"/>
      <c r="O72" s="2"/>
      <c r="P72" s="9"/>
      <c r="Q72" s="2">
        <f>SUM(OSRRefD21_11_6x)+IFERROR(SUM(OSRRefE21_11_6x),0)</f>
        <v>250</v>
      </c>
    </row>
    <row r="73" spans="1:17" s="34" customFormat="1" collapsed="1" x14ac:dyDescent="0.3">
      <c r="A73" s="35"/>
      <c r="B73" s="14" t="str">
        <f>CONCATENATE("     ","Telephone/Data Lines                              ")</f>
        <v xml:space="preserve">     Telephone/Data Lines                              </v>
      </c>
      <c r="C73" s="14"/>
      <c r="D73" s="1">
        <f>SUM(OSRRefD21_12x_0)</f>
        <v>75</v>
      </c>
      <c r="E73" s="1">
        <f>SUM(OSRRefE21_12x_0)</f>
        <v>75</v>
      </c>
      <c r="F73" s="1">
        <f>SUM(OSRRefE21_12x_1)</f>
        <v>75</v>
      </c>
      <c r="G73" s="1">
        <f>SUM(OSRRefE21_12x_2)</f>
        <v>225</v>
      </c>
      <c r="H73" s="1">
        <f>SUM(OSRRefE21_12x_3)</f>
        <v>75</v>
      </c>
      <c r="I73" s="1">
        <f>SUM(OSRRefE21_12x_4)</f>
        <v>75</v>
      </c>
      <c r="J73" s="1">
        <f>SUM(OSRRefE21_12x_5)</f>
        <v>225</v>
      </c>
      <c r="K73" s="1">
        <f>SUM(OSRRefE21_12x_6)</f>
        <v>75</v>
      </c>
      <c r="L73" s="1">
        <f>SUM(OSRRefE21_12x_7)</f>
        <v>75</v>
      </c>
      <c r="M73" s="1">
        <f>SUM(OSRRefE21_12x_8)</f>
        <v>75</v>
      </c>
      <c r="N73" s="1">
        <f>SUM(OSRRefE21_12x_9)</f>
        <v>225</v>
      </c>
      <c r="O73" s="1">
        <f>SUM(OSRRefE21_12x_10)</f>
        <v>75</v>
      </c>
      <c r="Q73" s="2">
        <f>SUM(OSRRefD20_12x)+IFERROR(SUM(OSRRefE20_12x),0)</f>
        <v>1350</v>
      </c>
    </row>
    <row r="74" spans="1:17" s="34" customFormat="1" hidden="1" outlineLevel="1" x14ac:dyDescent="0.3">
      <c r="A74" s="35"/>
      <c r="B74" s="10" t="str">
        <f>CONCATENATE("          ","6303", " - ","DATA PHONE LINES")</f>
        <v xml:space="preserve">          6303 - DATA PHONE LINES</v>
      </c>
      <c r="C74" s="14"/>
      <c r="D74" s="2"/>
      <c r="E74" s="2">
        <v>75</v>
      </c>
      <c r="F74" s="2">
        <v>75</v>
      </c>
      <c r="G74" s="2">
        <v>75</v>
      </c>
      <c r="H74" s="2">
        <v>75</v>
      </c>
      <c r="I74" s="2">
        <v>75</v>
      </c>
      <c r="J74" s="2">
        <v>75</v>
      </c>
      <c r="K74" s="2">
        <v>75</v>
      </c>
      <c r="L74" s="2">
        <v>75</v>
      </c>
      <c r="M74" s="2">
        <v>75</v>
      </c>
      <c r="N74" s="2">
        <v>75</v>
      </c>
      <c r="O74" s="2">
        <v>75</v>
      </c>
      <c r="P74" s="9"/>
      <c r="Q74" s="2">
        <f>SUM(OSRRefD21_12_0x)+IFERROR(SUM(OSRRefE21_12_0x),0)</f>
        <v>825</v>
      </c>
    </row>
    <row r="75" spans="1:17" s="34" customFormat="1" hidden="1" outlineLevel="1" x14ac:dyDescent="0.3">
      <c r="A75" s="35"/>
      <c r="B75" s="10" t="str">
        <f>CONCATENATE("          ","6309", " - ","TELEPHONE")</f>
        <v xml:space="preserve">          6309 - TELEPHONE</v>
      </c>
      <c r="C75" s="14"/>
      <c r="D75" s="2">
        <v>75</v>
      </c>
      <c r="E75" s="2"/>
      <c r="F75" s="2"/>
      <c r="G75" s="2">
        <v>150</v>
      </c>
      <c r="H75" s="2"/>
      <c r="I75" s="2"/>
      <c r="J75" s="2">
        <v>150</v>
      </c>
      <c r="K75" s="2"/>
      <c r="L75" s="2"/>
      <c r="M75" s="2"/>
      <c r="N75" s="2">
        <v>150</v>
      </c>
      <c r="O75" s="2"/>
      <c r="P75" s="9"/>
      <c r="Q75" s="2">
        <f>SUM(OSRRefD21_12_1x)+IFERROR(SUM(OSRRefE21_12_1x),0)</f>
        <v>525</v>
      </c>
    </row>
    <row r="76" spans="1:17" s="34" customFormat="1" collapsed="1" x14ac:dyDescent="0.3">
      <c r="A76" s="35"/>
      <c r="B76" s="14" t="str">
        <f>CONCATENATE("     ","Training                                          ")</f>
        <v xml:space="preserve">     Training                                          </v>
      </c>
      <c r="C76" s="14"/>
      <c r="D76" s="1">
        <f>SUM(OSRRefD21_13x_0)</f>
        <v>0</v>
      </c>
      <c r="E76" s="1">
        <f>SUM(OSRRefE21_13x_0)</f>
        <v>0</v>
      </c>
      <c r="F76" s="1">
        <f>SUM(OSRRefE21_13x_1)</f>
        <v>0</v>
      </c>
      <c r="G76" s="1">
        <f>SUM(OSRRefE21_13x_2)</f>
        <v>0</v>
      </c>
      <c r="H76" s="1">
        <f>SUM(OSRRefE21_13x_3)</f>
        <v>0</v>
      </c>
      <c r="I76" s="1">
        <f>SUM(OSRRefE21_13x_4)</f>
        <v>0</v>
      </c>
      <c r="J76" s="1">
        <f>SUM(OSRRefE21_13x_5)</f>
        <v>200</v>
      </c>
      <c r="K76" s="1">
        <f>SUM(OSRRefE21_13x_6)</f>
        <v>0</v>
      </c>
      <c r="L76" s="1">
        <f>SUM(OSRRefE21_13x_7)</f>
        <v>0</v>
      </c>
      <c r="M76" s="1">
        <f>SUM(OSRRefE21_13x_8)</f>
        <v>0</v>
      </c>
      <c r="N76" s="1">
        <f>SUM(OSRRefE21_13x_9)</f>
        <v>0</v>
      </c>
      <c r="O76" s="1">
        <f>SUM(OSRRefE21_13x_10)</f>
        <v>0</v>
      </c>
      <c r="Q76" s="2">
        <f>SUM(OSRRefD20_13x)+IFERROR(SUM(OSRRefE20_13x),0)</f>
        <v>200</v>
      </c>
    </row>
    <row r="77" spans="1:17" s="34" customFormat="1" hidden="1" outlineLevel="1" x14ac:dyDescent="0.3">
      <c r="A77" s="35"/>
      <c r="B77" s="10" t="str">
        <f>CONCATENATE("          ","6376", " - ","TRAINING")</f>
        <v xml:space="preserve">          6376 - TRAINING</v>
      </c>
      <c r="C77" s="14"/>
      <c r="D77" s="2"/>
      <c r="E77" s="2"/>
      <c r="F77" s="2"/>
      <c r="G77" s="2"/>
      <c r="H77" s="2"/>
      <c r="I77" s="2"/>
      <c r="J77" s="2">
        <v>200</v>
      </c>
      <c r="K77" s="2"/>
      <c r="L77" s="2"/>
      <c r="M77" s="2"/>
      <c r="N77" s="2"/>
      <c r="O77" s="2"/>
      <c r="P77" s="9"/>
      <c r="Q77" s="2">
        <f>SUM(OSRRefD21_13_0x)+IFERROR(SUM(OSRRefE21_13_0x),0)</f>
        <v>200</v>
      </c>
    </row>
    <row r="78" spans="1:17" s="34" customFormat="1" collapsed="1" x14ac:dyDescent="0.3">
      <c r="A78" s="35"/>
      <c r="B78" s="14" t="str">
        <f>CONCATENATE("     ","Travel                                            ")</f>
        <v xml:space="preserve">     Travel                                            </v>
      </c>
      <c r="C78" s="14"/>
      <c r="D78" s="1">
        <f>SUM(OSRRefD21_14x_0)</f>
        <v>0</v>
      </c>
      <c r="E78" s="1">
        <f>SUM(OSRRefE21_14x_0)</f>
        <v>0</v>
      </c>
      <c r="F78" s="1">
        <f>SUM(OSRRefE21_14x_1)</f>
        <v>0</v>
      </c>
      <c r="G78" s="1">
        <f>SUM(OSRRefE21_14x_2)</f>
        <v>0</v>
      </c>
      <c r="H78" s="1">
        <f>SUM(OSRRefE21_14x_3)</f>
        <v>0</v>
      </c>
      <c r="I78" s="1">
        <f>SUM(OSRRefE21_14x_4)</f>
        <v>0</v>
      </c>
      <c r="J78" s="1">
        <f>SUM(OSRRefE21_14x_5)</f>
        <v>0</v>
      </c>
      <c r="K78" s="1">
        <f>SUM(OSRRefE21_14x_6)</f>
        <v>0</v>
      </c>
      <c r="L78" s="1">
        <f>SUM(OSRRefE21_14x_7)</f>
        <v>600</v>
      </c>
      <c r="M78" s="1">
        <f>SUM(OSRRefE21_14x_8)</f>
        <v>0</v>
      </c>
      <c r="N78" s="1">
        <f>SUM(OSRRefE21_14x_9)</f>
        <v>0</v>
      </c>
      <c r="O78" s="1">
        <f>SUM(OSRRefE21_14x_10)</f>
        <v>0</v>
      </c>
      <c r="Q78" s="2">
        <f>SUM(OSRRefD20_14x)+IFERROR(SUM(OSRRefE20_14x),0)</f>
        <v>600</v>
      </c>
    </row>
    <row r="79" spans="1:17" s="34" customFormat="1" hidden="1" outlineLevel="1" x14ac:dyDescent="0.3">
      <c r="A79" s="35"/>
      <c r="B79" s="10" t="str">
        <f>CONCATENATE("          ","6292", " - ","TRAVEL/CONFERENCE")</f>
        <v xml:space="preserve">          6292 - TRAVEL/CONFERENCE</v>
      </c>
      <c r="C79" s="14"/>
      <c r="D79" s="2"/>
      <c r="E79" s="2"/>
      <c r="F79" s="2"/>
      <c r="G79" s="2"/>
      <c r="H79" s="2"/>
      <c r="I79" s="2"/>
      <c r="J79" s="2"/>
      <c r="K79" s="2"/>
      <c r="L79" s="2">
        <v>600</v>
      </c>
      <c r="M79" s="2"/>
      <c r="N79" s="2"/>
      <c r="O79" s="2"/>
      <c r="P79" s="9"/>
      <c r="Q79" s="2">
        <f>SUM(OSRRefD21_14_0x)+IFERROR(SUM(OSRRefE21_14_0x),0)</f>
        <v>600</v>
      </c>
    </row>
    <row r="80" spans="1:17" s="34" customFormat="1" collapsed="1" x14ac:dyDescent="0.3">
      <c r="A80" s="35"/>
      <c r="B80" s="14" t="str">
        <f>CONCATENATE("     ","Utilities                                         ")</f>
        <v xml:space="preserve">     Utilities                                         </v>
      </c>
      <c r="C80" s="14"/>
      <c r="D80" s="1">
        <f>SUM(OSRRefD21_15x_0)</f>
        <v>0</v>
      </c>
      <c r="E80" s="1">
        <f>SUM(OSRRefE21_15x_0)</f>
        <v>500</v>
      </c>
      <c r="F80" s="1">
        <f>SUM(OSRRefE21_15x_1)</f>
        <v>500</v>
      </c>
      <c r="G80" s="1">
        <f>SUM(OSRRefE21_15x_2)</f>
        <v>500</v>
      </c>
      <c r="H80" s="1">
        <f>SUM(OSRRefE21_15x_3)</f>
        <v>500</v>
      </c>
      <c r="I80" s="1">
        <f>SUM(OSRRefE21_15x_4)</f>
        <v>500</v>
      </c>
      <c r="J80" s="1">
        <f>SUM(OSRRefE21_15x_5)</f>
        <v>500</v>
      </c>
      <c r="K80" s="1">
        <f>SUM(OSRRefE21_15x_6)</f>
        <v>500</v>
      </c>
      <c r="L80" s="1">
        <f>SUM(OSRRefE21_15x_7)</f>
        <v>500</v>
      </c>
      <c r="M80" s="1">
        <f>SUM(OSRRefE21_15x_8)</f>
        <v>500</v>
      </c>
      <c r="N80" s="1">
        <f>SUM(OSRRefE21_15x_9)</f>
        <v>500</v>
      </c>
      <c r="O80" s="1">
        <f>SUM(OSRRefE21_15x_10)</f>
        <v>500</v>
      </c>
      <c r="Q80" s="2">
        <f>SUM(OSRRefD20_15x)+IFERROR(SUM(OSRRefE20_15x),0)</f>
        <v>5500</v>
      </c>
    </row>
    <row r="81" spans="1:17" s="34" customFormat="1" hidden="1" outlineLevel="1" x14ac:dyDescent="0.3">
      <c r="A81" s="35"/>
      <c r="B81" s="10" t="str">
        <f>CONCATENATE("          ","6274", " - ","UTILITIES")</f>
        <v xml:space="preserve">          6274 - UTILITIES</v>
      </c>
      <c r="C81" s="14"/>
      <c r="D81" s="2"/>
      <c r="E81" s="2">
        <v>500</v>
      </c>
      <c r="F81" s="2">
        <v>500</v>
      </c>
      <c r="G81" s="2">
        <v>500</v>
      </c>
      <c r="H81" s="2">
        <v>500</v>
      </c>
      <c r="I81" s="2">
        <v>500</v>
      </c>
      <c r="J81" s="2">
        <v>500</v>
      </c>
      <c r="K81" s="2">
        <v>500</v>
      </c>
      <c r="L81" s="2">
        <v>500</v>
      </c>
      <c r="M81" s="2">
        <v>500</v>
      </c>
      <c r="N81" s="2">
        <v>500</v>
      </c>
      <c r="O81" s="2">
        <v>500</v>
      </c>
      <c r="P81" s="9"/>
      <c r="Q81" s="2">
        <f>SUM(OSRRefD21_15_0x)+IFERROR(SUM(OSRRefE21_15_0x),0)</f>
        <v>5500</v>
      </c>
    </row>
    <row r="82" spans="1:17" s="28" customFormat="1" x14ac:dyDescent="0.3">
      <c r="A82" s="21"/>
      <c r="B82" s="21"/>
      <c r="C82" s="2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1"/>
    </row>
    <row r="83" spans="1:17" s="9" customFormat="1" x14ac:dyDescent="0.3">
      <c r="A83" s="22"/>
      <c r="B83" s="16" t="s">
        <v>293</v>
      </c>
      <c r="C83" s="23"/>
      <c r="D83" s="3">
        <f>0</f>
        <v>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Q83" s="2">
        <f>SUM(OSRRefD23_0x)+IFERROR(SUM(OSRRefE23_0x),0)</f>
        <v>0</v>
      </c>
    </row>
    <row r="84" spans="1:17" x14ac:dyDescent="0.3">
      <c r="A84" s="5"/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</row>
    <row r="85" spans="1:17" s="15" customFormat="1" x14ac:dyDescent="0.3">
      <c r="A85" s="6"/>
      <c r="B85" s="17" t="s">
        <v>276</v>
      </c>
      <c r="C85" s="17"/>
      <c r="D85" s="8">
        <f t="shared" ref="D85:O85" si="3">IFERROR(+D17-D20+D83, 0)</f>
        <v>-21761.300000000003</v>
      </c>
      <c r="E85" s="8">
        <f t="shared" si="3"/>
        <v>-21220.144581538465</v>
      </c>
      <c r="F85" s="8">
        <f t="shared" si="3"/>
        <v>-801.28946307691513</v>
      </c>
      <c r="G85" s="8">
        <f t="shared" si="3"/>
        <v>-23.13072692307469</v>
      </c>
      <c r="H85" s="8">
        <f t="shared" si="3"/>
        <v>-8159.4936453846203</v>
      </c>
      <c r="I85" s="8">
        <f t="shared" si="3"/>
        <v>-8583.9984361538518</v>
      </c>
      <c r="J85" s="8">
        <f t="shared" si="3"/>
        <v>-3338.3645652492414</v>
      </c>
      <c r="K85" s="8">
        <f t="shared" si="3"/>
        <v>47260.99345381539</v>
      </c>
      <c r="L85" s="8">
        <f t="shared" si="3"/>
        <v>44827.977473212319</v>
      </c>
      <c r="M85" s="8">
        <f t="shared" si="3"/>
        <v>51498.912176559999</v>
      </c>
      <c r="N85" s="8">
        <f t="shared" si="3"/>
        <v>19745.41425381539</v>
      </c>
      <c r="O85" s="8">
        <f t="shared" si="3"/>
        <v>-16113.69979997538</v>
      </c>
      <c r="Q85" s="8">
        <f>IFERROR(+Q17-Q20+Q83, 0)</f>
        <v>83331.876139101572</v>
      </c>
    </row>
    <row r="86" spans="1:17" s="6" customFormat="1" x14ac:dyDescent="0.3">
      <c r="B86" s="16"/>
      <c r="C86" s="16"/>
      <c r="D86" s="4">
        <f t="shared" ref="D86:O86" si="4">IFERROR(D85/D10, 0)</f>
        <v>0</v>
      </c>
      <c r="E86" s="4">
        <f t="shared" si="4"/>
        <v>-0.89111596949306959</v>
      </c>
      <c r="F86" s="4">
        <f t="shared" si="4"/>
        <v>-1.4544834239293444E-2</v>
      </c>
      <c r="G86" s="4">
        <f t="shared" si="4"/>
        <v>-3.3405630864323228E-4</v>
      </c>
      <c r="H86" s="4">
        <f t="shared" si="4"/>
        <v>-0.2371945827146692</v>
      </c>
      <c r="I86" s="4">
        <f t="shared" si="4"/>
        <v>-0.23715323340020589</v>
      </c>
      <c r="J86" s="4">
        <f t="shared" si="4"/>
        <v>-4.4090026879686744E-2</v>
      </c>
      <c r="K86" s="4">
        <f t="shared" si="4"/>
        <v>0.28035921205540265</v>
      </c>
      <c r="L86" s="4">
        <f t="shared" si="4"/>
        <v>0.27442396205280783</v>
      </c>
      <c r="M86" s="4">
        <f t="shared" si="4"/>
        <v>0.28487693154268268</v>
      </c>
      <c r="N86" s="4">
        <f t="shared" si="4"/>
        <v>0.1764464305203956</v>
      </c>
      <c r="O86" s="4">
        <f t="shared" si="4"/>
        <v>-0.36906391974474656</v>
      </c>
      <c r="P86" s="18"/>
      <c r="Q86" s="4">
        <f>IFERROR(Q85/Q10, 0)</f>
        <v>8.6558068467003729E-2</v>
      </c>
    </row>
    <row r="87" spans="1:17" x14ac:dyDescent="0.3">
      <c r="A87" s="5"/>
      <c r="B87" s="6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</row>
    <row r="88" spans="1:17" s="15" customFormat="1" x14ac:dyDescent="0.3">
      <c r="A88" s="25"/>
      <c r="B88" s="6" t="s">
        <v>125</v>
      </c>
      <c r="C88" s="6"/>
      <c r="D88" s="3"/>
      <c r="E88" s="3">
        <v>2051</v>
      </c>
      <c r="F88" s="3">
        <v>5892</v>
      </c>
      <c r="G88" s="3">
        <v>8483</v>
      </c>
      <c r="H88" s="3">
        <v>5810</v>
      </c>
      <c r="I88" s="3">
        <v>5511</v>
      </c>
      <c r="J88" s="3">
        <v>8564</v>
      </c>
      <c r="K88" s="3">
        <v>19702</v>
      </c>
      <c r="L88" s="3">
        <v>19676</v>
      </c>
      <c r="M88" s="3">
        <v>23013</v>
      </c>
      <c r="N88" s="3">
        <v>14639</v>
      </c>
      <c r="O88" s="3">
        <v>-4788</v>
      </c>
      <c r="Q88" s="2">
        <f>SUM(OSRRefD28_0x)+IFERROR(SUM(OSRRefE28_0x),0)</f>
        <v>108553</v>
      </c>
    </row>
    <row r="89" spans="1:17" x14ac:dyDescent="0.3">
      <c r="A89" s="5"/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</row>
    <row r="90" spans="1:17" s="15" customFormat="1" ht="15" thickBot="1" x14ac:dyDescent="0.35">
      <c r="A90" s="6"/>
      <c r="B90" s="17" t="s">
        <v>124</v>
      </c>
      <c r="C90" s="17"/>
      <c r="D90" s="7">
        <f t="shared" ref="D90:O90" si="5">IFERROR(+D85-D88, 0)</f>
        <v>-21761.300000000003</v>
      </c>
      <c r="E90" s="7">
        <f t="shared" si="5"/>
        <v>-23271.144581538465</v>
      </c>
      <c r="F90" s="7">
        <f t="shared" si="5"/>
        <v>-6693.2894630769151</v>
      </c>
      <c r="G90" s="7">
        <f t="shared" si="5"/>
        <v>-8506.1307269230747</v>
      </c>
      <c r="H90" s="7">
        <f t="shared" si="5"/>
        <v>-13969.49364538462</v>
      </c>
      <c r="I90" s="7">
        <f t="shared" si="5"/>
        <v>-14094.998436153852</v>
      </c>
      <c r="J90" s="7">
        <f t="shared" si="5"/>
        <v>-11902.364565249241</v>
      </c>
      <c r="K90" s="7">
        <f t="shared" si="5"/>
        <v>27558.99345381539</v>
      </c>
      <c r="L90" s="7">
        <f t="shared" si="5"/>
        <v>25151.977473212319</v>
      </c>
      <c r="M90" s="7">
        <f t="shared" si="5"/>
        <v>28485.912176559999</v>
      </c>
      <c r="N90" s="7">
        <f t="shared" si="5"/>
        <v>5106.4142538153901</v>
      </c>
      <c r="O90" s="7">
        <f t="shared" si="5"/>
        <v>-11325.69979997538</v>
      </c>
      <c r="Q90" s="7">
        <f>IFERROR(+Q85-Q88, 0)</f>
        <v>-25221.123860898428</v>
      </c>
    </row>
    <row r="91" spans="1:17" ht="15" thickTop="1" x14ac:dyDescent="0.3">
      <c r="A91" s="5"/>
      <c r="B91" s="5"/>
      <c r="C91" s="5"/>
      <c r="D91" s="4">
        <f t="shared" ref="D91:O91" si="6">IFERROR(D90/D10, 0)</f>
        <v>0</v>
      </c>
      <c r="E91" s="4">
        <f t="shared" si="6"/>
        <v>-0.97724539459700432</v>
      </c>
      <c r="F91" s="4">
        <f t="shared" si="6"/>
        <v>-0.1214951528031242</v>
      </c>
      <c r="G91" s="4">
        <f t="shared" si="6"/>
        <v>-0.12284640430552374</v>
      </c>
      <c r="H91" s="4">
        <f t="shared" si="6"/>
        <v>-0.4060899315518785</v>
      </c>
      <c r="I91" s="4">
        <f t="shared" si="6"/>
        <v>-0.38940762615078606</v>
      </c>
      <c r="J91" s="4">
        <f t="shared" si="6"/>
        <v>-0.15719540612080829</v>
      </c>
      <c r="K91" s="4">
        <f t="shared" si="6"/>
        <v>0.1634840303833674</v>
      </c>
      <c r="L91" s="4">
        <f t="shared" si="6"/>
        <v>0.15397315919029536</v>
      </c>
      <c r="M91" s="4">
        <f t="shared" si="6"/>
        <v>0.15757574111917511</v>
      </c>
      <c r="N91" s="4">
        <f t="shared" si="6"/>
        <v>4.563128209225055E-2</v>
      </c>
      <c r="O91" s="4">
        <f t="shared" si="6"/>
        <v>-0.25940083369541195</v>
      </c>
      <c r="P91" s="18"/>
      <c r="Q91" s="4">
        <f>IFERROR(Q90/Q10, 0)</f>
        <v>-2.6197559290784548E-2</v>
      </c>
    </row>
    <row r="92" spans="1:17" x14ac:dyDescent="0.3">
      <c r="A92" s="5"/>
      <c r="B92" s="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</row>
    <row r="93" spans="1:17" x14ac:dyDescent="0.3">
      <c r="A93" s="5"/>
      <c r="B93" s="5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</row>
    <row r="94" spans="1:17" s="15" customFormat="1" ht="15" thickBot="1" x14ac:dyDescent="0.35">
      <c r="A94" s="6"/>
      <c r="B94" s="17" t="s">
        <v>294</v>
      </c>
      <c r="C94" s="17"/>
      <c r="D94" s="7">
        <f t="shared" ref="D94:O94" si="7">IFERROR(SUM(D90:D93), 0)</f>
        <v>-21761.300000000003</v>
      </c>
      <c r="E94" s="7">
        <f t="shared" si="7"/>
        <v>-23272.12182693306</v>
      </c>
      <c r="F94" s="7">
        <f t="shared" si="7"/>
        <v>-6693.4109582297178</v>
      </c>
      <c r="G94" s="7">
        <f t="shared" si="7"/>
        <v>-8506.2535733273799</v>
      </c>
      <c r="H94" s="7">
        <f t="shared" si="7"/>
        <v>-13969.899735316172</v>
      </c>
      <c r="I94" s="7">
        <f t="shared" si="7"/>
        <v>-14095.387843780003</v>
      </c>
      <c r="J94" s="7">
        <f t="shared" si="7"/>
        <v>-11902.521760655362</v>
      </c>
      <c r="K94" s="7">
        <f t="shared" si="7"/>
        <v>27559.156937845775</v>
      </c>
      <c r="L94" s="7">
        <f t="shared" si="7"/>
        <v>25152.13144637151</v>
      </c>
      <c r="M94" s="7">
        <f t="shared" si="7"/>
        <v>28486.069752301119</v>
      </c>
      <c r="N94" s="7">
        <f t="shared" si="7"/>
        <v>5106.4598850974826</v>
      </c>
      <c r="O94" s="7">
        <f t="shared" si="7"/>
        <v>-11325.959200809075</v>
      </c>
      <c r="Q94" s="7">
        <f>IFERROR(SUM(Q90:Q93), 0)</f>
        <v>-25221.150058457719</v>
      </c>
    </row>
    <row r="95" spans="1:17" ht="15" thickTop="1" x14ac:dyDescent="0.3">
      <c r="A95" s="5"/>
      <c r="C95" s="5"/>
      <c r="D95" s="4">
        <f t="shared" ref="D95:O95" si="8">IFERROR(D94/D10, 0)</f>
        <v>0</v>
      </c>
      <c r="E95" s="4">
        <f t="shared" si="8"/>
        <v>-0.97728643291198336</v>
      </c>
      <c r="F95" s="4">
        <f t="shared" si="8"/>
        <v>-0.12149735815704413</v>
      </c>
      <c r="G95" s="4">
        <f t="shared" si="8"/>
        <v>-0.12284817846577771</v>
      </c>
      <c r="H95" s="4">
        <f t="shared" si="8"/>
        <v>-0.40610173649174919</v>
      </c>
      <c r="I95" s="4">
        <f t="shared" si="8"/>
        <v>-0.38941838445629362</v>
      </c>
      <c r="J95" s="4">
        <f t="shared" si="8"/>
        <v>-0.1571974822121236</v>
      </c>
      <c r="K95" s="4">
        <f t="shared" si="8"/>
        <v>0.16348500019484599</v>
      </c>
      <c r="L95" s="4">
        <f t="shared" si="8"/>
        <v>0.15397410176961249</v>
      </c>
      <c r="M95" s="4">
        <f t="shared" si="8"/>
        <v>0.15757661278212329</v>
      </c>
      <c r="N95" s="4">
        <f t="shared" si="8"/>
        <v>4.5631689856642919E-2</v>
      </c>
      <c r="O95" s="4">
        <f t="shared" si="8"/>
        <v>-0.2594067749435211</v>
      </c>
      <c r="P95" s="18"/>
      <c r="Q95" s="4">
        <f>IFERROR(Q94/Q10, 0)</f>
        <v>-2.6197586502581954E-2</v>
      </c>
    </row>
    <row r="96" spans="1:17" x14ac:dyDescent="0.3">
      <c r="A96" s="5"/>
      <c r="B96" s="30">
        <v>44462.678423958336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  <row r="97" spans="1:17" x14ac:dyDescent="0.3">
      <c r="A97" s="5"/>
      <c r="B97" s="31" t="s">
        <v>54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  <row r="98" spans="1:17" x14ac:dyDescent="0.3">
      <c r="A98" s="5"/>
      <c r="B98" s="2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 s="11"/>
    </row>
    <row r="99" spans="1:17" x14ac:dyDescent="0.3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Q99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92D050"/>
    <outlinePr summaryBelow="0" summaryRight="0"/>
    <pageSetUpPr fitToPage="1"/>
  </sheetPr>
  <dimension ref="A2:R59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","423", " - ", "Contract/Vending Revenue")</f>
        <v>Department 423 - Contract/Vending Revenue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81.13</v>
      </c>
      <c r="E17" s="13">
        <f>SUM(OSRRefE20x_0)</f>
        <v>0</v>
      </c>
      <c r="F17" s="13">
        <f>SUM(OSRRefE20x_1)</f>
        <v>0</v>
      </c>
      <c r="G17" s="13">
        <f>SUM(OSRRefE20x_2)</f>
        <v>0</v>
      </c>
      <c r="H17" s="13">
        <f>SUM(OSRRefE20x_3)</f>
        <v>0</v>
      </c>
      <c r="I17" s="13">
        <f>SUM(OSRRefE20x_4)</f>
        <v>0</v>
      </c>
      <c r="J17" s="13">
        <f>SUM(OSRRefE20x_5)</f>
        <v>0</v>
      </c>
      <c r="K17" s="13">
        <f>SUM(OSRRefE20x_6)</f>
        <v>0</v>
      </c>
      <c r="L17" s="13">
        <f>SUM(OSRRefE20x_7)</f>
        <v>0</v>
      </c>
      <c r="M17" s="13">
        <f>SUM(OSRRefE20x_8)</f>
        <v>0</v>
      </c>
      <c r="N17" s="13">
        <f>SUM(OSRRefE20x_9)</f>
        <v>0</v>
      </c>
      <c r="O17" s="13">
        <f>SUM(OSRRefE20x_10)</f>
        <v>0</v>
      </c>
      <c r="Q17" s="13">
        <f>SUM(OSRRefG20x)</f>
        <v>81.13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0</v>
      </c>
      <c r="E18" s="1">
        <f>SUM(OSRRefE21_0x_0)</f>
        <v>0</v>
      </c>
      <c r="F18" s="1">
        <f>SUM(OSRRefE21_0x_1)</f>
        <v>0</v>
      </c>
      <c r="G18" s="1">
        <f>SUM(OSRRefE21_0x_2)</f>
        <v>0</v>
      </c>
      <c r="H18" s="1">
        <f>SUM(OSRRefE21_0x_3)</f>
        <v>0</v>
      </c>
      <c r="I18" s="1">
        <f>SUM(OSRRefE21_0x_4)</f>
        <v>0</v>
      </c>
      <c r="J18" s="1">
        <f>SUM(OSRRefE21_0x_5)</f>
        <v>0</v>
      </c>
      <c r="K18" s="1">
        <f>SUM(OSRRefE21_0x_6)</f>
        <v>0</v>
      </c>
      <c r="L18" s="1">
        <f>SUM(OSRRefE21_0x_7)</f>
        <v>0</v>
      </c>
      <c r="M18" s="1">
        <f>SUM(OSRRefE21_0x_8)</f>
        <v>0</v>
      </c>
      <c r="N18" s="1">
        <f>SUM(OSRRefE21_0x_9)</f>
        <v>0</v>
      </c>
      <c r="O18" s="1">
        <f>SUM(OSRRefE21_0x_10)</f>
        <v>0</v>
      </c>
      <c r="Q18" s="2">
        <f>SUM(OSRRefD20_0x)+IFERROR(SUM(OSRRefE20_0x),0)</f>
        <v>0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9"/>
      <c r="Q19" s="2">
        <f>SUM(OSRRefD21_0_0x)+IFERROR(SUM(OSRRefE21_0_0x),0)</f>
        <v>0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9"/>
      <c r="Q20" s="2">
        <f>SUM(OSRRefD21_0_1x)+IFERROR(SUM(OSRRefE21_0_1x),0)</f>
        <v>0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9"/>
      <c r="Q21" s="2">
        <f>SUM(OSRRefD21_0_2x)+IFERROR(SUM(OSRRefE21_0_2x),0)</f>
        <v>0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9"/>
      <c r="Q22" s="2">
        <f>SUM(OSRRefD21_0_3x)+IFERROR(SUM(OSRRefE21_0_3x),0)</f>
        <v>0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9"/>
      <c r="Q23" s="2">
        <f>SUM(OSRRefD21_0_4x)+IFERROR(SUM(OSRRefE21_0_4x),0)</f>
        <v>0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9"/>
      <c r="Q25" s="2">
        <f>SUM(OSRRefD21_0_6x)+IFERROR(SUM(OSRRefE21_0_6x),0)</f>
        <v>0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9"/>
      <c r="Q26" s="2">
        <f>SUM(OSRRefD21_0_7x)+IFERROR(SUM(OSRRefE21_0_7x),0)</f>
        <v>0</v>
      </c>
    </row>
    <row r="27" spans="1:17" s="34" customFormat="1" collapsed="1" x14ac:dyDescent="0.3">
      <c r="A27" s="35"/>
      <c r="B27" s="14" t="str">
        <f>CONCATENATE("     ","*Payroll                                          ")</f>
        <v xml:space="preserve">     *Payroll                                          </v>
      </c>
      <c r="C27" s="14"/>
      <c r="D27" s="1">
        <f>SUM(OSRRefD21_1x_0)</f>
        <v>0</v>
      </c>
      <c r="E27" s="1">
        <f>SUM(OSRRefE21_1x_0)</f>
        <v>0</v>
      </c>
      <c r="F27" s="1">
        <f>SUM(OSRRefE21_1x_1)</f>
        <v>0</v>
      </c>
      <c r="G27" s="1">
        <f>SUM(OSRRefE21_1x_2)</f>
        <v>0</v>
      </c>
      <c r="H27" s="1">
        <f>SUM(OSRRefE21_1x_3)</f>
        <v>0</v>
      </c>
      <c r="I27" s="1">
        <f>SUM(OSRRefE21_1x_4)</f>
        <v>0</v>
      </c>
      <c r="J27" s="1">
        <f>SUM(OSRRefE21_1x_5)</f>
        <v>0</v>
      </c>
      <c r="K27" s="1">
        <f>SUM(OSRRefE21_1x_6)</f>
        <v>0</v>
      </c>
      <c r="L27" s="1">
        <f>SUM(OSRRefE21_1x_7)</f>
        <v>0</v>
      </c>
      <c r="M27" s="1">
        <f>SUM(OSRRefE21_1x_8)</f>
        <v>0</v>
      </c>
      <c r="N27" s="1">
        <f>SUM(OSRRefE21_1x_9)</f>
        <v>0</v>
      </c>
      <c r="O27" s="1">
        <f>SUM(OSRRefE21_1x_10)</f>
        <v>0</v>
      </c>
      <c r="Q27" s="2">
        <f>SUM(OSRRefD20_1x)+IFERROR(SUM(OSRRefE20_1x),0)</f>
        <v>0</v>
      </c>
    </row>
    <row r="28" spans="1:17" s="34" customFormat="1" hidden="1" outlineLevel="1" x14ac:dyDescent="0.3">
      <c r="A28" s="35"/>
      <c r="B28" s="10" t="str">
        <f>CONCATENATE("          ","6001", " - ","ADMINISTRATIVE SALARIES")</f>
        <v xml:space="preserve">          6001 - ADMINISTRATIVE SALARIES</v>
      </c>
      <c r="C28" s="14"/>
      <c r="D28" s="2"/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9"/>
      <c r="Q28" s="2">
        <f>SUM(OSRRefD21_1_0x)+IFERROR(SUM(OSRRefE21_1_0x),0)</f>
        <v>0</v>
      </c>
    </row>
    <row r="29" spans="1:17" s="34" customFormat="1" hidden="1" outlineLevel="1" x14ac:dyDescent="0.3">
      <c r="A29" s="35"/>
      <c r="B29" s="10" t="str">
        <f>CONCATENATE("          ","6002", " - ","STAFF SALARIES")</f>
        <v xml:space="preserve">          6002 - STAFF SALARIES</v>
      </c>
      <c r="C29" s="14"/>
      <c r="D29" s="2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/>
      <c r="Q29" s="2">
        <f>SUM(OSRRefD21_1_1x)+IFERROR(SUM(OSRRefE21_1_1x),0)</f>
        <v>0</v>
      </c>
    </row>
    <row r="30" spans="1:17" s="34" customFormat="1" hidden="1" outlineLevel="1" x14ac:dyDescent="0.3">
      <c r="A30" s="35"/>
      <c r="B30" s="10" t="str">
        <f>CONCATENATE("          ","6003", " - ","STAFF HOURLY-9 MONTH")</f>
        <v xml:space="preserve">          6003 - STAFF HOURLY-9 MONTH</v>
      </c>
      <c r="C30" s="14"/>
      <c r="D30" s="2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9"/>
      <c r="Q30" s="2">
        <f>SUM(OSRRefD21_1_2x)+IFERROR(SUM(OSRRefE21_1_2x),0)</f>
        <v>0</v>
      </c>
    </row>
    <row r="31" spans="1:17" s="34" customFormat="1" hidden="1" outlineLevel="1" x14ac:dyDescent="0.3">
      <c r="A31" s="35"/>
      <c r="B31" s="10" t="str">
        <f>CONCATENATE("          ","6004", " - ","STAFF HOURLY")</f>
        <v xml:space="preserve">          6004 - STAFF HOURLY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SUM(OSRRefD21_1_3x)+IFERROR(SUM(OSRRefE21_1_3x),0)</f>
        <v>0</v>
      </c>
    </row>
    <row r="32" spans="1:17" s="34" customFormat="1" hidden="1" outlineLevel="1" x14ac:dyDescent="0.3">
      <c r="A32" s="35"/>
      <c r="B32" s="10" t="str">
        <f>CONCATENATE("          ","6005", " - ","TEMPORARY WAGES-HOURLY")</f>
        <v xml:space="preserve">          6005 - TEMPORARY WAGES-HOURLY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SUM(OSRRefD21_1_4x)+IFERROR(SUM(OSRRefE21_1_4x),0)</f>
        <v>0</v>
      </c>
    </row>
    <row r="33" spans="1:17" s="34" customFormat="1" hidden="1" outlineLevel="1" x14ac:dyDescent="0.3">
      <c r="A33" s="35"/>
      <c r="B33" s="10" t="str">
        <f>CONCATENATE("          ","6006", " - ","TEMPORARY PART TIME")</f>
        <v xml:space="preserve">          6006 - TEMPORARY PART TIME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SUM(OSRRefD21_1_5x)+IFERROR(SUM(OSRRefE21_1_5x),0)</f>
        <v>0</v>
      </c>
    </row>
    <row r="34" spans="1:17" s="34" customFormat="1" hidden="1" outlineLevel="1" x14ac:dyDescent="0.3">
      <c r="A34" s="35"/>
      <c r="B34" s="10" t="str">
        <f>CONCATENATE("          ","6007", " - ","STUDENT HOURLY")</f>
        <v xml:space="preserve">          6007 - STUDENT HOURLY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SUM(OSRRefD21_1_6x)+IFERROR(SUM(OSRRefE21_1_6x),0)</f>
        <v>0</v>
      </c>
    </row>
    <row r="35" spans="1:17" s="34" customFormat="1" hidden="1" outlineLevel="1" x14ac:dyDescent="0.3">
      <c r="A35" s="35"/>
      <c r="B35" s="10" t="str">
        <f>CONCATENATE("          ","6008", " - ","STUDENT HOURLY-FICA EXEMPT")</f>
        <v xml:space="preserve">          6008 - STUDENT HOURLY-FICA EXEMPT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SUM(OSRRefD21_1_7x)+IFERROR(SUM(OSRRefE21_1_7x),0)</f>
        <v>0</v>
      </c>
    </row>
    <row r="36" spans="1:17" s="34" customFormat="1" hidden="1" outlineLevel="1" x14ac:dyDescent="0.3">
      <c r="A36" s="35"/>
      <c r="B36" s="10" t="str">
        <f>CONCATENATE("          ","6009", " - ","TEMPORARY-SEASONAL")</f>
        <v xml:space="preserve">          6009 - TEMPORARY-SEASONAL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SUM(OSRRefD21_1_8x)+IFERROR(SUM(OSRRefE21_1_8x),0)</f>
        <v>0</v>
      </c>
    </row>
    <row r="37" spans="1:17" s="34" customFormat="1" hidden="1" outlineLevel="1" x14ac:dyDescent="0.3">
      <c r="A37" s="35"/>
      <c r="B37" s="10" t="str">
        <f>CONCATENATE("          ","6010", " - ","GRATUITY")</f>
        <v xml:space="preserve">          6010 - GRATUITY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SUM(OSRRefD21_1_9x)+IFERROR(SUM(OSRRefE21_1_9x),0)</f>
        <v>0</v>
      </c>
    </row>
    <row r="38" spans="1:17" s="34" customFormat="1" collapsed="1" x14ac:dyDescent="0.3">
      <c r="A38" s="35"/>
      <c r="B38" s="14" t="str">
        <f>CONCATENATE("     ","Supplies                                          ")</f>
        <v xml:space="preserve">     Supplies                                          </v>
      </c>
      <c r="C38" s="14"/>
      <c r="D38" s="1">
        <f>SUM(OSRRefD21_2x_0)</f>
        <v>245.13</v>
      </c>
      <c r="E38" s="1">
        <f>SUM(OSRRefE21_2x_0)</f>
        <v>0</v>
      </c>
      <c r="F38" s="1">
        <f>SUM(OSRRefE21_2x_1)</f>
        <v>0</v>
      </c>
      <c r="G38" s="1">
        <f>SUM(OSRRefE21_2x_2)</f>
        <v>0</v>
      </c>
      <c r="H38" s="1">
        <f>SUM(OSRRefE21_2x_3)</f>
        <v>0</v>
      </c>
      <c r="I38" s="1">
        <f>SUM(OSRRefE21_2x_4)</f>
        <v>0</v>
      </c>
      <c r="J38" s="1">
        <f>SUM(OSRRefE21_2x_5)</f>
        <v>0</v>
      </c>
      <c r="K38" s="1">
        <f>SUM(OSRRefE21_2x_6)</f>
        <v>0</v>
      </c>
      <c r="L38" s="1">
        <f>SUM(OSRRefE21_2x_7)</f>
        <v>0</v>
      </c>
      <c r="M38" s="1">
        <f>SUM(OSRRefE21_2x_8)</f>
        <v>0</v>
      </c>
      <c r="N38" s="1">
        <f>SUM(OSRRefE21_2x_9)</f>
        <v>0</v>
      </c>
      <c r="O38" s="1">
        <f>SUM(OSRRefE21_2x_10)</f>
        <v>0</v>
      </c>
      <c r="Q38" s="2">
        <f>SUM(OSRRefD20_2x)+IFERROR(SUM(OSRRefE20_2x),0)</f>
        <v>245.13</v>
      </c>
    </row>
    <row r="39" spans="1:17" s="34" customFormat="1" hidden="1" outlineLevel="1" x14ac:dyDescent="0.3">
      <c r="A39" s="35"/>
      <c r="B39" s="10" t="str">
        <f>CONCATENATE("          ","6241", " - ","OFFICE EXPENSE")</f>
        <v xml:space="preserve">          6241 - OFFICE EXPENSE</v>
      </c>
      <c r="C39" s="14"/>
      <c r="D39" s="2">
        <v>245.13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2">
        <f>SUM(OSRRefD21_2_0x)+IFERROR(SUM(OSRRefE21_2_0x),0)</f>
        <v>245.13</v>
      </c>
    </row>
    <row r="40" spans="1:17" s="34" customFormat="1" collapsed="1" x14ac:dyDescent="0.3">
      <c r="A40" s="35"/>
      <c r="B40" s="14" t="str">
        <f>CONCATENATE("     ","Telephone/Data Lines                              ")</f>
        <v xml:space="preserve">     Telephone/Data Lines                              </v>
      </c>
      <c r="C40" s="14"/>
      <c r="D40" s="1">
        <f>SUM(OSRRefD21_3x_0)</f>
        <v>-164</v>
      </c>
      <c r="E40" s="1">
        <f>SUM(OSRRefE21_3x_0)</f>
        <v>0</v>
      </c>
      <c r="F40" s="1">
        <f>SUM(OSRRefE21_3x_1)</f>
        <v>0</v>
      </c>
      <c r="G40" s="1">
        <f>SUM(OSRRefE21_3x_2)</f>
        <v>0</v>
      </c>
      <c r="H40" s="1">
        <f>SUM(OSRRefE21_3x_3)</f>
        <v>0</v>
      </c>
      <c r="I40" s="1">
        <f>SUM(OSRRefE21_3x_4)</f>
        <v>0</v>
      </c>
      <c r="J40" s="1">
        <f>SUM(OSRRefE21_3x_5)</f>
        <v>0</v>
      </c>
      <c r="K40" s="1">
        <f>SUM(OSRRefE21_3x_6)</f>
        <v>0</v>
      </c>
      <c r="L40" s="1">
        <f>SUM(OSRRefE21_3x_7)</f>
        <v>0</v>
      </c>
      <c r="M40" s="1">
        <f>SUM(OSRRefE21_3x_8)</f>
        <v>0</v>
      </c>
      <c r="N40" s="1">
        <f>SUM(OSRRefE21_3x_9)</f>
        <v>0</v>
      </c>
      <c r="O40" s="1">
        <f>SUM(OSRRefE21_3x_10)</f>
        <v>0</v>
      </c>
      <c r="Q40" s="2">
        <f>SUM(OSRRefD20_3x)+IFERROR(SUM(OSRRefE20_3x),0)</f>
        <v>-164</v>
      </c>
    </row>
    <row r="41" spans="1:17" s="34" customFormat="1" hidden="1" outlineLevel="1" x14ac:dyDescent="0.3">
      <c r="A41" s="35"/>
      <c r="B41" s="10" t="str">
        <f>CONCATENATE("          ","6309", " - ","TELEPHONE")</f>
        <v xml:space="preserve">          6309 - TELEPHONE</v>
      </c>
      <c r="C41" s="14"/>
      <c r="D41" s="2">
        <v>-164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2">
        <f>SUM(OSRRefD21_3_0x)+IFERROR(SUM(OSRRefE21_3_0x),0)</f>
        <v>-164</v>
      </c>
    </row>
    <row r="42" spans="1:17" s="28" customFormat="1" x14ac:dyDescent="0.3">
      <c r="A42" s="21"/>
      <c r="B42" s="21"/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</row>
    <row r="43" spans="1:17" s="9" customFormat="1" x14ac:dyDescent="0.3">
      <c r="A43" s="22"/>
      <c r="B43" s="16" t="s">
        <v>293</v>
      </c>
      <c r="C43" s="23"/>
      <c r="D43" s="3">
        <f>0</f>
        <v>0</v>
      </c>
      <c r="E43" s="3"/>
      <c r="F43" s="3">
        <v>250</v>
      </c>
      <c r="G43" s="3">
        <v>250</v>
      </c>
      <c r="H43" s="3">
        <v>250</v>
      </c>
      <c r="I43" s="3">
        <v>250</v>
      </c>
      <c r="J43" s="3">
        <v>46218.59</v>
      </c>
      <c r="K43" s="3">
        <v>37154.720000000001</v>
      </c>
      <c r="L43" s="3">
        <v>21607.09</v>
      </c>
      <c r="M43" s="3">
        <v>28752.13</v>
      </c>
      <c r="N43" s="3">
        <v>29120.49</v>
      </c>
      <c r="O43" s="3">
        <v>12000</v>
      </c>
      <c r="Q43" s="2">
        <f>SUM(OSRRefD23_0x)+IFERROR(SUM(OSRRefE23_0x),0)</f>
        <v>175853.02</v>
      </c>
    </row>
    <row r="44" spans="1:17" x14ac:dyDescent="0.3">
      <c r="A44" s="5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</row>
    <row r="45" spans="1:17" s="15" customFormat="1" x14ac:dyDescent="0.3">
      <c r="A45" s="6"/>
      <c r="B45" s="17" t="s">
        <v>276</v>
      </c>
      <c r="C45" s="17"/>
      <c r="D45" s="8">
        <f t="shared" ref="D45:O45" si="4">IFERROR(+D14-D17+D43, 0)</f>
        <v>-81.13</v>
      </c>
      <c r="E45" s="8">
        <f t="shared" si="4"/>
        <v>0</v>
      </c>
      <c r="F45" s="8">
        <f t="shared" si="4"/>
        <v>250</v>
      </c>
      <c r="G45" s="8">
        <f t="shared" si="4"/>
        <v>250</v>
      </c>
      <c r="H45" s="8">
        <f t="shared" si="4"/>
        <v>250</v>
      </c>
      <c r="I45" s="8">
        <f t="shared" si="4"/>
        <v>250</v>
      </c>
      <c r="J45" s="8">
        <f t="shared" si="4"/>
        <v>46218.59</v>
      </c>
      <c r="K45" s="8">
        <f t="shared" si="4"/>
        <v>37154.720000000001</v>
      </c>
      <c r="L45" s="8">
        <f t="shared" si="4"/>
        <v>21607.09</v>
      </c>
      <c r="M45" s="8">
        <f t="shared" si="4"/>
        <v>28752.13</v>
      </c>
      <c r="N45" s="8">
        <f t="shared" si="4"/>
        <v>29120.49</v>
      </c>
      <c r="O45" s="8">
        <f t="shared" si="4"/>
        <v>12000</v>
      </c>
      <c r="Q45" s="8">
        <f>IFERROR(+Q14-Q17+Q43, 0)</f>
        <v>175771.88999999998</v>
      </c>
    </row>
    <row r="46" spans="1:17" s="6" customFormat="1" x14ac:dyDescent="0.3">
      <c r="B46" s="16"/>
      <c r="C46" s="16"/>
      <c r="D46" s="4">
        <f t="shared" ref="D46:O46" si="5">IFERROR(D45/D10, 0)</f>
        <v>0</v>
      </c>
      <c r="E46" s="4">
        <f t="shared" si="5"/>
        <v>0</v>
      </c>
      <c r="F46" s="4">
        <f t="shared" si="5"/>
        <v>0</v>
      </c>
      <c r="G46" s="4">
        <f t="shared" si="5"/>
        <v>0</v>
      </c>
      <c r="H46" s="4">
        <f t="shared" si="5"/>
        <v>0</v>
      </c>
      <c r="I46" s="4">
        <f t="shared" si="5"/>
        <v>0</v>
      </c>
      <c r="J46" s="4">
        <f t="shared" si="5"/>
        <v>0</v>
      </c>
      <c r="K46" s="4">
        <f t="shared" si="5"/>
        <v>0</v>
      </c>
      <c r="L46" s="4">
        <f t="shared" si="5"/>
        <v>0</v>
      </c>
      <c r="M46" s="4">
        <f t="shared" si="5"/>
        <v>0</v>
      </c>
      <c r="N46" s="4">
        <f t="shared" si="5"/>
        <v>0</v>
      </c>
      <c r="O46" s="4">
        <f t="shared" si="5"/>
        <v>0</v>
      </c>
      <c r="P46" s="18"/>
      <c r="Q46" s="4">
        <f>IFERROR(Q45/Q10, 0)</f>
        <v>0</v>
      </c>
    </row>
    <row r="47" spans="1:17" x14ac:dyDescent="0.3">
      <c r="A47" s="5"/>
      <c r="B47" s="6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</row>
    <row r="48" spans="1:17" s="15" customFormat="1" x14ac:dyDescent="0.3">
      <c r="A48" s="25"/>
      <c r="B48" s="6" t="s">
        <v>125</v>
      </c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2">
        <f>SUM(OSRRefD28_0x)+IFERROR(SUM(OSRRefE28_0x),0)</f>
        <v>0</v>
      </c>
    </row>
    <row r="49" spans="1:17" x14ac:dyDescent="0.3">
      <c r="A49" s="5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</row>
    <row r="50" spans="1:17" s="15" customFormat="1" ht="15" thickBot="1" x14ac:dyDescent="0.35">
      <c r="A50" s="6"/>
      <c r="B50" s="17" t="s">
        <v>124</v>
      </c>
      <c r="C50" s="17"/>
      <c r="D50" s="7">
        <f t="shared" ref="D50:O50" si="6">IFERROR(+D45-D48, 0)</f>
        <v>-81.13</v>
      </c>
      <c r="E50" s="7">
        <f t="shared" si="6"/>
        <v>0</v>
      </c>
      <c r="F50" s="7">
        <f t="shared" si="6"/>
        <v>250</v>
      </c>
      <c r="G50" s="7">
        <f t="shared" si="6"/>
        <v>250</v>
      </c>
      <c r="H50" s="7">
        <f t="shared" si="6"/>
        <v>250</v>
      </c>
      <c r="I50" s="7">
        <f t="shared" si="6"/>
        <v>250</v>
      </c>
      <c r="J50" s="7">
        <f t="shared" si="6"/>
        <v>46218.59</v>
      </c>
      <c r="K50" s="7">
        <f t="shared" si="6"/>
        <v>37154.720000000001</v>
      </c>
      <c r="L50" s="7">
        <f t="shared" si="6"/>
        <v>21607.09</v>
      </c>
      <c r="M50" s="7">
        <f t="shared" si="6"/>
        <v>28752.13</v>
      </c>
      <c r="N50" s="7">
        <f t="shared" si="6"/>
        <v>29120.49</v>
      </c>
      <c r="O50" s="7">
        <f t="shared" si="6"/>
        <v>12000</v>
      </c>
      <c r="Q50" s="7">
        <f>IFERROR(+Q45-Q48, 0)</f>
        <v>175771.88999999998</v>
      </c>
    </row>
    <row r="51" spans="1:17" ht="15" thickTop="1" x14ac:dyDescent="0.3">
      <c r="A51" s="5"/>
      <c r="B51" s="5"/>
      <c r="C51" s="5"/>
      <c r="D51" s="4">
        <f t="shared" ref="D51:O51" si="7">IFERROR(D50/D10, 0)</f>
        <v>0</v>
      </c>
      <c r="E51" s="4">
        <f t="shared" si="7"/>
        <v>0</v>
      </c>
      <c r="F51" s="4">
        <f t="shared" si="7"/>
        <v>0</v>
      </c>
      <c r="G51" s="4">
        <f t="shared" si="7"/>
        <v>0</v>
      </c>
      <c r="H51" s="4">
        <f t="shared" si="7"/>
        <v>0</v>
      </c>
      <c r="I51" s="4">
        <f t="shared" si="7"/>
        <v>0</v>
      </c>
      <c r="J51" s="4">
        <f t="shared" si="7"/>
        <v>0</v>
      </c>
      <c r="K51" s="4">
        <f t="shared" si="7"/>
        <v>0</v>
      </c>
      <c r="L51" s="4">
        <f t="shared" si="7"/>
        <v>0</v>
      </c>
      <c r="M51" s="4">
        <f t="shared" si="7"/>
        <v>0</v>
      </c>
      <c r="N51" s="4">
        <f t="shared" si="7"/>
        <v>0</v>
      </c>
      <c r="O51" s="4">
        <f t="shared" si="7"/>
        <v>0</v>
      </c>
      <c r="P51" s="18"/>
      <c r="Q51" s="4">
        <f>IFERROR(Q50/Q10, 0)</f>
        <v>0</v>
      </c>
    </row>
    <row r="52" spans="1:17" x14ac:dyDescent="0.3">
      <c r="A52" s="5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</row>
    <row r="53" spans="1:17" x14ac:dyDescent="0.3">
      <c r="A53" s="5"/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</row>
    <row r="54" spans="1:17" s="15" customFormat="1" ht="15" thickBot="1" x14ac:dyDescent="0.35">
      <c r="A54" s="6"/>
      <c r="B54" s="17" t="s">
        <v>294</v>
      </c>
      <c r="C54" s="17"/>
      <c r="D54" s="7">
        <f t="shared" ref="D54:O54" si="8">IFERROR(SUM(D50:D53), 0)</f>
        <v>-81.13</v>
      </c>
      <c r="E54" s="7">
        <f t="shared" si="8"/>
        <v>0</v>
      </c>
      <c r="F54" s="7">
        <f t="shared" si="8"/>
        <v>250</v>
      </c>
      <c r="G54" s="7">
        <f t="shared" si="8"/>
        <v>250</v>
      </c>
      <c r="H54" s="7">
        <f t="shared" si="8"/>
        <v>250</v>
      </c>
      <c r="I54" s="7">
        <f t="shared" si="8"/>
        <v>250</v>
      </c>
      <c r="J54" s="7">
        <f t="shared" si="8"/>
        <v>46218.59</v>
      </c>
      <c r="K54" s="7">
        <f t="shared" si="8"/>
        <v>37154.720000000001</v>
      </c>
      <c r="L54" s="7">
        <f t="shared" si="8"/>
        <v>21607.09</v>
      </c>
      <c r="M54" s="7">
        <f t="shared" si="8"/>
        <v>28752.13</v>
      </c>
      <c r="N54" s="7">
        <f t="shared" si="8"/>
        <v>29120.49</v>
      </c>
      <c r="O54" s="7">
        <f t="shared" si="8"/>
        <v>12000</v>
      </c>
      <c r="Q54" s="7">
        <f>IFERROR(SUM(Q50:Q53), 0)</f>
        <v>175771.88999999998</v>
      </c>
    </row>
    <row r="55" spans="1:17" ht="15" thickTop="1" x14ac:dyDescent="0.3">
      <c r="A55" s="5"/>
      <c r="C55" s="5"/>
      <c r="D55" s="4">
        <f t="shared" ref="D55:O55" si="9">IFERROR(D54/D10, 0)</f>
        <v>0</v>
      </c>
      <c r="E55" s="4">
        <f t="shared" si="9"/>
        <v>0</v>
      </c>
      <c r="F55" s="4">
        <f t="shared" si="9"/>
        <v>0</v>
      </c>
      <c r="G55" s="4">
        <f t="shared" si="9"/>
        <v>0</v>
      </c>
      <c r="H55" s="4">
        <f t="shared" si="9"/>
        <v>0</v>
      </c>
      <c r="I55" s="4">
        <f t="shared" si="9"/>
        <v>0</v>
      </c>
      <c r="J55" s="4">
        <f t="shared" si="9"/>
        <v>0</v>
      </c>
      <c r="K55" s="4">
        <f t="shared" si="9"/>
        <v>0</v>
      </c>
      <c r="L55" s="4">
        <f t="shared" si="9"/>
        <v>0</v>
      </c>
      <c r="M55" s="4">
        <f t="shared" si="9"/>
        <v>0</v>
      </c>
      <c r="N55" s="4">
        <f t="shared" si="9"/>
        <v>0</v>
      </c>
      <c r="O55" s="4">
        <f t="shared" si="9"/>
        <v>0</v>
      </c>
      <c r="P55" s="18"/>
      <c r="Q55" s="4">
        <f>IFERROR(Q54/Q10, 0)</f>
        <v>0</v>
      </c>
    </row>
    <row r="56" spans="1:17" x14ac:dyDescent="0.3">
      <c r="A56" s="5"/>
      <c r="B56" s="30">
        <v>44462.678423958336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Q56" s="11"/>
    </row>
    <row r="57" spans="1:17" x14ac:dyDescent="0.3">
      <c r="A57" s="5"/>
      <c r="B57" s="31" t="s">
        <v>54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Q57" s="11"/>
    </row>
    <row r="58" spans="1:17" x14ac:dyDescent="0.3">
      <c r="A58" s="5"/>
      <c r="B58" s="2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Q58" s="11"/>
    </row>
    <row r="59" spans="1:17" x14ac:dyDescent="0.3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Q59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s">
        <v>137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92D050"/>
    <outlinePr summaryBelow="0" summaryRight="0"/>
    <pageSetUpPr fitToPage="1"/>
  </sheetPr>
  <dimension ref="A2:R3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","424", " - ", "Blair Field")</f>
        <v>Department 424 - Blair Field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479.29</v>
      </c>
      <c r="E17" s="13">
        <f>SUM(OSRRefE20x_0)</f>
        <v>479</v>
      </c>
      <c r="F17" s="13">
        <f>SUM(OSRRefE20x_1)</f>
        <v>479</v>
      </c>
      <c r="G17" s="13">
        <f>SUM(OSRRefE20x_2)</f>
        <v>479</v>
      </c>
      <c r="H17" s="13">
        <f>SUM(OSRRefE20x_3)</f>
        <v>479</v>
      </c>
      <c r="I17" s="13">
        <f>SUM(OSRRefE20x_4)</f>
        <v>479</v>
      </c>
      <c r="J17" s="13">
        <f>SUM(OSRRefE20x_5)</f>
        <v>479</v>
      </c>
      <c r="K17" s="13">
        <f>SUM(OSRRefE20x_6)</f>
        <v>479</v>
      </c>
      <c r="L17" s="13">
        <f>SUM(OSRRefE20x_7)</f>
        <v>479</v>
      </c>
      <c r="M17" s="13">
        <f>SUM(OSRRefE20x_8)</f>
        <v>479</v>
      </c>
      <c r="N17" s="13">
        <f>SUM(OSRRefE20x_9)</f>
        <v>479</v>
      </c>
      <c r="O17" s="13">
        <f>SUM(OSRRefE20x_10)</f>
        <v>479</v>
      </c>
      <c r="Q17" s="13">
        <f>SUM(OSRRefG20x)</f>
        <v>5748.29</v>
      </c>
    </row>
    <row r="18" spans="1:17" s="34" customFormat="1" collapsed="1" x14ac:dyDescent="0.3">
      <c r="A18" s="35"/>
      <c r="B18" s="14" t="str">
        <f>CONCATENATE("     ","Depreciation                                      ")</f>
        <v xml:space="preserve">     Depreciation                                      </v>
      </c>
      <c r="C18" s="14"/>
      <c r="D18" s="1">
        <f>SUM(OSRRefD21_0x_0)</f>
        <v>479.29</v>
      </c>
      <c r="E18" s="1">
        <f>SUM(OSRRefE21_0x_0)</f>
        <v>479</v>
      </c>
      <c r="F18" s="1">
        <f>SUM(OSRRefE21_0x_1)</f>
        <v>479</v>
      </c>
      <c r="G18" s="1">
        <f>SUM(OSRRefE21_0x_2)</f>
        <v>479</v>
      </c>
      <c r="H18" s="1">
        <f>SUM(OSRRefE21_0x_3)</f>
        <v>479</v>
      </c>
      <c r="I18" s="1">
        <f>SUM(OSRRefE21_0x_4)</f>
        <v>479</v>
      </c>
      <c r="J18" s="1">
        <f>SUM(OSRRefE21_0x_5)</f>
        <v>479</v>
      </c>
      <c r="K18" s="1">
        <f>SUM(OSRRefE21_0x_6)</f>
        <v>479</v>
      </c>
      <c r="L18" s="1">
        <f>SUM(OSRRefE21_0x_7)</f>
        <v>479</v>
      </c>
      <c r="M18" s="1">
        <f>SUM(OSRRefE21_0x_8)</f>
        <v>479</v>
      </c>
      <c r="N18" s="1">
        <f>SUM(OSRRefE21_0x_9)</f>
        <v>479</v>
      </c>
      <c r="O18" s="1">
        <f>SUM(OSRRefE21_0x_10)</f>
        <v>479</v>
      </c>
      <c r="Q18" s="2">
        <f>SUM(OSRRefD20_0x)+IFERROR(SUM(OSRRefE20_0x),0)</f>
        <v>5748.29</v>
      </c>
    </row>
    <row r="19" spans="1:17" s="34" customFormat="1" hidden="1" outlineLevel="1" x14ac:dyDescent="0.3">
      <c r="A19" s="35"/>
      <c r="B19" s="10" t="str">
        <f>CONCATENATE("          ","6322", " - ","EQUIPMENT DEPRECIATION EXPENSE")</f>
        <v xml:space="preserve">          6322 - EQUIPMENT DEPRECIATION EXPENSE</v>
      </c>
      <c r="C19" s="14"/>
      <c r="D19" s="2">
        <v>479.29</v>
      </c>
      <c r="E19" s="2">
        <v>479</v>
      </c>
      <c r="F19" s="2">
        <v>479</v>
      </c>
      <c r="G19" s="2">
        <v>479</v>
      </c>
      <c r="H19" s="2">
        <v>479</v>
      </c>
      <c r="I19" s="2">
        <v>479</v>
      </c>
      <c r="J19" s="2">
        <v>479</v>
      </c>
      <c r="K19" s="2">
        <v>479</v>
      </c>
      <c r="L19" s="2">
        <v>479</v>
      </c>
      <c r="M19" s="2">
        <v>479</v>
      </c>
      <c r="N19" s="2">
        <v>479</v>
      </c>
      <c r="O19" s="2">
        <v>479</v>
      </c>
      <c r="P19" s="9"/>
      <c r="Q19" s="2">
        <f>SUM(OSRRefD21_0_0x)+IFERROR(SUM(OSRRefE21_0_0x),0)</f>
        <v>5748.29</v>
      </c>
    </row>
    <row r="20" spans="1:17" s="28" customFormat="1" x14ac:dyDescent="0.3">
      <c r="A20" s="21"/>
      <c r="B20" s="2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"/>
    </row>
    <row r="21" spans="1:17" s="9" customFormat="1" x14ac:dyDescent="0.3">
      <c r="A21" s="22"/>
      <c r="B21" s="16" t="s">
        <v>293</v>
      </c>
      <c r="C21" s="23"/>
      <c r="D21" s="3">
        <f>0</f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2">
        <f>SUM(OSRRefD23_0x)+IFERROR(SUM(OSRRefE23_0x),0)</f>
        <v>0</v>
      </c>
    </row>
    <row r="22" spans="1:17" x14ac:dyDescent="0.3">
      <c r="A22" s="5"/>
      <c r="B22" s="6"/>
      <c r="C22" s="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</row>
    <row r="23" spans="1:17" s="15" customFormat="1" x14ac:dyDescent="0.3">
      <c r="A23" s="6"/>
      <c r="B23" s="17" t="s">
        <v>276</v>
      </c>
      <c r="C23" s="17"/>
      <c r="D23" s="8">
        <f t="shared" ref="D23:O23" si="4">IFERROR(+D14-D17+D21, 0)</f>
        <v>-479.29</v>
      </c>
      <c r="E23" s="8">
        <f t="shared" si="4"/>
        <v>-479</v>
      </c>
      <c r="F23" s="8">
        <f t="shared" si="4"/>
        <v>-479</v>
      </c>
      <c r="G23" s="8">
        <f t="shared" si="4"/>
        <v>-479</v>
      </c>
      <c r="H23" s="8">
        <f t="shared" si="4"/>
        <v>-479</v>
      </c>
      <c r="I23" s="8">
        <f t="shared" si="4"/>
        <v>-479</v>
      </c>
      <c r="J23" s="8">
        <f t="shared" si="4"/>
        <v>-479</v>
      </c>
      <c r="K23" s="8">
        <f t="shared" si="4"/>
        <v>-479</v>
      </c>
      <c r="L23" s="8">
        <f t="shared" si="4"/>
        <v>-479</v>
      </c>
      <c r="M23" s="8">
        <f t="shared" si="4"/>
        <v>-479</v>
      </c>
      <c r="N23" s="8">
        <f t="shared" si="4"/>
        <v>-479</v>
      </c>
      <c r="O23" s="8">
        <f t="shared" si="4"/>
        <v>-479</v>
      </c>
      <c r="Q23" s="8">
        <f>IFERROR(+Q14-Q17+Q21, 0)</f>
        <v>-5748.29</v>
      </c>
    </row>
    <row r="24" spans="1:17" s="6" customFormat="1" x14ac:dyDescent="0.3">
      <c r="B24" s="16"/>
      <c r="C24" s="16"/>
      <c r="D24" s="4">
        <f t="shared" ref="D24:O24" si="5">IFERROR(D23/D10, 0)</f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18"/>
      <c r="Q24" s="4">
        <f>IFERROR(Q23/Q10, 0)</f>
        <v>0</v>
      </c>
    </row>
    <row r="25" spans="1:17" x14ac:dyDescent="0.3">
      <c r="A25" s="5"/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</row>
    <row r="26" spans="1:17" s="15" customFormat="1" x14ac:dyDescent="0.3">
      <c r="A26" s="25"/>
      <c r="B26" s="6" t="s">
        <v>125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2">
        <f>SUM(OSRRefD28_0x)+IFERROR(SUM(OSRRefE28_0x),0)</f>
        <v>0</v>
      </c>
    </row>
    <row r="27" spans="1:17" x14ac:dyDescent="0.3">
      <c r="A27" s="5"/>
      <c r="B27" s="6"/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</row>
    <row r="28" spans="1:17" s="15" customFormat="1" ht="15" thickBot="1" x14ac:dyDescent="0.35">
      <c r="A28" s="6"/>
      <c r="B28" s="17" t="s">
        <v>124</v>
      </c>
      <c r="C28" s="17"/>
      <c r="D28" s="7">
        <f t="shared" ref="D28:O28" si="6">IFERROR(+D23-D26, 0)</f>
        <v>-479.29</v>
      </c>
      <c r="E28" s="7">
        <f t="shared" si="6"/>
        <v>-479</v>
      </c>
      <c r="F28" s="7">
        <f t="shared" si="6"/>
        <v>-479</v>
      </c>
      <c r="G28" s="7">
        <f t="shared" si="6"/>
        <v>-479</v>
      </c>
      <c r="H28" s="7">
        <f t="shared" si="6"/>
        <v>-479</v>
      </c>
      <c r="I28" s="7">
        <f t="shared" si="6"/>
        <v>-479</v>
      </c>
      <c r="J28" s="7">
        <f t="shared" si="6"/>
        <v>-479</v>
      </c>
      <c r="K28" s="7">
        <f t="shared" si="6"/>
        <v>-479</v>
      </c>
      <c r="L28" s="7">
        <f t="shared" si="6"/>
        <v>-479</v>
      </c>
      <c r="M28" s="7">
        <f t="shared" si="6"/>
        <v>-479</v>
      </c>
      <c r="N28" s="7">
        <f t="shared" si="6"/>
        <v>-479</v>
      </c>
      <c r="O28" s="7">
        <f t="shared" si="6"/>
        <v>-479</v>
      </c>
      <c r="Q28" s="7">
        <f>IFERROR(+Q23-Q26, 0)</f>
        <v>-5748.29</v>
      </c>
    </row>
    <row r="29" spans="1:17" ht="15" thickTop="1" x14ac:dyDescent="0.3">
      <c r="A29" s="5"/>
      <c r="B29" s="5"/>
      <c r="C29" s="5"/>
      <c r="D29" s="4">
        <f t="shared" ref="D29:O29" si="7">IFERROR(D28/D10, 0)</f>
        <v>0</v>
      </c>
      <c r="E29" s="4">
        <f t="shared" si="7"/>
        <v>0</v>
      </c>
      <c r="F29" s="4">
        <f t="shared" si="7"/>
        <v>0</v>
      </c>
      <c r="G29" s="4">
        <f t="shared" si="7"/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18"/>
      <c r="Q29" s="4">
        <f>IFERROR(Q28/Q10, 0)</f>
        <v>0</v>
      </c>
    </row>
    <row r="30" spans="1:17" x14ac:dyDescent="0.3">
      <c r="A30" s="5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</row>
    <row r="31" spans="1:17" x14ac:dyDescent="0.3">
      <c r="A31" s="5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s="15" customFormat="1" ht="15" thickBot="1" x14ac:dyDescent="0.35">
      <c r="A32" s="6"/>
      <c r="B32" s="17" t="s">
        <v>294</v>
      </c>
      <c r="C32" s="17"/>
      <c r="D32" s="7">
        <f t="shared" ref="D32:O32" si="8">IFERROR(SUM(D28:D31), 0)</f>
        <v>-479.29</v>
      </c>
      <c r="E32" s="7">
        <f t="shared" si="8"/>
        <v>-479</v>
      </c>
      <c r="F32" s="7">
        <f t="shared" si="8"/>
        <v>-479</v>
      </c>
      <c r="G32" s="7">
        <f t="shared" si="8"/>
        <v>-479</v>
      </c>
      <c r="H32" s="7">
        <f t="shared" si="8"/>
        <v>-479</v>
      </c>
      <c r="I32" s="7">
        <f t="shared" si="8"/>
        <v>-479</v>
      </c>
      <c r="J32" s="7">
        <f t="shared" si="8"/>
        <v>-479</v>
      </c>
      <c r="K32" s="7">
        <f t="shared" si="8"/>
        <v>-479</v>
      </c>
      <c r="L32" s="7">
        <f t="shared" si="8"/>
        <v>-479</v>
      </c>
      <c r="M32" s="7">
        <f t="shared" si="8"/>
        <v>-479</v>
      </c>
      <c r="N32" s="7">
        <f t="shared" si="8"/>
        <v>-479</v>
      </c>
      <c r="O32" s="7">
        <f t="shared" si="8"/>
        <v>-479</v>
      </c>
      <c r="Q32" s="7">
        <f>IFERROR(SUM(Q28:Q31), 0)</f>
        <v>-5748.29</v>
      </c>
    </row>
    <row r="33" spans="1:17" ht="15" thickTop="1" x14ac:dyDescent="0.3">
      <c r="A33" s="5"/>
      <c r="C33" s="5"/>
      <c r="D33" s="4">
        <f t="shared" ref="D33:O33" si="9">IFERROR(D32/D10, 0)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  <c r="H33" s="4">
        <f t="shared" si="9"/>
        <v>0</v>
      </c>
      <c r="I33" s="4">
        <f t="shared" si="9"/>
        <v>0</v>
      </c>
      <c r="J33" s="4">
        <f t="shared" si="9"/>
        <v>0</v>
      </c>
      <c r="K33" s="4">
        <f t="shared" si="9"/>
        <v>0</v>
      </c>
      <c r="L33" s="4">
        <f t="shared" si="9"/>
        <v>0</v>
      </c>
      <c r="M33" s="4">
        <f t="shared" si="9"/>
        <v>0</v>
      </c>
      <c r="N33" s="4">
        <f t="shared" si="9"/>
        <v>0</v>
      </c>
      <c r="O33" s="4">
        <f t="shared" si="9"/>
        <v>0</v>
      </c>
      <c r="P33" s="18"/>
      <c r="Q33" s="4">
        <f>IFERROR(Q32/Q10, 0)</f>
        <v>0</v>
      </c>
    </row>
    <row r="34" spans="1:17" x14ac:dyDescent="0.3">
      <c r="A34" s="5"/>
      <c r="B34" s="30">
        <v>44462.678423958336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1"/>
    </row>
    <row r="35" spans="1:17" x14ac:dyDescent="0.3">
      <c r="A35" s="5"/>
      <c r="B35" s="31" t="s">
        <v>54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A36" s="5"/>
      <c r="B36" s="2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rgb="FF92D050"/>
    <outlinePr summaryBelow="0" summaryRight="0"/>
    <pageSetUpPr fitToPage="1"/>
  </sheetPr>
  <dimension ref="A2:R38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","425", " - ", "Events Center")</f>
        <v>Department 425 - Events Center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collapsed="1" x14ac:dyDescent="0.3">
      <c r="A12" s="22"/>
      <c r="B12" s="16" t="s">
        <v>218</v>
      </c>
      <c r="C12" s="23"/>
      <c r="D12" s="3">
        <f>SUM(OSRRefD14x_0)</f>
        <v>-1034.73</v>
      </c>
      <c r="E12" s="3">
        <f>SUM(OSRRefE14x_0)</f>
        <v>0</v>
      </c>
      <c r="F12" s="3">
        <f>SUM(OSRRefE14x_1)</f>
        <v>0</v>
      </c>
      <c r="G12" s="3">
        <f>SUM(OSRRefE14x_2)</f>
        <v>0</v>
      </c>
      <c r="H12" s="3">
        <f>SUM(OSRRefE14x_3)</f>
        <v>0</v>
      </c>
      <c r="I12" s="3">
        <f>SUM(OSRRefE14x_4)</f>
        <v>0</v>
      </c>
      <c r="J12" s="3">
        <f>SUM(OSRRefE14x_5)</f>
        <v>0</v>
      </c>
      <c r="K12" s="3">
        <f>SUM(OSRRefE14x_6)</f>
        <v>0</v>
      </c>
      <c r="L12" s="3">
        <f>SUM(OSRRefE14x_7)</f>
        <v>0</v>
      </c>
      <c r="M12" s="3">
        <f>SUM(OSRRefE14x_8)</f>
        <v>0</v>
      </c>
      <c r="N12" s="3">
        <f>SUM(OSRRefE14x_9)</f>
        <v>0</v>
      </c>
      <c r="O12" s="3">
        <f>SUM(OSRRefE14x_10)</f>
        <v>0</v>
      </c>
      <c r="Q12" s="3">
        <f>SUM(OSRRefG14x)</f>
        <v>-1034.73</v>
      </c>
    </row>
    <row r="13" spans="1:18" s="9" customFormat="1" hidden="1" outlineLevel="1" x14ac:dyDescent="0.3">
      <c r="A13" s="22"/>
      <c r="B13" s="10" t="str">
        <f>CONCATENATE("          ","5053", " - ","PURCHASES @ COST-FOOD")</f>
        <v xml:space="preserve">          5053 - PURCHASES @ COST-FOOD</v>
      </c>
      <c r="C13" s="23"/>
      <c r="D13" s="2">
        <v>-1034.73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SUM(OSRRefD14_0x)+IFERROR(SUM(OSRRefE14_0x),0)</f>
        <v>-1034.73</v>
      </c>
    </row>
    <row r="14" spans="1:18" x14ac:dyDescent="0.3">
      <c r="A14" s="5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</row>
    <row r="15" spans="1:18" s="15" customFormat="1" x14ac:dyDescent="0.3">
      <c r="A15" s="6"/>
      <c r="B15" s="17" t="s">
        <v>105</v>
      </c>
      <c r="C15" s="17"/>
      <c r="D15" s="8">
        <f t="shared" ref="D15:O15" si="1">IFERROR(+D10-D12, 0)</f>
        <v>1034.73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Q15" s="8">
        <f>IFERROR(+Q10-Q12, 0)</f>
        <v>1034.73</v>
      </c>
    </row>
    <row r="16" spans="1:18" s="6" customFormat="1" x14ac:dyDescent="0.3">
      <c r="B16" s="16"/>
      <c r="C16" s="16"/>
      <c r="D16" s="4">
        <f t="shared" ref="D16:O16" si="2">IFERROR(D15/D10, 0)</f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2"/>
        <v>0</v>
      </c>
      <c r="O16" s="4">
        <f t="shared" si="2"/>
        <v>0</v>
      </c>
      <c r="P16" s="18"/>
      <c r="Q16" s="4">
        <f>IFERROR(Q15/Q10, 0)</f>
        <v>0</v>
      </c>
    </row>
    <row r="17" spans="1:17" x14ac:dyDescent="0.3">
      <c r="A17" s="5"/>
      <c r="B17" s="6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</row>
    <row r="18" spans="1:17" s="15" customFormat="1" x14ac:dyDescent="0.3">
      <c r="A18" s="6"/>
      <c r="B18" s="16" t="s">
        <v>255</v>
      </c>
      <c r="C18" s="6"/>
      <c r="D18" s="13">
        <f>SUM(OSRRefD20x_0)</f>
        <v>1000.91</v>
      </c>
      <c r="E18" s="13">
        <f>SUM(OSRRefE20x_0)</f>
        <v>1001</v>
      </c>
      <c r="F18" s="13">
        <f>SUM(OSRRefE20x_1)</f>
        <v>1001</v>
      </c>
      <c r="G18" s="13">
        <f>SUM(OSRRefE20x_2)</f>
        <v>1001</v>
      </c>
      <c r="H18" s="13">
        <f>SUM(OSRRefE20x_3)</f>
        <v>1001</v>
      </c>
      <c r="I18" s="13">
        <f>SUM(OSRRefE20x_4)</f>
        <v>1001</v>
      </c>
      <c r="J18" s="13">
        <f>SUM(OSRRefE20x_5)</f>
        <v>1001</v>
      </c>
      <c r="K18" s="13">
        <f>SUM(OSRRefE20x_6)</f>
        <v>1001</v>
      </c>
      <c r="L18" s="13">
        <f>SUM(OSRRefE20x_7)</f>
        <v>1001</v>
      </c>
      <c r="M18" s="13">
        <f>SUM(OSRRefE20x_8)</f>
        <v>1001</v>
      </c>
      <c r="N18" s="13">
        <f>SUM(OSRRefE20x_9)</f>
        <v>1001</v>
      </c>
      <c r="O18" s="13">
        <f>SUM(OSRRefE20x_10)</f>
        <v>1001</v>
      </c>
      <c r="Q18" s="13">
        <f>SUM(OSRRefG20x)</f>
        <v>12011.91</v>
      </c>
    </row>
    <row r="19" spans="1:17" s="34" customFormat="1" collapsed="1" x14ac:dyDescent="0.3">
      <c r="A19" s="35"/>
      <c r="B19" s="14" t="str">
        <f>CONCATENATE("     ","Depreciation                                      ")</f>
        <v xml:space="preserve">     Depreciation                                      </v>
      </c>
      <c r="C19" s="14"/>
      <c r="D19" s="1">
        <f>SUM(OSRRefD21_0x_0)</f>
        <v>1000.91</v>
      </c>
      <c r="E19" s="1">
        <f>SUM(OSRRefE21_0x_0)</f>
        <v>1001</v>
      </c>
      <c r="F19" s="1">
        <f>SUM(OSRRefE21_0x_1)</f>
        <v>1001</v>
      </c>
      <c r="G19" s="1">
        <f>SUM(OSRRefE21_0x_2)</f>
        <v>1001</v>
      </c>
      <c r="H19" s="1">
        <f>SUM(OSRRefE21_0x_3)</f>
        <v>1001</v>
      </c>
      <c r="I19" s="1">
        <f>SUM(OSRRefE21_0x_4)</f>
        <v>1001</v>
      </c>
      <c r="J19" s="1">
        <f>SUM(OSRRefE21_0x_5)</f>
        <v>1001</v>
      </c>
      <c r="K19" s="1">
        <f>SUM(OSRRefE21_0x_6)</f>
        <v>1001</v>
      </c>
      <c r="L19" s="1">
        <f>SUM(OSRRefE21_0x_7)</f>
        <v>1001</v>
      </c>
      <c r="M19" s="1">
        <f>SUM(OSRRefE21_0x_8)</f>
        <v>1001</v>
      </c>
      <c r="N19" s="1">
        <f>SUM(OSRRefE21_0x_9)</f>
        <v>1001</v>
      </c>
      <c r="O19" s="1">
        <f>SUM(OSRRefE21_0x_10)</f>
        <v>1001</v>
      </c>
      <c r="Q19" s="2">
        <f>SUM(OSRRefD20_0x)+IFERROR(SUM(OSRRefE20_0x),0)</f>
        <v>12011.91</v>
      </c>
    </row>
    <row r="20" spans="1:17" s="34" customFormat="1" hidden="1" outlineLevel="1" x14ac:dyDescent="0.3">
      <c r="A20" s="35"/>
      <c r="B20" s="10" t="str">
        <f>CONCATENATE("          ","6322", " - ","EQUIPMENT DEPRECIATION EXPENSE")</f>
        <v xml:space="preserve">          6322 - EQUIPMENT DEPRECIATION EXPENSE</v>
      </c>
      <c r="C20" s="14"/>
      <c r="D20" s="2">
        <v>1000.91</v>
      </c>
      <c r="E20" s="2">
        <v>1001</v>
      </c>
      <c r="F20" s="2">
        <v>1001</v>
      </c>
      <c r="G20" s="2">
        <v>1001</v>
      </c>
      <c r="H20" s="2">
        <v>1001</v>
      </c>
      <c r="I20" s="2">
        <v>1001</v>
      </c>
      <c r="J20" s="2">
        <v>1001</v>
      </c>
      <c r="K20" s="2">
        <v>1001</v>
      </c>
      <c r="L20" s="2">
        <v>1001</v>
      </c>
      <c r="M20" s="2">
        <v>1001</v>
      </c>
      <c r="N20" s="2">
        <v>1001</v>
      </c>
      <c r="O20" s="2">
        <v>1001</v>
      </c>
      <c r="P20" s="9"/>
      <c r="Q20" s="2">
        <f>SUM(OSRRefD21_0_0x)+IFERROR(SUM(OSRRefE21_0_0x),0)</f>
        <v>12011.91</v>
      </c>
    </row>
    <row r="21" spans="1:17" s="28" customFormat="1" x14ac:dyDescent="0.3">
      <c r="A21" s="21"/>
      <c r="B21" s="21"/>
      <c r="C21" s="2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Q21" s="1"/>
    </row>
    <row r="22" spans="1:17" s="9" customFormat="1" x14ac:dyDescent="0.3">
      <c r="A22" s="22"/>
      <c r="B22" s="16" t="s">
        <v>293</v>
      </c>
      <c r="C22" s="23"/>
      <c r="D22" s="3">
        <f>0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Q22" s="2">
        <f>SUM(OSRRefD23_0x)+IFERROR(SUM(OSRRefE23_0x),0)</f>
        <v>0</v>
      </c>
    </row>
    <row r="23" spans="1:17" x14ac:dyDescent="0.3">
      <c r="A23" s="5"/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</row>
    <row r="24" spans="1:17" s="15" customFormat="1" x14ac:dyDescent="0.3">
      <c r="A24" s="6"/>
      <c r="B24" s="17" t="s">
        <v>276</v>
      </c>
      <c r="C24" s="17"/>
      <c r="D24" s="8">
        <f t="shared" ref="D24:O24" si="3">IFERROR(+D15-D18+D22, 0)</f>
        <v>33.82000000000005</v>
      </c>
      <c r="E24" s="8">
        <f t="shared" si="3"/>
        <v>-1001</v>
      </c>
      <c r="F24" s="8">
        <f t="shared" si="3"/>
        <v>-1001</v>
      </c>
      <c r="G24" s="8">
        <f t="shared" si="3"/>
        <v>-1001</v>
      </c>
      <c r="H24" s="8">
        <f t="shared" si="3"/>
        <v>-1001</v>
      </c>
      <c r="I24" s="8">
        <f t="shared" si="3"/>
        <v>-1001</v>
      </c>
      <c r="J24" s="8">
        <f t="shared" si="3"/>
        <v>-1001</v>
      </c>
      <c r="K24" s="8">
        <f t="shared" si="3"/>
        <v>-1001</v>
      </c>
      <c r="L24" s="8">
        <f t="shared" si="3"/>
        <v>-1001</v>
      </c>
      <c r="M24" s="8">
        <f t="shared" si="3"/>
        <v>-1001</v>
      </c>
      <c r="N24" s="8">
        <f t="shared" si="3"/>
        <v>-1001</v>
      </c>
      <c r="O24" s="8">
        <f t="shared" si="3"/>
        <v>-1001</v>
      </c>
      <c r="Q24" s="8">
        <f>IFERROR(+Q15-Q18+Q22, 0)</f>
        <v>-10977.18</v>
      </c>
    </row>
    <row r="25" spans="1:17" s="6" customFormat="1" x14ac:dyDescent="0.3">
      <c r="B25" s="16"/>
      <c r="C25" s="16"/>
      <c r="D25" s="4">
        <f t="shared" ref="D25:O25" si="4">IFERROR(D24/D10, 0)</f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 t="shared" si="4"/>
        <v>0</v>
      </c>
      <c r="P25" s="18"/>
      <c r="Q25" s="4">
        <f>IFERROR(Q24/Q10, 0)</f>
        <v>0</v>
      </c>
    </row>
    <row r="26" spans="1:17" x14ac:dyDescent="0.3">
      <c r="A26" s="5"/>
      <c r="B26" s="6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</row>
    <row r="27" spans="1:17" s="15" customFormat="1" x14ac:dyDescent="0.3">
      <c r="A27" s="25"/>
      <c r="B27" s="6" t="s">
        <v>125</v>
      </c>
      <c r="C27" s="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2">
        <f>SUM(OSRRefD28_0x)+IFERROR(SUM(OSRRefE28_0x),0)</f>
        <v>0</v>
      </c>
    </row>
    <row r="28" spans="1:17" x14ac:dyDescent="0.3">
      <c r="A28" s="5"/>
      <c r="B28" s="6"/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</row>
    <row r="29" spans="1:17" s="15" customFormat="1" ht="15" thickBot="1" x14ac:dyDescent="0.35">
      <c r="A29" s="6"/>
      <c r="B29" s="17" t="s">
        <v>124</v>
      </c>
      <c r="C29" s="17"/>
      <c r="D29" s="7">
        <f t="shared" ref="D29:O29" si="5">IFERROR(+D24-D27, 0)</f>
        <v>33.82000000000005</v>
      </c>
      <c r="E29" s="7">
        <f t="shared" si="5"/>
        <v>-1001</v>
      </c>
      <c r="F29" s="7">
        <f t="shared" si="5"/>
        <v>-1001</v>
      </c>
      <c r="G29" s="7">
        <f t="shared" si="5"/>
        <v>-1001</v>
      </c>
      <c r="H29" s="7">
        <f t="shared" si="5"/>
        <v>-1001</v>
      </c>
      <c r="I29" s="7">
        <f t="shared" si="5"/>
        <v>-1001</v>
      </c>
      <c r="J29" s="7">
        <f t="shared" si="5"/>
        <v>-1001</v>
      </c>
      <c r="K29" s="7">
        <f t="shared" si="5"/>
        <v>-1001</v>
      </c>
      <c r="L29" s="7">
        <f t="shared" si="5"/>
        <v>-1001</v>
      </c>
      <c r="M29" s="7">
        <f t="shared" si="5"/>
        <v>-1001</v>
      </c>
      <c r="N29" s="7">
        <f t="shared" si="5"/>
        <v>-1001</v>
      </c>
      <c r="O29" s="7">
        <f t="shared" si="5"/>
        <v>-1001</v>
      </c>
      <c r="Q29" s="7">
        <f>IFERROR(+Q24-Q27, 0)</f>
        <v>-10977.18</v>
      </c>
    </row>
    <row r="30" spans="1:17" ht="15" thickTop="1" x14ac:dyDescent="0.3">
      <c r="A30" s="5"/>
      <c r="B30" s="5"/>
      <c r="C30" s="5"/>
      <c r="D30" s="4">
        <f t="shared" ref="D30:O30" si="6">IFERROR(D29/D10, 0)</f>
        <v>0</v>
      </c>
      <c r="E30" s="4">
        <f t="shared" si="6"/>
        <v>0</v>
      </c>
      <c r="F30" s="4">
        <f t="shared" si="6"/>
        <v>0</v>
      </c>
      <c r="G30" s="4">
        <f t="shared" si="6"/>
        <v>0</v>
      </c>
      <c r="H30" s="4">
        <f t="shared" si="6"/>
        <v>0</v>
      </c>
      <c r="I30" s="4">
        <f t="shared" si="6"/>
        <v>0</v>
      </c>
      <c r="J30" s="4">
        <f t="shared" si="6"/>
        <v>0</v>
      </c>
      <c r="K30" s="4">
        <f t="shared" si="6"/>
        <v>0</v>
      </c>
      <c r="L30" s="4">
        <f t="shared" si="6"/>
        <v>0</v>
      </c>
      <c r="M30" s="4">
        <f t="shared" si="6"/>
        <v>0</v>
      </c>
      <c r="N30" s="4">
        <f t="shared" si="6"/>
        <v>0</v>
      </c>
      <c r="O30" s="4">
        <f t="shared" si="6"/>
        <v>0</v>
      </c>
      <c r="P30" s="18"/>
      <c r="Q30" s="4">
        <f>IFERROR(Q29/Q10, 0)</f>
        <v>0</v>
      </c>
    </row>
    <row r="31" spans="1:17" x14ac:dyDescent="0.3">
      <c r="A31" s="5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</row>
    <row r="32" spans="1:17" x14ac:dyDescent="0.3">
      <c r="A32" s="5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</row>
    <row r="33" spans="1:17" s="15" customFormat="1" ht="15" thickBot="1" x14ac:dyDescent="0.35">
      <c r="A33" s="6"/>
      <c r="B33" s="17" t="s">
        <v>294</v>
      </c>
      <c r="C33" s="17"/>
      <c r="D33" s="7">
        <f t="shared" ref="D33:O33" si="7">IFERROR(SUM(D29:D32), 0)</f>
        <v>33.82000000000005</v>
      </c>
      <c r="E33" s="7">
        <f t="shared" si="7"/>
        <v>-1001</v>
      </c>
      <c r="F33" s="7">
        <f t="shared" si="7"/>
        <v>-1001</v>
      </c>
      <c r="G33" s="7">
        <f t="shared" si="7"/>
        <v>-1001</v>
      </c>
      <c r="H33" s="7">
        <f t="shared" si="7"/>
        <v>-1001</v>
      </c>
      <c r="I33" s="7">
        <f t="shared" si="7"/>
        <v>-1001</v>
      </c>
      <c r="J33" s="7">
        <f t="shared" si="7"/>
        <v>-1001</v>
      </c>
      <c r="K33" s="7">
        <f t="shared" si="7"/>
        <v>-1001</v>
      </c>
      <c r="L33" s="7">
        <f t="shared" si="7"/>
        <v>-1001</v>
      </c>
      <c r="M33" s="7">
        <f t="shared" si="7"/>
        <v>-1001</v>
      </c>
      <c r="N33" s="7">
        <f t="shared" si="7"/>
        <v>-1001</v>
      </c>
      <c r="O33" s="7">
        <f t="shared" si="7"/>
        <v>-1001</v>
      </c>
      <c r="Q33" s="7">
        <f>IFERROR(SUM(Q29:Q32), 0)</f>
        <v>-10977.18</v>
      </c>
    </row>
    <row r="34" spans="1:17" ht="15" thickTop="1" x14ac:dyDescent="0.3">
      <c r="A34" s="5"/>
      <c r="C34" s="5"/>
      <c r="D34" s="4">
        <f t="shared" ref="D34:O34" si="8">IFERROR(D33/D10, 0)</f>
        <v>0</v>
      </c>
      <c r="E34" s="4">
        <f t="shared" si="8"/>
        <v>0</v>
      </c>
      <c r="F34" s="4">
        <f t="shared" si="8"/>
        <v>0</v>
      </c>
      <c r="G34" s="4">
        <f t="shared" si="8"/>
        <v>0</v>
      </c>
      <c r="H34" s="4">
        <f t="shared" si="8"/>
        <v>0</v>
      </c>
      <c r="I34" s="4">
        <f t="shared" si="8"/>
        <v>0</v>
      </c>
      <c r="J34" s="4">
        <f t="shared" si="8"/>
        <v>0</v>
      </c>
      <c r="K34" s="4">
        <f t="shared" si="8"/>
        <v>0</v>
      </c>
      <c r="L34" s="4">
        <f t="shared" si="8"/>
        <v>0</v>
      </c>
      <c r="M34" s="4">
        <f t="shared" si="8"/>
        <v>0</v>
      </c>
      <c r="N34" s="4">
        <f t="shared" si="8"/>
        <v>0</v>
      </c>
      <c r="O34" s="4">
        <f t="shared" si="8"/>
        <v>0</v>
      </c>
      <c r="P34" s="18"/>
      <c r="Q34" s="4">
        <f>IFERROR(Q33/Q10, 0)</f>
        <v>0</v>
      </c>
    </row>
    <row r="35" spans="1:17" x14ac:dyDescent="0.3">
      <c r="A35" s="5"/>
      <c r="B35" s="30">
        <v>44462.678423958336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  <row r="36" spans="1:17" x14ac:dyDescent="0.3">
      <c r="A36" s="5"/>
      <c r="B36" s="31" t="s">
        <v>54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1"/>
    </row>
    <row r="37" spans="1:17" x14ac:dyDescent="0.3">
      <c r="A37" s="5"/>
      <c r="B37" s="2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</row>
    <row r="38" spans="1:17" x14ac:dyDescent="0.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92D050"/>
    <outlinePr summaryBelow="0" summaryRight="0"/>
    <pageSetUpPr fitToPage="1"/>
  </sheetPr>
  <dimension ref="A2:R35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","455", " - ", "Vending (old)")</f>
        <v>Department 455 - Vending (old)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 t="shared" ref="D17:O17" si="4">SUM(0)</f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  <c r="O17" s="13">
        <f t="shared" si="4"/>
        <v>0</v>
      </c>
      <c r="Q17" s="13">
        <f>SUM(0)</f>
        <v>0</v>
      </c>
    </row>
    <row r="18" spans="1:17" s="28" customFormat="1" x14ac:dyDescent="0.3">
      <c r="A18" s="21"/>
      <c r="B18" s="21"/>
      <c r="C18" s="2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</row>
    <row r="19" spans="1:17" s="9" customFormat="1" x14ac:dyDescent="0.3">
      <c r="A19" s="22"/>
      <c r="B19" s="16" t="s">
        <v>293</v>
      </c>
      <c r="C19" s="23"/>
      <c r="D19" s="3">
        <f>--1238.12</f>
        <v>1238.1199999999999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2">
        <f>SUM(OSRRefD23_0x)+IFERROR(SUM(OSRRefE23_0x),0)</f>
        <v>1238.1199999999999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276</v>
      </c>
      <c r="C21" s="17"/>
      <c r="D21" s="8">
        <f t="shared" ref="D21:O21" si="5">IFERROR(+D14-D17+D19, 0)</f>
        <v>1238.1199999999999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8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  <c r="Q21" s="8">
        <f>IFERROR(+Q14-Q17+Q19, 0)</f>
        <v>1238.1199999999999</v>
      </c>
    </row>
    <row r="22" spans="1:17" s="6" customFormat="1" x14ac:dyDescent="0.3">
      <c r="B22" s="16"/>
      <c r="C22" s="16"/>
      <c r="D22" s="4">
        <f t="shared" ref="D22:O22" si="6">IFERROR(D21/D10, 0)</f>
        <v>0</v>
      </c>
      <c r="E22" s="4">
        <f t="shared" si="6"/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4">
        <f t="shared" si="6"/>
        <v>0</v>
      </c>
      <c r="K22" s="4">
        <f t="shared" si="6"/>
        <v>0</v>
      </c>
      <c r="L22" s="4">
        <f t="shared" si="6"/>
        <v>0</v>
      </c>
      <c r="M22" s="4">
        <f t="shared" si="6"/>
        <v>0</v>
      </c>
      <c r="N22" s="4">
        <f t="shared" si="6"/>
        <v>0</v>
      </c>
      <c r="O22" s="4">
        <f t="shared" si="6"/>
        <v>0</v>
      </c>
      <c r="P22" s="18"/>
      <c r="Q22" s="4">
        <f>IFERROR(Q21/Q10, 0)</f>
        <v>0</v>
      </c>
    </row>
    <row r="23" spans="1:17" x14ac:dyDescent="0.3">
      <c r="A23" s="5"/>
      <c r="B23" s="6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</row>
    <row r="24" spans="1:17" s="15" customFormat="1" x14ac:dyDescent="0.3">
      <c r="A24" s="25"/>
      <c r="B24" s="6" t="s">
        <v>125</v>
      </c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2">
        <f>SUM(OSRRefD28_0x)+IFERROR(SUM(OSRRefE28_0x),0)</f>
        <v>0</v>
      </c>
    </row>
    <row r="25" spans="1:17" x14ac:dyDescent="0.3">
      <c r="A25" s="5"/>
      <c r="B25" s="6"/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</row>
    <row r="26" spans="1:17" s="15" customFormat="1" ht="15" thickBot="1" x14ac:dyDescent="0.35">
      <c r="A26" s="6"/>
      <c r="B26" s="17" t="s">
        <v>124</v>
      </c>
      <c r="C26" s="17"/>
      <c r="D26" s="7">
        <f t="shared" ref="D26:O26" si="7">IFERROR(+D21-D24, 0)</f>
        <v>1238.1199999999999</v>
      </c>
      <c r="E26" s="7">
        <f t="shared" si="7"/>
        <v>0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Q26" s="7">
        <f>IFERROR(+Q21-Q24, 0)</f>
        <v>1238.1199999999999</v>
      </c>
    </row>
    <row r="27" spans="1:17" ht="15" thickTop="1" x14ac:dyDescent="0.3">
      <c r="A27" s="5"/>
      <c r="B27" s="5"/>
      <c r="C27" s="5"/>
      <c r="D27" s="4">
        <f t="shared" ref="D27:O27" si="8">IFERROR(D26/D10, 0)</f>
        <v>0</v>
      </c>
      <c r="E27" s="4">
        <f t="shared" si="8"/>
        <v>0</v>
      </c>
      <c r="F27" s="4">
        <f t="shared" si="8"/>
        <v>0</v>
      </c>
      <c r="G27" s="4">
        <f t="shared" si="8"/>
        <v>0</v>
      </c>
      <c r="H27" s="4">
        <f t="shared" si="8"/>
        <v>0</v>
      </c>
      <c r="I27" s="4">
        <f t="shared" si="8"/>
        <v>0</v>
      </c>
      <c r="J27" s="4">
        <f t="shared" si="8"/>
        <v>0</v>
      </c>
      <c r="K27" s="4">
        <f t="shared" si="8"/>
        <v>0</v>
      </c>
      <c r="L27" s="4">
        <f t="shared" si="8"/>
        <v>0</v>
      </c>
      <c r="M27" s="4">
        <f t="shared" si="8"/>
        <v>0</v>
      </c>
      <c r="N27" s="4">
        <f t="shared" si="8"/>
        <v>0</v>
      </c>
      <c r="O27" s="4">
        <f t="shared" si="8"/>
        <v>0</v>
      </c>
      <c r="P27" s="18"/>
      <c r="Q27" s="4">
        <f>IFERROR(Q26/Q10, 0)</f>
        <v>0</v>
      </c>
    </row>
    <row r="28" spans="1:17" x14ac:dyDescent="0.3">
      <c r="A28" s="5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</row>
    <row r="29" spans="1:17" x14ac:dyDescent="0.3">
      <c r="A29" s="5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</row>
    <row r="30" spans="1:17" s="15" customFormat="1" ht="15" thickBot="1" x14ac:dyDescent="0.35">
      <c r="A30" s="6"/>
      <c r="B30" s="17" t="s">
        <v>294</v>
      </c>
      <c r="C30" s="17"/>
      <c r="D30" s="7">
        <f t="shared" ref="D30:O30" si="9">IFERROR(SUM(D26:D29), 0)</f>
        <v>1238.1199999999999</v>
      </c>
      <c r="E30" s="7">
        <f t="shared" si="9"/>
        <v>0</v>
      </c>
      <c r="F30" s="7">
        <f t="shared" si="9"/>
        <v>0</v>
      </c>
      <c r="G30" s="7">
        <f t="shared" si="9"/>
        <v>0</v>
      </c>
      <c r="H30" s="7">
        <f t="shared" si="9"/>
        <v>0</v>
      </c>
      <c r="I30" s="7">
        <f t="shared" si="9"/>
        <v>0</v>
      </c>
      <c r="J30" s="7">
        <f t="shared" si="9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</v>
      </c>
      <c r="O30" s="7">
        <f t="shared" si="9"/>
        <v>0</v>
      </c>
      <c r="Q30" s="7">
        <f>IFERROR(SUM(Q26:Q29), 0)</f>
        <v>1238.1199999999999</v>
      </c>
    </row>
    <row r="31" spans="1:17" ht="15" thickTop="1" x14ac:dyDescent="0.3">
      <c r="A31" s="5"/>
      <c r="C31" s="5"/>
      <c r="D31" s="4">
        <f t="shared" ref="D31:O31" si="10">IFERROR(D30/D10, 0)</f>
        <v>0</v>
      </c>
      <c r="E31" s="4">
        <f t="shared" si="10"/>
        <v>0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0</v>
      </c>
      <c r="J31" s="4">
        <f t="shared" si="10"/>
        <v>0</v>
      </c>
      <c r="K31" s="4">
        <f t="shared" si="10"/>
        <v>0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4">
        <f t="shared" si="10"/>
        <v>0</v>
      </c>
      <c r="P31" s="18"/>
      <c r="Q31" s="4">
        <f>IFERROR(Q30/Q10, 0)</f>
        <v>0</v>
      </c>
    </row>
    <row r="32" spans="1:17" x14ac:dyDescent="0.3">
      <c r="A32" s="5"/>
      <c r="B32" s="30">
        <v>44462.678423958336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Q32" s="11"/>
    </row>
    <row r="33" spans="1:17" x14ac:dyDescent="0.3">
      <c r="A33" s="5"/>
      <c r="B33" s="31" t="s">
        <v>54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Q33" s="11"/>
    </row>
    <row r="34" spans="1:17" x14ac:dyDescent="0.3">
      <c r="A34" s="5"/>
      <c r="B34" s="2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1"/>
    </row>
    <row r="35" spans="1:17" x14ac:dyDescent="0.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  <outlinePr summaryBelow="0" summaryRight="0"/>
    <pageSetUpPr fitToPage="1"/>
  </sheetPr>
  <dimension ref="A2:R108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181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22987.35</v>
      </c>
      <c r="E10" s="3">
        <f>SUM(OSRRefE11x_0)</f>
        <v>282240</v>
      </c>
      <c r="F10" s="3">
        <f>SUM(OSRRefE11x_1)</f>
        <v>1128960</v>
      </c>
      <c r="G10" s="3">
        <f>SUM(OSRRefE11x_2)</f>
        <v>1411200</v>
      </c>
      <c r="H10" s="3">
        <f>SUM(OSRRefE11x_3)</f>
        <v>806400</v>
      </c>
      <c r="I10" s="3">
        <f>SUM(OSRRefE11x_4)</f>
        <v>887040</v>
      </c>
      <c r="J10" s="3">
        <f>SUM(OSRRefE11x_5)</f>
        <v>443520</v>
      </c>
      <c r="K10" s="3">
        <f>SUM(OSRRefE11x_6)</f>
        <v>1128960</v>
      </c>
      <c r="L10" s="3">
        <f>SUM(OSRRefE11x_7)</f>
        <v>1088640</v>
      </c>
      <c r="M10" s="3">
        <f>SUM(OSRRefE11x_8)</f>
        <v>1088640</v>
      </c>
      <c r="N10" s="3">
        <f>SUM(OSRRefE11x_9)</f>
        <v>604800</v>
      </c>
      <c r="O10" s="3">
        <f>SUM(OSRRefE11x_10)</f>
        <v>0</v>
      </c>
      <c r="P10" s="24"/>
      <c r="Q10" s="3">
        <f>SUM(OSRRefG11x)</f>
        <v>8893387.3500000015</v>
      </c>
      <c r="R10" s="24"/>
    </row>
    <row r="11" spans="1:18" s="9" customFormat="1" hidden="1" outlineLevel="1" x14ac:dyDescent="0.3">
      <c r="A11" s="22"/>
      <c r="B11" s="10" t="str">
        <f>CONCATENATE("          ","4053", " - ","TAXABLE SALES-FOOD")</f>
        <v xml:space="preserve">          4053 - TAXABLE SALES-FOOD</v>
      </c>
      <c r="C11" s="23"/>
      <c r="D11" s="2">
        <f>--106.64</f>
        <v>106.64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>
        <f>SUM(OSRRefD11_0x)+IFERROR(SUM(OSRRefE11_0x),0)</f>
        <v>106.64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0</f>
        <v>0</v>
      </c>
      <c r="E12" s="2">
        <v>282240</v>
      </c>
      <c r="F12" s="2">
        <v>1128960</v>
      </c>
      <c r="G12" s="2">
        <v>1411200</v>
      </c>
      <c r="H12" s="2">
        <v>806400</v>
      </c>
      <c r="I12" s="2">
        <v>887040</v>
      </c>
      <c r="J12" s="2">
        <v>443520</v>
      </c>
      <c r="K12" s="2">
        <v>1128960</v>
      </c>
      <c r="L12" s="2">
        <v>1088640</v>
      </c>
      <c r="M12" s="2">
        <v>1088640</v>
      </c>
      <c r="N12" s="2">
        <v>604800</v>
      </c>
      <c r="O12" s="2"/>
      <c r="Q12" s="2">
        <f>SUM(OSRRefD11_1x)+IFERROR(SUM(OSRRefE11_1x),0)</f>
        <v>8870400</v>
      </c>
    </row>
    <row r="13" spans="1:18" s="9" customFormat="1" hidden="1" outlineLevel="1" x14ac:dyDescent="0.3">
      <c r="A13" s="22"/>
      <c r="B13" s="10" t="str">
        <f>CONCATENATE("          ","4151", " - ","NON-TAXABLE SALES-FOOD")</f>
        <v xml:space="preserve">          4151 - NON-TAXABLE SALES-FOOD</v>
      </c>
      <c r="C13" s="23"/>
      <c r="D13" s="2">
        <f>--19600</f>
        <v>19600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19600</v>
      </c>
    </row>
    <row r="14" spans="1:18" s="9" customFormat="1" hidden="1" outlineLevel="1" x14ac:dyDescent="0.3">
      <c r="A14" s="22"/>
      <c r="B14" s="10" t="str">
        <f>CONCATENATE("          ","4153", " - ","NON-TAXABLE SALES-FOOD")</f>
        <v xml:space="preserve">          4153 - NON-TAXABLE SALES-FOOD</v>
      </c>
      <c r="C14" s="23"/>
      <c r="D14" s="2">
        <f>--3280.71</f>
        <v>3280.71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3280.71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17128.84</v>
      </c>
      <c r="E16" s="3">
        <f>SUM(OSRRefE14x_0)</f>
        <v>144144</v>
      </c>
      <c r="F16" s="3">
        <f>SUM(OSRRefE14x_1)</f>
        <v>305602</v>
      </c>
      <c r="G16" s="3">
        <f>SUM(OSRRefE14x_2)</f>
        <v>369558</v>
      </c>
      <c r="H16" s="3">
        <f>SUM(OSRRefE14x_3)</f>
        <v>214416</v>
      </c>
      <c r="I16" s="3">
        <f>SUM(OSRRefE14x_4)</f>
        <v>253282</v>
      </c>
      <c r="J16" s="3">
        <f>SUM(OSRRefE14x_5)</f>
        <v>130363</v>
      </c>
      <c r="K16" s="3">
        <f>SUM(OSRRefE14x_6)</f>
        <v>291110</v>
      </c>
      <c r="L16" s="3">
        <f>SUM(OSRRefE14x_7)</f>
        <v>291406</v>
      </c>
      <c r="M16" s="3">
        <f>SUM(OSRRefE14x_8)</f>
        <v>291406</v>
      </c>
      <c r="N16" s="3">
        <f>SUM(OSRRefE14x_9)</f>
        <v>172611</v>
      </c>
      <c r="O16" s="3">
        <f>SUM(OSRRefE14x_10)</f>
        <v>0</v>
      </c>
      <c r="Q16" s="3">
        <f>SUM(OSRRefG14x)</f>
        <v>2481026.84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/>
      <c r="E17" s="2">
        <v>144144</v>
      </c>
      <c r="F17" s="2">
        <v>305602</v>
      </c>
      <c r="G17" s="2">
        <v>369558</v>
      </c>
      <c r="H17" s="2">
        <v>214416</v>
      </c>
      <c r="I17" s="2">
        <v>253282</v>
      </c>
      <c r="J17" s="2">
        <v>130363</v>
      </c>
      <c r="K17" s="2">
        <v>291110</v>
      </c>
      <c r="L17" s="2">
        <v>291406</v>
      </c>
      <c r="M17" s="2">
        <v>291406</v>
      </c>
      <c r="N17" s="2">
        <v>172611</v>
      </c>
      <c r="O17" s="2"/>
      <c r="Q17" s="2">
        <f>SUM(OSRRefD14_0x)+IFERROR(SUM(OSRRefE14_0x),0)</f>
        <v>2463898</v>
      </c>
    </row>
    <row r="18" spans="1:17" s="9" customFormat="1" hidden="1" outlineLevel="1" x14ac:dyDescent="0.3">
      <c r="A18" s="22"/>
      <c r="B18" s="10" t="str">
        <f>CONCATENATE("          ","5053", " - ","PURCHASES @ COST-FOOD")</f>
        <v xml:space="preserve">          5053 - PURCHASES @ COST-FOOD</v>
      </c>
      <c r="C18" s="23"/>
      <c r="D18" s="2">
        <v>17968.84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17968.84</v>
      </c>
    </row>
    <row r="19" spans="1:17" s="9" customFormat="1" hidden="1" outlineLevel="1" x14ac:dyDescent="0.3">
      <c r="A19" s="22"/>
      <c r="B19" s="10" t="str">
        <f>CONCATENATE("          ","5059", " - ","PURCHASES @ COST-FOOD")</f>
        <v xml:space="preserve">          5059 - PURCHASES @ COST-FOOD</v>
      </c>
      <c r="C19" s="23"/>
      <c r="D19" s="2">
        <v>-840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-840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105</v>
      </c>
      <c r="C21" s="17"/>
      <c r="D21" s="8">
        <f t="shared" ref="D21:O21" si="0">IFERROR(+D10-D16, 0)</f>
        <v>5858.5099999999984</v>
      </c>
      <c r="E21" s="8">
        <f t="shared" si="0"/>
        <v>138096</v>
      </c>
      <c r="F21" s="8">
        <f t="shared" si="0"/>
        <v>823358</v>
      </c>
      <c r="G21" s="8">
        <f t="shared" si="0"/>
        <v>1041642</v>
      </c>
      <c r="H21" s="8">
        <f t="shared" si="0"/>
        <v>591984</v>
      </c>
      <c r="I21" s="8">
        <f t="shared" si="0"/>
        <v>633758</v>
      </c>
      <c r="J21" s="8">
        <f t="shared" si="0"/>
        <v>313157</v>
      </c>
      <c r="K21" s="8">
        <f t="shared" si="0"/>
        <v>837850</v>
      </c>
      <c r="L21" s="8">
        <f t="shared" si="0"/>
        <v>797234</v>
      </c>
      <c r="M21" s="8">
        <f t="shared" si="0"/>
        <v>797234</v>
      </c>
      <c r="N21" s="8">
        <f t="shared" si="0"/>
        <v>432189</v>
      </c>
      <c r="O21" s="8">
        <f t="shared" si="0"/>
        <v>0</v>
      </c>
      <c r="Q21" s="8">
        <f>IFERROR(+Q10-Q16, 0)</f>
        <v>6412360.5100000016</v>
      </c>
    </row>
    <row r="22" spans="1:17" s="6" customFormat="1" x14ac:dyDescent="0.3">
      <c r="B22" s="16"/>
      <c r="C22" s="16"/>
      <c r="D22" s="4">
        <f t="shared" ref="D22:O22" si="1">IFERROR(D21/D10, 0)</f>
        <v>0.25485799798584868</v>
      </c>
      <c r="E22" s="4">
        <f t="shared" si="1"/>
        <v>0.48928571428571427</v>
      </c>
      <c r="F22" s="4">
        <f t="shared" si="1"/>
        <v>0.72930661848072564</v>
      </c>
      <c r="G22" s="4">
        <f t="shared" si="1"/>
        <v>0.73812500000000003</v>
      </c>
      <c r="H22" s="4">
        <f t="shared" si="1"/>
        <v>0.73410714285714285</v>
      </c>
      <c r="I22" s="4">
        <f t="shared" si="1"/>
        <v>0.71446383477633479</v>
      </c>
      <c r="J22" s="4">
        <f t="shared" si="1"/>
        <v>0.70607187950937955</v>
      </c>
      <c r="K22" s="4">
        <f t="shared" si="1"/>
        <v>0.74214321145124718</v>
      </c>
      <c r="L22" s="4">
        <f t="shared" si="1"/>
        <v>0.73232106114050555</v>
      </c>
      <c r="M22" s="4">
        <f t="shared" si="1"/>
        <v>0.73232106114050555</v>
      </c>
      <c r="N22" s="4">
        <f t="shared" si="1"/>
        <v>0.71459821428571424</v>
      </c>
      <c r="O22" s="4">
        <f t="shared" si="1"/>
        <v>0</v>
      </c>
      <c r="P22" s="18"/>
      <c r="Q22" s="4">
        <f>IFERROR(Q21/Q10, 0)</f>
        <v>0.72102566296069415</v>
      </c>
    </row>
    <row r="23" spans="1:17" x14ac:dyDescent="0.3">
      <c r="A23" s="5"/>
      <c r="B23" s="6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</row>
    <row r="24" spans="1:17" s="15" customFormat="1" x14ac:dyDescent="0.3">
      <c r="A24" s="6"/>
      <c r="B24" s="16" t="s">
        <v>255</v>
      </c>
      <c r="C24" s="6"/>
      <c r="D24" s="13">
        <f>SUM(OSRRefD20x_0)</f>
        <v>194629.89</v>
      </c>
      <c r="E24" s="13">
        <f>SUM(OSRRefE20x_0)</f>
        <v>412805.86582506605</v>
      </c>
      <c r="F24" s="13">
        <f>SUM(OSRRefE20x_1)</f>
        <v>556968.83232506597</v>
      </c>
      <c r="G24" s="13">
        <f>SUM(OSRRefE20x_2)</f>
        <v>663995.54040633258</v>
      </c>
      <c r="H24" s="13">
        <f>SUM(OSRRefE20x_3)</f>
        <v>512180.19232506602</v>
      </c>
      <c r="I24" s="13">
        <f>SUM(OSRRefE20x_4)</f>
        <v>503158.27232506603</v>
      </c>
      <c r="J24" s="13">
        <f>SUM(OSRRefE20x_5)</f>
        <v>504909.95429658255</v>
      </c>
      <c r="K24" s="13">
        <f>SUM(OSRRefE20x_6)</f>
        <v>562773.47823726607</v>
      </c>
      <c r="L24" s="13">
        <f>SUM(OSRRefE20x_7)</f>
        <v>558082.47823726607</v>
      </c>
      <c r="M24" s="13">
        <f>SUM(OSRRefE20x_8)</f>
        <v>616510.01829658262</v>
      </c>
      <c r="N24" s="13">
        <f>SUM(OSRRefE20x_9)</f>
        <v>432654.93823726603</v>
      </c>
      <c r="O24" s="13">
        <f>SUM(OSRRefE20x_10)</f>
        <v>278265.06823726604</v>
      </c>
      <c r="Q24" s="13">
        <f>SUM(OSRRefG20x)</f>
        <v>5796934.5287488261</v>
      </c>
    </row>
    <row r="25" spans="1:17" s="34" customFormat="1" collapsed="1" x14ac:dyDescent="0.3">
      <c r="A25" s="35"/>
      <c r="B25" s="14" t="str">
        <f>CONCATENATE("     ","*Benefits                                         ")</f>
        <v xml:space="preserve">     *Benefits                                         </v>
      </c>
      <c r="C25" s="14"/>
      <c r="D25" s="1">
        <f>SUM(OSRRefD21_0x_0)</f>
        <v>67799.51999999999</v>
      </c>
      <c r="E25" s="1">
        <f>SUM(OSRRefE21_0x_0)</f>
        <v>105198.40387121995</v>
      </c>
      <c r="F25" s="1">
        <f>SUM(OSRRefE21_0x_1)</f>
        <v>108046.49037121993</v>
      </c>
      <c r="G25" s="1">
        <f>SUM(OSRRefE21_0x_2)</f>
        <v>130309.11296402503</v>
      </c>
      <c r="H25" s="1">
        <f>SUM(OSRRefE21_0x_3)</f>
        <v>107039.99537121993</v>
      </c>
      <c r="I25" s="1">
        <f>SUM(OSRRefE21_0x_4)</f>
        <v>106007.63537121993</v>
      </c>
      <c r="J25" s="1">
        <f>SUM(OSRRefE21_0x_5)</f>
        <v>124537.751104275</v>
      </c>
      <c r="K25" s="1">
        <f>SUM(OSRRefE21_0x_6)</f>
        <v>108635.02928341995</v>
      </c>
      <c r="L25" s="1">
        <f>SUM(OSRRefE21_0x_7)</f>
        <v>108635.02928341995</v>
      </c>
      <c r="M25" s="1">
        <f>SUM(OSRRefE21_0x_8)</f>
        <v>128675.56310427502</v>
      </c>
      <c r="N25" s="1">
        <f>SUM(OSRRefE21_0x_9)</f>
        <v>102294.70128341994</v>
      </c>
      <c r="O25" s="1">
        <f>SUM(OSRRefE21_0x_10)</f>
        <v>95598.633283419957</v>
      </c>
      <c r="Q25" s="2">
        <f>SUM(OSRRefD20_0x)+IFERROR(SUM(OSRRefE20_0x),0)</f>
        <v>1292777.8652911347</v>
      </c>
    </row>
    <row r="26" spans="1:17" s="34" customFormat="1" hidden="1" outlineLevel="1" x14ac:dyDescent="0.3">
      <c r="A26" s="35"/>
      <c r="B26" s="10" t="str">
        <f>CONCATENATE("          ","6111", " - ","F.I.C.A.")</f>
        <v xml:space="preserve">          6111 - F.I.C.A.</v>
      </c>
      <c r="C26" s="14"/>
      <c r="D26" s="2">
        <v>6629.57</v>
      </c>
      <c r="E26" s="2">
        <v>14206.815869681501</v>
      </c>
      <c r="F26" s="2">
        <v>11608.6223696815</v>
      </c>
      <c r="G26" s="2">
        <v>14510.7779621019</v>
      </c>
      <c r="H26" s="2">
        <v>11608.6223696815</v>
      </c>
      <c r="I26" s="2">
        <v>11608.6223696815</v>
      </c>
      <c r="J26" s="2">
        <v>14536.486302351899</v>
      </c>
      <c r="K26" s="2">
        <v>11629.1890418815</v>
      </c>
      <c r="L26" s="2">
        <v>11629.1890418815</v>
      </c>
      <c r="M26" s="2">
        <v>14536.486302351899</v>
      </c>
      <c r="N26" s="2">
        <v>10848.5830418815</v>
      </c>
      <c r="O26" s="2">
        <v>10067.977041881501</v>
      </c>
      <c r="P26" s="9"/>
      <c r="Q26" s="2">
        <f>SUM(OSRRefD21_0_0x)+IFERROR(SUM(OSRRefE21_0_0x),0)</f>
        <v>143420.94171305772</v>
      </c>
    </row>
    <row r="27" spans="1:17" s="34" customFormat="1" hidden="1" outlineLevel="1" x14ac:dyDescent="0.3">
      <c r="A27" s="35"/>
      <c r="B27" s="10" t="str">
        <f>CONCATENATE("          ","6112", " - ","COMPENSATION INSURANCE")</f>
        <v xml:space="preserve">          6112 - COMPENSATION INSURANCE</v>
      </c>
      <c r="C27" s="14"/>
      <c r="D27" s="2">
        <v>3112.97</v>
      </c>
      <c r="E27" s="2">
        <v>8130.6571522923095</v>
      </c>
      <c r="F27" s="2">
        <v>11079.4287522923</v>
      </c>
      <c r="G27" s="2">
        <v>13728.9534403654</v>
      </c>
      <c r="H27" s="2">
        <v>10534.483602292299</v>
      </c>
      <c r="I27" s="2">
        <v>9975.5344022923091</v>
      </c>
      <c r="J27" s="2">
        <v>10570.9747878654</v>
      </c>
      <c r="K27" s="2">
        <v>11371.521778292299</v>
      </c>
      <c r="L27" s="2">
        <v>11371.521778292299</v>
      </c>
      <c r="M27" s="2">
        <v>12811.3044278654</v>
      </c>
      <c r="N27" s="2">
        <v>8361.3294382923104</v>
      </c>
      <c r="O27" s="2">
        <v>5158.5292982923102</v>
      </c>
      <c r="P27" s="9"/>
      <c r="Q27" s="2">
        <f>SUM(OSRRefD21_0_1x)+IFERROR(SUM(OSRRefE21_0_1x),0)</f>
        <v>116207.20885843463</v>
      </c>
    </row>
    <row r="28" spans="1:17" s="34" customFormat="1" hidden="1" outlineLevel="1" x14ac:dyDescent="0.3">
      <c r="A28" s="35"/>
      <c r="B28" s="10" t="str">
        <f>CONCATENATE("          ","6113", " - ","GROUP INSURANCE")</f>
        <v xml:space="preserve">          6113 - GROUP INSURANCE</v>
      </c>
      <c r="C28" s="14"/>
      <c r="D28" s="2">
        <v>40765.769999999997</v>
      </c>
      <c r="E28" s="2">
        <v>61886.692307692298</v>
      </c>
      <c r="F28" s="2">
        <v>61886.692307692298</v>
      </c>
      <c r="G28" s="2">
        <v>73881.615384615405</v>
      </c>
      <c r="H28" s="2">
        <v>61886.692307692298</v>
      </c>
      <c r="I28" s="2">
        <v>61886.692307692298</v>
      </c>
      <c r="J28" s="2">
        <v>73881.615384615405</v>
      </c>
      <c r="K28" s="2">
        <v>61886.692307692298</v>
      </c>
      <c r="L28" s="2">
        <v>61886.692307692298</v>
      </c>
      <c r="M28" s="2">
        <v>73881.615384615405</v>
      </c>
      <c r="N28" s="2">
        <v>61886.692307692298</v>
      </c>
      <c r="O28" s="2">
        <v>61886.692307692298</v>
      </c>
      <c r="P28" s="9"/>
      <c r="Q28" s="2">
        <f>SUM(OSRRefD21_0_2x)+IFERROR(SUM(OSRRefE21_0_2x),0)</f>
        <v>757504.15461538453</v>
      </c>
    </row>
    <row r="29" spans="1:17" s="34" customFormat="1" hidden="1" outlineLevel="1" x14ac:dyDescent="0.3">
      <c r="A29" s="35"/>
      <c r="B29" s="10" t="str">
        <f>CONCATENATE("          ","6114", " - ","STATE UNEMPLOYMENT INSURANCE")</f>
        <v xml:space="preserve">          6114 - STATE UNEMPLOYMENT INSURANCE</v>
      </c>
      <c r="C29" s="14"/>
      <c r="D29" s="2">
        <v>224.82</v>
      </c>
      <c r="E29" s="2">
        <v>450.51134616923099</v>
      </c>
      <c r="F29" s="2">
        <v>613.89974616923098</v>
      </c>
      <c r="G29" s="2">
        <v>760.70718271153896</v>
      </c>
      <c r="H29" s="2">
        <v>583.70489616923101</v>
      </c>
      <c r="I29" s="2">
        <v>552.73409616923095</v>
      </c>
      <c r="J29" s="2">
        <v>585.72683521153897</v>
      </c>
      <c r="K29" s="2">
        <v>630.08432016923098</v>
      </c>
      <c r="L29" s="2">
        <v>630.08432016923098</v>
      </c>
      <c r="M29" s="2">
        <v>709.86119521153898</v>
      </c>
      <c r="N29" s="2">
        <v>463.292660169231</v>
      </c>
      <c r="O29" s="2">
        <v>285.82880016923099</v>
      </c>
      <c r="P29" s="9"/>
      <c r="Q29" s="2">
        <f>SUM(OSRRefD21_0_3x)+IFERROR(SUM(OSRRefE21_0_3x),0)</f>
        <v>6491.2553984884635</v>
      </c>
    </row>
    <row r="30" spans="1:17" s="34" customFormat="1" hidden="1" outlineLevel="1" x14ac:dyDescent="0.3">
      <c r="A30" s="35"/>
      <c r="B30" s="10" t="str">
        <f>CONCATENATE("          ","6115", " - ","P.E.R.S.")</f>
        <v xml:space="preserve">          6115 - P.E.R.S.</v>
      </c>
      <c r="C30" s="14"/>
      <c r="D30" s="2">
        <v>3537.53</v>
      </c>
      <c r="E30" s="2">
        <v>3831.97668769231</v>
      </c>
      <c r="F30" s="2">
        <v>3831.97668769231</v>
      </c>
      <c r="G30" s="2">
        <v>4789.9708596153896</v>
      </c>
      <c r="H30" s="2">
        <v>3831.97668769231</v>
      </c>
      <c r="I30" s="2">
        <v>3831.97668769231</v>
      </c>
      <c r="J30" s="2">
        <v>4818.8604096153904</v>
      </c>
      <c r="K30" s="2">
        <v>3855.08832769231</v>
      </c>
      <c r="L30" s="2">
        <v>3855.08832769231</v>
      </c>
      <c r="M30" s="2">
        <v>4818.8604096153904</v>
      </c>
      <c r="N30" s="2">
        <v>3855.08832769231</v>
      </c>
      <c r="O30" s="2">
        <v>3855.08832769231</v>
      </c>
      <c r="P30" s="9"/>
      <c r="Q30" s="2">
        <f>SUM(OSRRefD21_0_4x)+IFERROR(SUM(OSRRefE21_0_4x),0)</f>
        <v>48713.481740384654</v>
      </c>
    </row>
    <row r="31" spans="1:17" s="34" customFormat="1" hidden="1" outlineLevel="1" x14ac:dyDescent="0.3">
      <c r="A31" s="35"/>
      <c r="B31" s="10" t="str">
        <f>CONCATENATE("          ","6116", " - ","EDUCATIONAL BENEFITS")</f>
        <v xml:space="preserve">          6116 - EDUCATIONAL BENEFITS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SUM(OSRRefD21_0_5x)+IFERROR(SUM(OSRRefE21_0_5x),0)</f>
        <v>0</v>
      </c>
    </row>
    <row r="32" spans="1:17" s="34" customFormat="1" hidden="1" outlineLevel="1" x14ac:dyDescent="0.3">
      <c r="A32" s="35"/>
      <c r="B32" s="10" t="str">
        <f>CONCATENATE("          ","6117", " - ","RETIREMENT STAFF HOURLY")</f>
        <v xml:space="preserve">          6117 - RETIREMENT STAFF HOURLY</v>
      </c>
      <c r="C32" s="14"/>
      <c r="D32" s="2">
        <v>1281.6400000000001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2">
        <f>SUM(OSRRefD21_0_6x)+IFERROR(SUM(OSRRefE21_0_6x),0)</f>
        <v>1281.6400000000001</v>
      </c>
    </row>
    <row r="33" spans="1:17" s="34" customFormat="1" hidden="1" outlineLevel="1" x14ac:dyDescent="0.3">
      <c r="A33" s="35"/>
      <c r="B33" s="10" t="str">
        <f>CONCATENATE("          ","6118", " - ","VACATION")</f>
        <v xml:space="preserve">          6118 - VACATION</v>
      </c>
      <c r="C33" s="14"/>
      <c r="D33" s="2">
        <v>6030.08</v>
      </c>
      <c r="E33" s="2">
        <v>5673.2032538461499</v>
      </c>
      <c r="F33" s="2">
        <v>5673.2032538461499</v>
      </c>
      <c r="G33" s="2">
        <v>7091.5040673076901</v>
      </c>
      <c r="H33" s="2">
        <v>5673.2032538461499</v>
      </c>
      <c r="I33" s="2">
        <v>5673.2032538461499</v>
      </c>
      <c r="J33" s="2">
        <v>7101.5818173076896</v>
      </c>
      <c r="K33" s="2">
        <v>5681.2654538461502</v>
      </c>
      <c r="L33" s="2">
        <v>5681.2654538461502</v>
      </c>
      <c r="M33" s="2">
        <v>7101.5818173076896</v>
      </c>
      <c r="N33" s="2">
        <v>5681.2654538461502</v>
      </c>
      <c r="O33" s="2">
        <v>5681.2654538461502</v>
      </c>
      <c r="P33" s="9"/>
      <c r="Q33" s="2">
        <f>SUM(OSRRefD21_0_7x)+IFERROR(SUM(OSRRefE21_0_7x),0)</f>
        <v>72742.622532692272</v>
      </c>
    </row>
    <row r="34" spans="1:17" s="34" customFormat="1" hidden="1" outlineLevel="1" x14ac:dyDescent="0.3">
      <c r="A34" s="35"/>
      <c r="B34" s="10" t="str">
        <f>CONCATENATE("          ","6119", " - ","SICK LEAVE")</f>
        <v xml:space="preserve">          6119 - SICK LEAVE</v>
      </c>
      <c r="C34" s="14"/>
      <c r="D34" s="2">
        <v>3948.81</v>
      </c>
      <c r="E34" s="2">
        <v>6818.5472538461499</v>
      </c>
      <c r="F34" s="2">
        <v>9152.6672538461498</v>
      </c>
      <c r="G34" s="2">
        <v>11345.5840673077</v>
      </c>
      <c r="H34" s="2">
        <v>8721.3122538461503</v>
      </c>
      <c r="I34" s="2">
        <v>8278.8722538461498</v>
      </c>
      <c r="J34" s="2">
        <v>8842.5055673076895</v>
      </c>
      <c r="K34" s="2">
        <v>9381.1880538461501</v>
      </c>
      <c r="L34" s="2">
        <v>9381.1880538461501</v>
      </c>
      <c r="M34" s="2">
        <v>10615.8535673077</v>
      </c>
      <c r="N34" s="2">
        <v>6998.4500538461498</v>
      </c>
      <c r="O34" s="2">
        <v>4463.2520538461504</v>
      </c>
      <c r="P34" s="9"/>
      <c r="Q34" s="2">
        <f>SUM(OSRRefD21_0_8x)+IFERROR(SUM(OSRRefE21_0_8x),0)</f>
        <v>97948.230432692289</v>
      </c>
    </row>
    <row r="35" spans="1:17" s="34" customFormat="1" hidden="1" outlineLevel="1" x14ac:dyDescent="0.3">
      <c r="A35" s="35"/>
      <c r="B35" s="10" t="str">
        <f>CONCATENATE("          ","6156", " - ","EMPLOYEE MEALS")</f>
        <v xml:space="preserve">          6156 - EMPLOYEE MEALS</v>
      </c>
      <c r="C35" s="14"/>
      <c r="D35" s="2">
        <v>2268.33</v>
      </c>
      <c r="E35" s="2">
        <v>4200</v>
      </c>
      <c r="F35" s="2">
        <v>4200</v>
      </c>
      <c r="G35" s="2">
        <v>4200</v>
      </c>
      <c r="H35" s="2">
        <v>4200</v>
      </c>
      <c r="I35" s="2">
        <v>4200</v>
      </c>
      <c r="J35" s="2">
        <v>4200</v>
      </c>
      <c r="K35" s="2">
        <v>4200</v>
      </c>
      <c r="L35" s="2">
        <v>4200</v>
      </c>
      <c r="M35" s="2">
        <v>4200</v>
      </c>
      <c r="N35" s="2">
        <v>4200</v>
      </c>
      <c r="O35" s="2">
        <v>4200</v>
      </c>
      <c r="P35" s="9"/>
      <c r="Q35" s="2">
        <f>SUM(OSRRefD21_0_9x)+IFERROR(SUM(OSRRefE21_0_9x),0)</f>
        <v>48468.33</v>
      </c>
    </row>
    <row r="36" spans="1:17" s="34" customFormat="1" collapsed="1" x14ac:dyDescent="0.3">
      <c r="A36" s="35"/>
      <c r="B36" s="14" t="str">
        <f>CONCATENATE("     ","*Payroll                                          ")</f>
        <v xml:space="preserve">     *Payroll                                          </v>
      </c>
      <c r="C36" s="14"/>
      <c r="D36" s="1">
        <f>SUM(OSRRefD21_1x_0)</f>
        <v>100195.54000000001</v>
      </c>
      <c r="E36" s="1">
        <f>SUM(OSRRefE21_1x_0)</f>
        <v>202763.4619538461</v>
      </c>
      <c r="F36" s="1">
        <f>SUM(OSRRefE21_1x_1)</f>
        <v>278644.3419538461</v>
      </c>
      <c r="G36" s="1">
        <f>SUM(OSRRefE21_1x_2)</f>
        <v>345094.42744230758</v>
      </c>
      <c r="H36" s="1">
        <f>SUM(OSRRefE21_1x_3)</f>
        <v>264697.19695384608</v>
      </c>
      <c r="I36" s="1">
        <f>SUM(OSRRefE21_1x_4)</f>
        <v>250391.63695384611</v>
      </c>
      <c r="J36" s="1">
        <f>SUM(OSRRefE21_1x_5)</f>
        <v>264300.20319230756</v>
      </c>
      <c r="K36" s="1">
        <f>SUM(OSRRefE21_1x_6)</f>
        <v>286151.44895384612</v>
      </c>
      <c r="L36" s="1">
        <f>SUM(OSRRefE21_1x_7)</f>
        <v>286151.44895384612</v>
      </c>
      <c r="M36" s="1">
        <f>SUM(OSRRefE21_1x_8)</f>
        <v>321638.45519230759</v>
      </c>
      <c r="N36" s="1">
        <f>SUM(OSRRefE21_1x_9)</f>
        <v>208691.23695384609</v>
      </c>
      <c r="O36" s="1">
        <f>SUM(OSRRefE21_1x_10)</f>
        <v>125964.4349538461</v>
      </c>
      <c r="Q36" s="2">
        <f>SUM(OSRRefD20_1x)+IFERROR(SUM(OSRRefE20_1x),0)</f>
        <v>2934683.8334576916</v>
      </c>
    </row>
    <row r="37" spans="1:17" s="34" customFormat="1" hidden="1" outlineLevel="1" x14ac:dyDescent="0.3">
      <c r="A37" s="35"/>
      <c r="B37" s="10" t="str">
        <f>CONCATENATE("          ","6001", " - ","ADMINISTRATIVE SALARIES")</f>
        <v xml:space="preserve">          6001 - ADMINISTRATIVE SALARIES</v>
      </c>
      <c r="C37" s="14"/>
      <c r="D37" s="2">
        <v>11199.54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SUM(OSRRefD21_1_0x)+IFERROR(SUM(OSRRefE21_1_0x),0)</f>
        <v>11199.54</v>
      </c>
    </row>
    <row r="38" spans="1:17" s="34" customFormat="1" hidden="1" outlineLevel="1" x14ac:dyDescent="0.3">
      <c r="A38" s="35"/>
      <c r="B38" s="10" t="str">
        <f>CONCATENATE("          ","6002", " - ","STAFF SALARIES")</f>
        <v xml:space="preserve">          6002 - STAFF SALARIES</v>
      </c>
      <c r="C38" s="14"/>
      <c r="D38" s="2">
        <v>35123.440000000002</v>
      </c>
      <c r="E38" s="2">
        <v>41973.976353846097</v>
      </c>
      <c r="F38" s="2">
        <v>41973.976353846097</v>
      </c>
      <c r="G38" s="2">
        <v>52467.470442307596</v>
      </c>
      <c r="H38" s="2">
        <v>41973.976353846097</v>
      </c>
      <c r="I38" s="2">
        <v>41973.976353846097</v>
      </c>
      <c r="J38" s="2">
        <v>52786.5991923076</v>
      </c>
      <c r="K38" s="2">
        <v>42229.279353846097</v>
      </c>
      <c r="L38" s="2">
        <v>42229.279353846097</v>
      </c>
      <c r="M38" s="2">
        <v>52786.5991923076</v>
      </c>
      <c r="N38" s="2">
        <v>42229.279353846097</v>
      </c>
      <c r="O38" s="2">
        <v>42229.279353846097</v>
      </c>
      <c r="P38" s="9"/>
      <c r="Q38" s="2">
        <f>SUM(OSRRefD21_1_1x)+IFERROR(SUM(OSRRefE21_1_1x),0)</f>
        <v>529977.13165769167</v>
      </c>
    </row>
    <row r="39" spans="1:17" s="34" customFormat="1" hidden="1" outlineLevel="1" x14ac:dyDescent="0.3">
      <c r="A39" s="35"/>
      <c r="B39" s="10" t="str">
        <f>CONCATENATE("          ","6003", " - ","STAFF HOURLY-9 MONTH")</f>
        <v xml:space="preserve">          6003 - STAFF HOURLY-9 MONTH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SUM(OSRRefD21_1_2x)+IFERROR(SUM(OSRRefE21_1_2x),0)</f>
        <v>0</v>
      </c>
    </row>
    <row r="40" spans="1:17" s="34" customFormat="1" hidden="1" outlineLevel="1" x14ac:dyDescent="0.3">
      <c r="A40" s="35"/>
      <c r="B40" s="10" t="str">
        <f>CONCATENATE("          ","6004", " - ","STAFF HOURLY")</f>
        <v xml:space="preserve">          6004 - STAFF HOURLY</v>
      </c>
      <c r="C40" s="14"/>
      <c r="D40" s="2">
        <v>38469.89</v>
      </c>
      <c r="E40" s="2">
        <v>89518.745599999995</v>
      </c>
      <c r="F40" s="2">
        <v>99718.745599999995</v>
      </c>
      <c r="G40" s="2">
        <v>124648.432</v>
      </c>
      <c r="H40" s="2">
        <v>99718.745599999995</v>
      </c>
      <c r="I40" s="2">
        <v>99718.745599999995</v>
      </c>
      <c r="J40" s="2">
        <v>124648.432</v>
      </c>
      <c r="K40" s="2">
        <v>99718.745599999995</v>
      </c>
      <c r="L40" s="2">
        <v>99718.745599999995</v>
      </c>
      <c r="M40" s="2">
        <v>124648.432</v>
      </c>
      <c r="N40" s="2">
        <v>89518.745599999995</v>
      </c>
      <c r="O40" s="2">
        <v>79318.745599999995</v>
      </c>
      <c r="P40" s="9"/>
      <c r="Q40" s="2">
        <f>SUM(OSRRefD21_1_3x)+IFERROR(SUM(OSRRefE21_1_3x),0)</f>
        <v>1169365.1507999999</v>
      </c>
    </row>
    <row r="41" spans="1:17" s="34" customFormat="1" hidden="1" outlineLevel="1" x14ac:dyDescent="0.3">
      <c r="A41" s="35"/>
      <c r="B41" s="10" t="str">
        <f>CONCATENATE("          ","6005", " - ","TEMPORARY WAGES-HOURLY")</f>
        <v xml:space="preserve">          6005 - TEMPORARY WAGES-HOURLY</v>
      </c>
      <c r="C41" s="14"/>
      <c r="D41" s="2">
        <v>4625.88</v>
      </c>
      <c r="E41" s="2">
        <v>14445.24</v>
      </c>
      <c r="F41" s="2">
        <v>25594.42</v>
      </c>
      <c r="G41" s="2">
        <v>33157.025000000001</v>
      </c>
      <c r="H41" s="2">
        <v>23380.395</v>
      </c>
      <c r="I41" s="2">
        <v>19583.814999999999</v>
      </c>
      <c r="J41" s="2">
        <v>18198.169999999998</v>
      </c>
      <c r="K41" s="2">
        <v>25594.42</v>
      </c>
      <c r="L41" s="2">
        <v>25594.42</v>
      </c>
      <c r="M41" s="2">
        <v>25594.42</v>
      </c>
      <c r="N41" s="2">
        <v>12021.21</v>
      </c>
      <c r="O41" s="2">
        <v>4416.41</v>
      </c>
      <c r="P41" s="9"/>
      <c r="Q41" s="2">
        <f>SUM(OSRRefD21_1_4x)+IFERROR(SUM(OSRRefE21_1_4x),0)</f>
        <v>232205.82499999995</v>
      </c>
    </row>
    <row r="42" spans="1:17" s="34" customFormat="1" hidden="1" outlineLevel="1" x14ac:dyDescent="0.3">
      <c r="A42" s="35"/>
      <c r="B42" s="10" t="str">
        <f>CONCATENATE("          ","6006", " - ","TEMPORARY PART TIME")</f>
        <v xml:space="preserve">          6006 - TEMPORARY PART TIME</v>
      </c>
      <c r="C42" s="14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9"/>
      <c r="Q42" s="2">
        <f>SUM(OSRRefD21_1_5x)+IFERROR(SUM(OSRRefE21_1_5x),0)</f>
        <v>0</v>
      </c>
    </row>
    <row r="43" spans="1:17" s="34" customFormat="1" hidden="1" outlineLevel="1" x14ac:dyDescent="0.3">
      <c r="A43" s="35"/>
      <c r="B43" s="10" t="str">
        <f>CONCATENATE("          ","6007", " - ","STUDENT HOURLY")</f>
        <v xml:space="preserve">          6007 - STUDENT HOURLY</v>
      </c>
      <c r="C43" s="14"/>
      <c r="D43" s="2">
        <v>10776.79</v>
      </c>
      <c r="E43" s="2">
        <v>42825.5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9"/>
      <c r="Q43" s="2">
        <f>SUM(OSRRefD21_1_6x)+IFERROR(SUM(OSRRefE21_1_6x),0)</f>
        <v>53602.29</v>
      </c>
    </row>
    <row r="44" spans="1:17" s="34" customFormat="1" hidden="1" outlineLevel="1" x14ac:dyDescent="0.3">
      <c r="A44" s="35"/>
      <c r="B44" s="10" t="str">
        <f>CONCATENATE("          ","6008", " - ","STUDENT HOURLY-FICA EXEMPT")</f>
        <v xml:space="preserve">          6008 - STUDENT HOURLY-FICA EXEMPT</v>
      </c>
      <c r="C44" s="14"/>
      <c r="D44" s="2"/>
      <c r="E44" s="2">
        <v>14000</v>
      </c>
      <c r="F44" s="2">
        <v>111357.2</v>
      </c>
      <c r="G44" s="2">
        <v>134821.5</v>
      </c>
      <c r="H44" s="2">
        <v>99624.08</v>
      </c>
      <c r="I44" s="2">
        <v>89115.1</v>
      </c>
      <c r="J44" s="2">
        <v>68667.001999999993</v>
      </c>
      <c r="K44" s="2">
        <v>118609.004</v>
      </c>
      <c r="L44" s="2">
        <v>118609.004</v>
      </c>
      <c r="M44" s="2">
        <v>118609.004</v>
      </c>
      <c r="N44" s="2">
        <v>64922.002</v>
      </c>
      <c r="O44" s="2">
        <v>0</v>
      </c>
      <c r="P44" s="9"/>
      <c r="Q44" s="2">
        <f>SUM(OSRRefD21_1_7x)+IFERROR(SUM(OSRRefE21_1_7x),0)</f>
        <v>938333.89599999983</v>
      </c>
    </row>
    <row r="45" spans="1:17" s="34" customFormat="1" hidden="1" outlineLevel="1" x14ac:dyDescent="0.3">
      <c r="A45" s="35"/>
      <c r="B45" s="10" t="str">
        <f>CONCATENATE("          ","6009", " - ","TEMPORARY-SEASONAL")</f>
        <v xml:space="preserve">          6009 - TEMPORARY-SEASONAL</v>
      </c>
      <c r="C45" s="14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9"/>
      <c r="Q45" s="2">
        <f>SUM(OSRRefD21_1_8x)+IFERROR(SUM(OSRRefE21_1_8x),0)</f>
        <v>0</v>
      </c>
    </row>
    <row r="46" spans="1:17" s="34" customFormat="1" hidden="1" outlineLevel="1" x14ac:dyDescent="0.3">
      <c r="A46" s="35"/>
      <c r="B46" s="10" t="str">
        <f>CONCATENATE("          ","6010", " - ","GRATUITY")</f>
        <v xml:space="preserve">          6010 - GRATUITY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9"/>
      <c r="Q46" s="2">
        <f>SUM(OSRRefD21_1_9x)+IFERROR(SUM(OSRRefE21_1_9x),0)</f>
        <v>0</v>
      </c>
    </row>
    <row r="47" spans="1:17" s="34" customFormat="1" collapsed="1" x14ac:dyDescent="0.3">
      <c r="A47" s="35"/>
      <c r="B47" s="14" t="str">
        <f>CONCATENATE("     ","Advertising/Promo                                 ")</f>
        <v xml:space="preserve">     Advertising/Promo                                 </v>
      </c>
      <c r="C47" s="14"/>
      <c r="D47" s="1">
        <f>SUM(OSRRefD21_2x_0)</f>
        <v>120.94</v>
      </c>
      <c r="E47" s="1">
        <f>SUM(OSRRefE21_2x_0)</f>
        <v>1688</v>
      </c>
      <c r="F47" s="1">
        <f>SUM(OSRRefE21_2x_1)</f>
        <v>1319</v>
      </c>
      <c r="G47" s="1">
        <f>SUM(OSRRefE21_2x_2)</f>
        <v>1319</v>
      </c>
      <c r="H47" s="1">
        <f>SUM(OSRRefE21_2x_3)</f>
        <v>1319</v>
      </c>
      <c r="I47" s="1">
        <f>SUM(OSRRefE21_2x_4)</f>
        <v>1319</v>
      </c>
      <c r="J47" s="1">
        <f>SUM(OSRRefE21_2x_5)</f>
        <v>1319</v>
      </c>
      <c r="K47" s="1">
        <f>SUM(OSRRefE21_2x_6)</f>
        <v>1319</v>
      </c>
      <c r="L47" s="1">
        <f>SUM(OSRRefE21_2x_7)</f>
        <v>1319</v>
      </c>
      <c r="M47" s="1">
        <f>SUM(OSRRefE21_2x_8)</f>
        <v>1319</v>
      </c>
      <c r="N47" s="1">
        <f>SUM(OSRRefE21_2x_9)</f>
        <v>1319</v>
      </c>
      <c r="O47" s="1">
        <f>SUM(OSRRefE21_2x_10)</f>
        <v>969</v>
      </c>
      <c r="Q47" s="2">
        <f>SUM(OSRRefD20_2x)+IFERROR(SUM(OSRRefE20_2x),0)</f>
        <v>14648.94</v>
      </c>
    </row>
    <row r="48" spans="1:17" s="34" customFormat="1" hidden="1" outlineLevel="1" x14ac:dyDescent="0.3">
      <c r="A48" s="35"/>
      <c r="B48" s="10" t="str">
        <f>CONCATENATE("          ","6362", " - ","ADVERTISING EXPENSE")</f>
        <v xml:space="preserve">          6362 - ADVERTISING EXPENSE</v>
      </c>
      <c r="C48" s="14"/>
      <c r="D48" s="2">
        <v>120.94</v>
      </c>
      <c r="E48" s="2">
        <v>1688</v>
      </c>
      <c r="F48" s="2">
        <v>1319</v>
      </c>
      <c r="G48" s="2">
        <v>1319</v>
      </c>
      <c r="H48" s="2">
        <v>1319</v>
      </c>
      <c r="I48" s="2">
        <v>1319</v>
      </c>
      <c r="J48" s="2">
        <v>1319</v>
      </c>
      <c r="K48" s="2">
        <v>1319</v>
      </c>
      <c r="L48" s="2">
        <v>1319</v>
      </c>
      <c r="M48" s="2">
        <v>1319</v>
      </c>
      <c r="N48" s="2">
        <v>1319</v>
      </c>
      <c r="O48" s="2">
        <v>969</v>
      </c>
      <c r="P48" s="9"/>
      <c r="Q48" s="2">
        <f>SUM(OSRRefD21_2_0x)+IFERROR(SUM(OSRRefE21_2_0x),0)</f>
        <v>14648.94</v>
      </c>
    </row>
    <row r="49" spans="1:17" s="34" customFormat="1" collapsed="1" x14ac:dyDescent="0.3">
      <c r="A49" s="35"/>
      <c r="B49" s="14" t="str">
        <f>CONCATENATE("     ","Bad Debts/Over/Short                              ")</f>
        <v xml:space="preserve">     Bad Debts/Over/Short                              </v>
      </c>
      <c r="C49" s="14"/>
      <c r="D49" s="1">
        <f>SUM(OSRRefD21_3x_0)</f>
        <v>0</v>
      </c>
      <c r="E49" s="1">
        <f>SUM(OSRRefE21_3x_0)</f>
        <v>33</v>
      </c>
      <c r="F49" s="1">
        <f>SUM(OSRRefE21_3x_1)</f>
        <v>33</v>
      </c>
      <c r="G49" s="1">
        <f>SUM(OSRRefE21_3x_2)</f>
        <v>33</v>
      </c>
      <c r="H49" s="1">
        <f>SUM(OSRRefE21_3x_3)</f>
        <v>33</v>
      </c>
      <c r="I49" s="1">
        <f>SUM(OSRRefE21_3x_4)</f>
        <v>33</v>
      </c>
      <c r="J49" s="1">
        <f>SUM(OSRRefE21_3x_5)</f>
        <v>33</v>
      </c>
      <c r="K49" s="1">
        <f>SUM(OSRRefE21_3x_6)</f>
        <v>33</v>
      </c>
      <c r="L49" s="1">
        <f>SUM(OSRRefE21_3x_7)</f>
        <v>33</v>
      </c>
      <c r="M49" s="1">
        <f>SUM(OSRRefE21_3x_8)</f>
        <v>33</v>
      </c>
      <c r="N49" s="1">
        <f>SUM(OSRRefE21_3x_9)</f>
        <v>33</v>
      </c>
      <c r="O49" s="1">
        <f>SUM(OSRRefE21_3x_10)</f>
        <v>15</v>
      </c>
      <c r="Q49" s="2">
        <f>SUM(OSRRefD20_3x)+IFERROR(SUM(OSRRefE20_3x),0)</f>
        <v>345</v>
      </c>
    </row>
    <row r="50" spans="1:17" s="34" customFormat="1" hidden="1" outlineLevel="1" x14ac:dyDescent="0.3">
      <c r="A50" s="35"/>
      <c r="B50" s="10" t="str">
        <f>CONCATENATE("          ","6272", " - ","CASH (OVER/SHORT)")</f>
        <v xml:space="preserve">          6272 - CASH (OVER/SHORT)</v>
      </c>
      <c r="C50" s="14"/>
      <c r="D50" s="2"/>
      <c r="E50" s="2">
        <v>33</v>
      </c>
      <c r="F50" s="2">
        <v>33</v>
      </c>
      <c r="G50" s="2">
        <v>33</v>
      </c>
      <c r="H50" s="2">
        <v>33</v>
      </c>
      <c r="I50" s="2">
        <v>33</v>
      </c>
      <c r="J50" s="2">
        <v>33</v>
      </c>
      <c r="K50" s="2">
        <v>33</v>
      </c>
      <c r="L50" s="2">
        <v>33</v>
      </c>
      <c r="M50" s="2">
        <v>33</v>
      </c>
      <c r="N50" s="2">
        <v>33</v>
      </c>
      <c r="O50" s="2">
        <v>15</v>
      </c>
      <c r="P50" s="9"/>
      <c r="Q50" s="2">
        <f>SUM(OSRRefD21_3_0x)+IFERROR(SUM(OSRRefE21_3_0x),0)</f>
        <v>345</v>
      </c>
    </row>
    <row r="51" spans="1:17" s="34" customFormat="1" collapsed="1" x14ac:dyDescent="0.3">
      <c r="A51" s="35"/>
      <c r="B51" s="14" t="str">
        <f>CONCATENATE("     ","Bank/card Fees                                    ")</f>
        <v xml:space="preserve">     Bank/card Fees                                    </v>
      </c>
      <c r="C51" s="14"/>
      <c r="D51" s="1">
        <f>SUM(OSRRefD21_4x_0)</f>
        <v>77.05</v>
      </c>
      <c r="E51" s="1">
        <f>SUM(OSRRefE21_4x_0)</f>
        <v>410</v>
      </c>
      <c r="F51" s="1">
        <f>SUM(OSRRefE21_4x_1)</f>
        <v>545</v>
      </c>
      <c r="G51" s="1">
        <f>SUM(OSRRefE21_4x_2)</f>
        <v>410</v>
      </c>
      <c r="H51" s="1">
        <f>SUM(OSRRefE21_4x_3)</f>
        <v>410</v>
      </c>
      <c r="I51" s="1">
        <f>SUM(OSRRefE21_4x_4)</f>
        <v>410</v>
      </c>
      <c r="J51" s="1">
        <f>SUM(OSRRefE21_4x_5)</f>
        <v>410</v>
      </c>
      <c r="K51" s="1">
        <f>SUM(OSRRefE21_4x_6)</f>
        <v>410</v>
      </c>
      <c r="L51" s="1">
        <f>SUM(OSRRefE21_4x_7)</f>
        <v>410</v>
      </c>
      <c r="M51" s="1">
        <f>SUM(OSRRefE21_4x_8)</f>
        <v>410</v>
      </c>
      <c r="N51" s="1">
        <f>SUM(OSRRefE21_4x_9)</f>
        <v>410</v>
      </c>
      <c r="O51" s="1">
        <f>SUM(OSRRefE21_4x_10)</f>
        <v>385</v>
      </c>
      <c r="Q51" s="2">
        <f>SUM(OSRRefD20_4x)+IFERROR(SUM(OSRRefE20_4x),0)</f>
        <v>4697.05</v>
      </c>
    </row>
    <row r="52" spans="1:17" s="34" customFormat="1" hidden="1" outlineLevel="1" x14ac:dyDescent="0.3">
      <c r="A52" s="35"/>
      <c r="B52" s="10" t="str">
        <f>CONCATENATE("          ","6381", " - ","BANK/CREDIT CARD FEES")</f>
        <v xml:space="preserve">          6381 - BANK/CREDIT CARD FEES</v>
      </c>
      <c r="C52" s="14"/>
      <c r="D52" s="2">
        <v>77.05</v>
      </c>
      <c r="E52" s="2">
        <v>410</v>
      </c>
      <c r="F52" s="2">
        <v>545</v>
      </c>
      <c r="G52" s="2">
        <v>410</v>
      </c>
      <c r="H52" s="2">
        <v>410</v>
      </c>
      <c r="I52" s="2">
        <v>410</v>
      </c>
      <c r="J52" s="2">
        <v>410</v>
      </c>
      <c r="K52" s="2">
        <v>410</v>
      </c>
      <c r="L52" s="2">
        <v>410</v>
      </c>
      <c r="M52" s="2">
        <v>410</v>
      </c>
      <c r="N52" s="2">
        <v>410</v>
      </c>
      <c r="O52" s="2">
        <v>385</v>
      </c>
      <c r="P52" s="9"/>
      <c r="Q52" s="2">
        <f>SUM(OSRRefD21_4_0x)+IFERROR(SUM(OSRRefE21_4_0x),0)</f>
        <v>4697.05</v>
      </c>
    </row>
    <row r="53" spans="1:17" s="34" customFormat="1" collapsed="1" x14ac:dyDescent="0.3">
      <c r="A53" s="35"/>
      <c r="B53" s="14" t="str">
        <f>CONCATENATE("     ","Depreciation                                      ")</f>
        <v xml:space="preserve">     Depreciation                                      </v>
      </c>
      <c r="C53" s="14"/>
      <c r="D53" s="1">
        <f>SUM(OSRRefD21_5x_0)</f>
        <v>760.04</v>
      </c>
      <c r="E53" s="1">
        <f>SUM(OSRRefE21_5x_0)</f>
        <v>486</v>
      </c>
      <c r="F53" s="1">
        <f>SUM(OSRRefE21_5x_1)</f>
        <v>486</v>
      </c>
      <c r="G53" s="1">
        <f>SUM(OSRRefE21_5x_2)</f>
        <v>486</v>
      </c>
      <c r="H53" s="1">
        <f>SUM(OSRRefE21_5x_3)</f>
        <v>486</v>
      </c>
      <c r="I53" s="1">
        <f>SUM(OSRRefE21_5x_4)</f>
        <v>486</v>
      </c>
      <c r="J53" s="1">
        <f>SUM(OSRRefE21_5x_5)</f>
        <v>486</v>
      </c>
      <c r="K53" s="1">
        <f>SUM(OSRRefE21_5x_6)</f>
        <v>486</v>
      </c>
      <c r="L53" s="1">
        <f>SUM(OSRRefE21_5x_7)</f>
        <v>486</v>
      </c>
      <c r="M53" s="1">
        <f>SUM(OSRRefE21_5x_8)</f>
        <v>486</v>
      </c>
      <c r="N53" s="1">
        <f>SUM(OSRRefE21_5x_9)</f>
        <v>486</v>
      </c>
      <c r="O53" s="1">
        <f>SUM(OSRRefE21_5x_10)</f>
        <v>486</v>
      </c>
      <c r="Q53" s="2">
        <f>SUM(OSRRefD20_5x)+IFERROR(SUM(OSRRefE20_5x),0)</f>
        <v>6106.04</v>
      </c>
    </row>
    <row r="54" spans="1:17" s="34" customFormat="1" hidden="1" outlineLevel="1" x14ac:dyDescent="0.3">
      <c r="A54" s="35"/>
      <c r="B54" s="10" t="str">
        <f>CONCATENATE("          ","6322", " - ","EQUIPMENT DEPRECIATION EXPENSE")</f>
        <v xml:space="preserve">          6322 - EQUIPMENT DEPRECIATION EXPENSE</v>
      </c>
      <c r="C54" s="14"/>
      <c r="D54" s="2">
        <v>760.04</v>
      </c>
      <c r="E54" s="2">
        <v>486</v>
      </c>
      <c r="F54" s="2">
        <v>486</v>
      </c>
      <c r="G54" s="2">
        <v>486</v>
      </c>
      <c r="H54" s="2">
        <v>486</v>
      </c>
      <c r="I54" s="2">
        <v>486</v>
      </c>
      <c r="J54" s="2">
        <v>486</v>
      </c>
      <c r="K54" s="2">
        <v>486</v>
      </c>
      <c r="L54" s="2">
        <v>486</v>
      </c>
      <c r="M54" s="2">
        <v>486</v>
      </c>
      <c r="N54" s="2">
        <v>486</v>
      </c>
      <c r="O54" s="2">
        <v>486</v>
      </c>
      <c r="P54" s="9"/>
      <c r="Q54" s="2">
        <f>SUM(OSRRefD21_5_0x)+IFERROR(SUM(OSRRefE21_5_0x),0)</f>
        <v>6106.04</v>
      </c>
    </row>
    <row r="55" spans="1:17" s="34" customFormat="1" collapsed="1" x14ac:dyDescent="0.3">
      <c r="A55" s="35"/>
      <c r="B55" s="14" t="str">
        <f>CONCATENATE("     ","Donations                                         ")</f>
        <v xml:space="preserve">     Donations                                         </v>
      </c>
      <c r="C55" s="14"/>
      <c r="D55" s="1">
        <f>SUM(OSRRefD21_6x_0)</f>
        <v>0</v>
      </c>
      <c r="E55" s="1">
        <f>SUM(OSRRefE21_6x_0)</f>
        <v>15500</v>
      </c>
      <c r="F55" s="1">
        <f>SUM(OSRRefE21_6x_1)</f>
        <v>15500</v>
      </c>
      <c r="G55" s="1">
        <f>SUM(OSRRefE21_6x_2)</f>
        <v>15500</v>
      </c>
      <c r="H55" s="1">
        <f>SUM(OSRRefE21_6x_3)</f>
        <v>15500</v>
      </c>
      <c r="I55" s="1">
        <f>SUM(OSRRefE21_6x_4)</f>
        <v>15500</v>
      </c>
      <c r="J55" s="1">
        <f>SUM(OSRRefE21_6x_5)</f>
        <v>15500</v>
      </c>
      <c r="K55" s="1">
        <f>SUM(OSRRefE21_6x_6)</f>
        <v>15500</v>
      </c>
      <c r="L55" s="1">
        <f>SUM(OSRRefE21_6x_7)</f>
        <v>15500</v>
      </c>
      <c r="M55" s="1">
        <f>SUM(OSRRefE21_6x_8)</f>
        <v>15500</v>
      </c>
      <c r="N55" s="1">
        <f>SUM(OSRRefE21_6x_9)</f>
        <v>15500</v>
      </c>
      <c r="O55" s="1">
        <f>SUM(OSRRefE21_6x_10)</f>
        <v>0</v>
      </c>
      <c r="Q55" s="2">
        <f>SUM(OSRRefD20_6x)+IFERROR(SUM(OSRRefE20_6x),0)</f>
        <v>155000</v>
      </c>
    </row>
    <row r="56" spans="1:17" s="34" customFormat="1" hidden="1" outlineLevel="1" x14ac:dyDescent="0.3">
      <c r="A56" s="35"/>
      <c r="B56" s="10" t="str">
        <f>CONCATENATE("          ","6399", " - ","DONATION-ON CAMPUS")</f>
        <v xml:space="preserve">          6399 - DONATION-ON CAMPUS</v>
      </c>
      <c r="C56" s="14"/>
      <c r="D56" s="2"/>
      <c r="E56" s="2">
        <v>15500</v>
      </c>
      <c r="F56" s="2">
        <v>15500</v>
      </c>
      <c r="G56" s="2">
        <v>15500</v>
      </c>
      <c r="H56" s="2">
        <v>15500</v>
      </c>
      <c r="I56" s="2">
        <v>15500</v>
      </c>
      <c r="J56" s="2">
        <v>15500</v>
      </c>
      <c r="K56" s="2">
        <v>15500</v>
      </c>
      <c r="L56" s="2">
        <v>15500</v>
      </c>
      <c r="M56" s="2">
        <v>15500</v>
      </c>
      <c r="N56" s="2">
        <v>15500</v>
      </c>
      <c r="O56" s="2"/>
      <c r="P56" s="9"/>
      <c r="Q56" s="2">
        <f>SUM(OSRRefD21_6_0x)+IFERROR(SUM(OSRRefE21_6_0x),0)</f>
        <v>155000</v>
      </c>
    </row>
    <row r="57" spans="1:17" s="34" customFormat="1" collapsed="1" x14ac:dyDescent="0.3">
      <c r="A57" s="35"/>
      <c r="B57" s="14" t="str">
        <f>CONCATENATE("     ","Employees' Appreciation                           ")</f>
        <v xml:space="preserve">     Employees' Appreciation                           </v>
      </c>
      <c r="C57" s="14"/>
      <c r="D57" s="1">
        <f>SUM(OSRRefD21_7x_0)</f>
        <v>0</v>
      </c>
      <c r="E57" s="1">
        <f>SUM(OSRRefE21_7x_0)</f>
        <v>200</v>
      </c>
      <c r="F57" s="1">
        <f>SUM(OSRRefE21_7x_1)</f>
        <v>400</v>
      </c>
      <c r="G57" s="1">
        <f>SUM(OSRRefE21_7x_2)</f>
        <v>200</v>
      </c>
      <c r="H57" s="1">
        <f>SUM(OSRRefE21_7x_3)</f>
        <v>200</v>
      </c>
      <c r="I57" s="1">
        <f>SUM(OSRRefE21_7x_4)</f>
        <v>500</v>
      </c>
      <c r="J57" s="1">
        <f>SUM(OSRRefE21_7x_5)</f>
        <v>200</v>
      </c>
      <c r="K57" s="1">
        <f>SUM(OSRRefE21_7x_6)</f>
        <v>200</v>
      </c>
      <c r="L57" s="1">
        <f>SUM(OSRRefE21_7x_7)</f>
        <v>200</v>
      </c>
      <c r="M57" s="1">
        <f>SUM(OSRRefE21_7x_8)</f>
        <v>200</v>
      </c>
      <c r="N57" s="1">
        <f>SUM(OSRRefE21_7x_9)</f>
        <v>400</v>
      </c>
      <c r="O57" s="1">
        <f>SUM(OSRRefE21_7x_10)</f>
        <v>200</v>
      </c>
      <c r="Q57" s="2">
        <f>SUM(OSRRefD20_7x)+IFERROR(SUM(OSRRefE20_7x),0)</f>
        <v>2900</v>
      </c>
    </row>
    <row r="58" spans="1:17" s="34" customFormat="1" hidden="1" outlineLevel="1" x14ac:dyDescent="0.3">
      <c r="A58" s="35"/>
      <c r="B58" s="10" t="str">
        <f>CONCATENATE("          ","6277", " - ","EMPLOYEE APPRECIATION")</f>
        <v xml:space="preserve">          6277 - EMPLOYEE APPRECIATION</v>
      </c>
      <c r="C58" s="14"/>
      <c r="D58" s="2"/>
      <c r="E58" s="2">
        <v>200</v>
      </c>
      <c r="F58" s="2">
        <v>400</v>
      </c>
      <c r="G58" s="2">
        <v>200</v>
      </c>
      <c r="H58" s="2">
        <v>200</v>
      </c>
      <c r="I58" s="2">
        <v>500</v>
      </c>
      <c r="J58" s="2">
        <v>200</v>
      </c>
      <c r="K58" s="2">
        <v>200</v>
      </c>
      <c r="L58" s="2">
        <v>200</v>
      </c>
      <c r="M58" s="2">
        <v>200</v>
      </c>
      <c r="N58" s="2">
        <v>400</v>
      </c>
      <c r="O58" s="2">
        <v>200</v>
      </c>
      <c r="P58" s="9"/>
      <c r="Q58" s="2">
        <f>SUM(OSRRefD21_7_0x)+IFERROR(SUM(OSRRefE21_7_0x),0)</f>
        <v>2900</v>
      </c>
    </row>
    <row r="59" spans="1:17" s="34" customFormat="1" collapsed="1" x14ac:dyDescent="0.3">
      <c r="A59" s="35"/>
      <c r="B59" s="14" t="str">
        <f>CONCATENATE("     ","Equipment Rental                                  ")</f>
        <v xml:space="preserve">     Equipment Rental                                  </v>
      </c>
      <c r="C59" s="14"/>
      <c r="D59" s="1">
        <f>SUM(OSRRefD21_8x_0)</f>
        <v>857.53</v>
      </c>
      <c r="E59" s="1">
        <f>SUM(OSRRefE21_8x_0)</f>
        <v>795</v>
      </c>
      <c r="F59" s="1">
        <f>SUM(OSRRefE21_8x_1)</f>
        <v>795</v>
      </c>
      <c r="G59" s="1">
        <f>SUM(OSRRefE21_8x_2)</f>
        <v>795</v>
      </c>
      <c r="H59" s="1">
        <f>SUM(OSRRefE21_8x_3)</f>
        <v>795</v>
      </c>
      <c r="I59" s="1">
        <f>SUM(OSRRefE21_8x_4)</f>
        <v>795</v>
      </c>
      <c r="J59" s="1">
        <f>SUM(OSRRefE21_8x_5)</f>
        <v>795</v>
      </c>
      <c r="K59" s="1">
        <f>SUM(OSRRefE21_8x_6)</f>
        <v>795</v>
      </c>
      <c r="L59" s="1">
        <f>SUM(OSRRefE21_8x_7)</f>
        <v>795</v>
      </c>
      <c r="M59" s="1">
        <f>SUM(OSRRefE21_8x_8)</f>
        <v>795</v>
      </c>
      <c r="N59" s="1">
        <f>SUM(OSRRefE21_8x_9)</f>
        <v>795</v>
      </c>
      <c r="O59" s="1">
        <f>SUM(OSRRefE21_8x_10)</f>
        <v>795</v>
      </c>
      <c r="Q59" s="2">
        <f>SUM(OSRRefD20_8x)+IFERROR(SUM(OSRRefE20_8x),0)</f>
        <v>9602.5300000000007</v>
      </c>
    </row>
    <row r="60" spans="1:17" s="34" customFormat="1" hidden="1" outlineLevel="1" x14ac:dyDescent="0.3">
      <c r="A60" s="35"/>
      <c r="B60" s="10" t="str">
        <f>CONCATENATE("          ","6351", " - ","EQUIPMENT RENTAL")</f>
        <v xml:space="preserve">          6351 - EQUIPMENT RENTAL</v>
      </c>
      <c r="C60" s="14"/>
      <c r="D60" s="2">
        <v>857.53</v>
      </c>
      <c r="E60" s="2">
        <v>795</v>
      </c>
      <c r="F60" s="2">
        <v>795</v>
      </c>
      <c r="G60" s="2">
        <v>795</v>
      </c>
      <c r="H60" s="2">
        <v>795</v>
      </c>
      <c r="I60" s="2">
        <v>795</v>
      </c>
      <c r="J60" s="2">
        <v>795</v>
      </c>
      <c r="K60" s="2">
        <v>795</v>
      </c>
      <c r="L60" s="2">
        <v>795</v>
      </c>
      <c r="M60" s="2">
        <v>795</v>
      </c>
      <c r="N60" s="2">
        <v>795</v>
      </c>
      <c r="O60" s="2">
        <v>795</v>
      </c>
      <c r="P60" s="9"/>
      <c r="Q60" s="2">
        <f>SUM(OSRRefD21_8_0x)+IFERROR(SUM(OSRRefE21_8_0x),0)</f>
        <v>9602.5300000000007</v>
      </c>
    </row>
    <row r="61" spans="1:17" s="34" customFormat="1" collapsed="1" x14ac:dyDescent="0.3">
      <c r="A61" s="35"/>
      <c r="B61" s="14" t="str">
        <f>CONCATENATE("     ","General                                           ")</f>
        <v xml:space="preserve">     General                                           </v>
      </c>
      <c r="C61" s="14"/>
      <c r="D61" s="1">
        <f>SUM(OSRRefD21_9x_0)</f>
        <v>328.45</v>
      </c>
      <c r="E61" s="1">
        <f>SUM(OSRRefE21_9x_0)</f>
        <v>530</v>
      </c>
      <c r="F61" s="1">
        <f>SUM(OSRRefE21_9x_1)</f>
        <v>560</v>
      </c>
      <c r="G61" s="1">
        <f>SUM(OSRRefE21_9x_2)</f>
        <v>530</v>
      </c>
      <c r="H61" s="1">
        <f>SUM(OSRRefE21_9x_3)</f>
        <v>530</v>
      </c>
      <c r="I61" s="1">
        <f>SUM(OSRRefE21_9x_4)</f>
        <v>530</v>
      </c>
      <c r="J61" s="1">
        <f>SUM(OSRRefE21_9x_5)</f>
        <v>530</v>
      </c>
      <c r="K61" s="1">
        <f>SUM(OSRRefE21_9x_6)</f>
        <v>530</v>
      </c>
      <c r="L61" s="1">
        <f>SUM(OSRRefE21_9x_7)</f>
        <v>1140</v>
      </c>
      <c r="M61" s="1">
        <f>SUM(OSRRefE21_9x_8)</f>
        <v>540</v>
      </c>
      <c r="N61" s="1">
        <f>SUM(OSRRefE21_9x_9)</f>
        <v>540</v>
      </c>
      <c r="O61" s="1">
        <f>SUM(OSRRefE21_9x_10)</f>
        <v>540</v>
      </c>
      <c r="Q61" s="2">
        <f>SUM(OSRRefD20_9x)+IFERROR(SUM(OSRRefE20_9x),0)</f>
        <v>6828.45</v>
      </c>
    </row>
    <row r="62" spans="1:17" s="34" customFormat="1" hidden="1" outlineLevel="1" x14ac:dyDescent="0.3">
      <c r="A62" s="35"/>
      <c r="B62" s="10" t="str">
        <f>CONCATENATE("          ","6279", " - ","GENERAL EXPENSE")</f>
        <v xml:space="preserve">          6279 - GENERAL EXPENSE</v>
      </c>
      <c r="C62" s="14"/>
      <c r="D62" s="2">
        <v>328.45</v>
      </c>
      <c r="E62" s="2">
        <v>530</v>
      </c>
      <c r="F62" s="2">
        <v>560</v>
      </c>
      <c r="G62" s="2">
        <v>530</v>
      </c>
      <c r="H62" s="2">
        <v>530</v>
      </c>
      <c r="I62" s="2">
        <v>530</v>
      </c>
      <c r="J62" s="2">
        <v>530</v>
      </c>
      <c r="K62" s="2">
        <v>530</v>
      </c>
      <c r="L62" s="2">
        <v>1140</v>
      </c>
      <c r="M62" s="2">
        <v>540</v>
      </c>
      <c r="N62" s="2">
        <v>540</v>
      </c>
      <c r="O62" s="2">
        <v>540</v>
      </c>
      <c r="P62" s="9"/>
      <c r="Q62" s="2">
        <f>SUM(OSRRefD21_9_0x)+IFERROR(SUM(OSRRefE21_9_0x),0)</f>
        <v>6828.45</v>
      </c>
    </row>
    <row r="63" spans="1:17" s="34" customFormat="1" collapsed="1" x14ac:dyDescent="0.3">
      <c r="A63" s="35"/>
      <c r="B63" s="14" t="str">
        <f>CONCATENATE("     ","Insurance                                         ")</f>
        <v xml:space="preserve">     Insurance                                         </v>
      </c>
      <c r="C63" s="14"/>
      <c r="D63" s="1">
        <f>SUM(OSRRefD21_10x_0)</f>
        <v>5.22</v>
      </c>
      <c r="E63" s="1">
        <f>SUM(OSRRefE21_10x_0)</f>
        <v>10</v>
      </c>
      <c r="F63" s="1">
        <f>SUM(OSRRefE21_10x_1)</f>
        <v>10</v>
      </c>
      <c r="G63" s="1">
        <f>SUM(OSRRefE21_10x_2)</f>
        <v>10</v>
      </c>
      <c r="H63" s="1">
        <f>SUM(OSRRefE21_10x_3)</f>
        <v>10</v>
      </c>
      <c r="I63" s="1">
        <f>SUM(OSRRefE21_10x_4)</f>
        <v>10</v>
      </c>
      <c r="J63" s="1">
        <f>SUM(OSRRefE21_10x_5)</f>
        <v>10</v>
      </c>
      <c r="K63" s="1">
        <f>SUM(OSRRefE21_10x_6)</f>
        <v>10</v>
      </c>
      <c r="L63" s="1">
        <f>SUM(OSRRefE21_10x_7)</f>
        <v>10</v>
      </c>
      <c r="M63" s="1">
        <f>SUM(OSRRefE21_10x_8)</f>
        <v>10</v>
      </c>
      <c r="N63" s="1">
        <f>SUM(OSRRefE21_10x_9)</f>
        <v>10</v>
      </c>
      <c r="O63" s="1">
        <f>SUM(OSRRefE21_10x_10)</f>
        <v>10</v>
      </c>
      <c r="Q63" s="2">
        <f>SUM(OSRRefD20_10x)+IFERROR(SUM(OSRRefE20_10x),0)</f>
        <v>115.22</v>
      </c>
    </row>
    <row r="64" spans="1:17" s="34" customFormat="1" hidden="1" outlineLevel="1" x14ac:dyDescent="0.3">
      <c r="A64" s="35"/>
      <c r="B64" s="10" t="str">
        <f>CONCATENATE("          ","6314", " - ","LIABILITY INSURANCE")</f>
        <v xml:space="preserve">          6314 - LIABILITY INSURANCE</v>
      </c>
      <c r="C64" s="14"/>
      <c r="D64" s="2">
        <v>5.22</v>
      </c>
      <c r="E64" s="2">
        <v>10</v>
      </c>
      <c r="F64" s="2">
        <v>10</v>
      </c>
      <c r="G64" s="2">
        <v>10</v>
      </c>
      <c r="H64" s="2">
        <v>10</v>
      </c>
      <c r="I64" s="2">
        <v>10</v>
      </c>
      <c r="J64" s="2">
        <v>10</v>
      </c>
      <c r="K64" s="2">
        <v>10</v>
      </c>
      <c r="L64" s="2">
        <v>10</v>
      </c>
      <c r="M64" s="2">
        <v>10</v>
      </c>
      <c r="N64" s="2">
        <v>10</v>
      </c>
      <c r="O64" s="2">
        <v>10</v>
      </c>
      <c r="P64" s="9"/>
      <c r="Q64" s="2">
        <f>SUM(OSRRefD21_10_0x)+IFERROR(SUM(OSRRefE21_10_0x),0)</f>
        <v>115.22</v>
      </c>
    </row>
    <row r="65" spans="1:17" s="34" customFormat="1" collapsed="1" x14ac:dyDescent="0.3">
      <c r="A65" s="35"/>
      <c r="B65" s="14" t="str">
        <f>CONCATENATE("     ","R/H Commissions                                   ")</f>
        <v xml:space="preserve">     R/H Commissions                                   </v>
      </c>
      <c r="C65" s="14"/>
      <c r="D65" s="1">
        <f>SUM(OSRRefD21_11x_0)</f>
        <v>1568</v>
      </c>
      <c r="E65" s="1">
        <f>SUM(OSRRefE21_11x_0)</f>
        <v>22579</v>
      </c>
      <c r="F65" s="1">
        <f>SUM(OSRRefE21_11x_1)</f>
        <v>90317</v>
      </c>
      <c r="G65" s="1">
        <f>SUM(OSRRefE21_11x_2)</f>
        <v>112896</v>
      </c>
      <c r="H65" s="1">
        <f>SUM(OSRRefE21_11x_3)</f>
        <v>62352</v>
      </c>
      <c r="I65" s="1">
        <f>SUM(OSRRefE21_11x_4)</f>
        <v>70963</v>
      </c>
      <c r="J65" s="1">
        <f>SUM(OSRRefE21_11x_5)</f>
        <v>35482</v>
      </c>
      <c r="K65" s="1">
        <f>SUM(OSRRefE21_11x_6)</f>
        <v>90317</v>
      </c>
      <c r="L65" s="1">
        <f>SUM(OSRRefE21_11x_7)</f>
        <v>87091</v>
      </c>
      <c r="M65" s="1">
        <f>SUM(OSRRefE21_11x_8)</f>
        <v>87091</v>
      </c>
      <c r="N65" s="1">
        <f>SUM(OSRRefE21_11x_9)</f>
        <v>44064</v>
      </c>
      <c r="O65" s="1">
        <f>SUM(OSRRefE21_11x_10)</f>
        <v>0</v>
      </c>
      <c r="Q65" s="2">
        <f>SUM(OSRRefD20_11x)+IFERROR(SUM(OSRRefE20_11x),0)</f>
        <v>704720</v>
      </c>
    </row>
    <row r="66" spans="1:17" s="34" customFormat="1" hidden="1" outlineLevel="1" x14ac:dyDescent="0.3">
      <c r="A66" s="35"/>
      <c r="B66" s="10" t="str">
        <f>CONCATENATE("          ","6387", " - ","COMMISSION DUE HOUSING")</f>
        <v xml:space="preserve">          6387 - COMMISSION DUE HOUSING</v>
      </c>
      <c r="C66" s="14"/>
      <c r="D66" s="2">
        <v>1568</v>
      </c>
      <c r="E66" s="2">
        <v>22579</v>
      </c>
      <c r="F66" s="2">
        <v>90317</v>
      </c>
      <c r="G66" s="2">
        <v>112896</v>
      </c>
      <c r="H66" s="2">
        <v>62352</v>
      </c>
      <c r="I66" s="2">
        <v>70963</v>
      </c>
      <c r="J66" s="2">
        <v>35482</v>
      </c>
      <c r="K66" s="2">
        <v>90317</v>
      </c>
      <c r="L66" s="2">
        <v>87091</v>
      </c>
      <c r="M66" s="2">
        <v>87091</v>
      </c>
      <c r="N66" s="2">
        <v>44064</v>
      </c>
      <c r="O66" s="2"/>
      <c r="P66" s="9"/>
      <c r="Q66" s="2">
        <f>SUM(OSRRefD21_11_0x)+IFERROR(SUM(OSRRefE21_11_0x),0)</f>
        <v>704720</v>
      </c>
    </row>
    <row r="67" spans="1:17" s="34" customFormat="1" collapsed="1" x14ac:dyDescent="0.3">
      <c r="A67" s="35"/>
      <c r="B67" s="14" t="str">
        <f>CONCATENATE("     ","Repair and Maintenance                            ")</f>
        <v xml:space="preserve">     Repair and Maintenance                            </v>
      </c>
      <c r="C67" s="14"/>
      <c r="D67" s="1">
        <f>SUM(OSRRefD21_12x_0)</f>
        <v>4129</v>
      </c>
      <c r="E67" s="1">
        <f>SUM(OSRRefE21_12x_0)</f>
        <v>5850</v>
      </c>
      <c r="F67" s="1">
        <f>SUM(OSRRefE21_12x_1)</f>
        <v>7550</v>
      </c>
      <c r="G67" s="1">
        <f>SUM(OSRRefE21_12x_2)</f>
        <v>4050</v>
      </c>
      <c r="H67" s="1">
        <f>SUM(OSRRefE21_12x_3)</f>
        <v>5850</v>
      </c>
      <c r="I67" s="1">
        <f>SUM(OSRRefE21_12x_4)</f>
        <v>4050</v>
      </c>
      <c r="J67" s="1">
        <f>SUM(OSRRefE21_12x_5)</f>
        <v>7550</v>
      </c>
      <c r="K67" s="1">
        <f>SUM(OSRRefE21_12x_6)</f>
        <v>5850</v>
      </c>
      <c r="L67" s="1">
        <f>SUM(OSRRefE21_12x_7)</f>
        <v>4050</v>
      </c>
      <c r="M67" s="1">
        <f>SUM(OSRRefE21_12x_8)</f>
        <v>7550</v>
      </c>
      <c r="N67" s="1">
        <f>SUM(OSRRefE21_12x_9)</f>
        <v>5850</v>
      </c>
      <c r="O67" s="1">
        <f>SUM(OSRRefE21_12x_10)</f>
        <v>4050</v>
      </c>
      <c r="Q67" s="2">
        <f>SUM(OSRRefD20_12x)+IFERROR(SUM(OSRRefE20_12x),0)</f>
        <v>66379</v>
      </c>
    </row>
    <row r="68" spans="1:17" s="34" customFormat="1" hidden="1" outlineLevel="1" x14ac:dyDescent="0.3">
      <c r="A68" s="35"/>
      <c r="B68" s="10" t="str">
        <f>CONCATENATE("          ","6371", " - ","COMPUTER SOFTWARE MAINTENANCE")</f>
        <v xml:space="preserve">          6371 - COMPUTER SOFTWARE MAINTENANCE</v>
      </c>
      <c r="C68" s="14"/>
      <c r="D68" s="2">
        <v>3500</v>
      </c>
      <c r="E68" s="2">
        <v>3500</v>
      </c>
      <c r="F68" s="2">
        <v>3500</v>
      </c>
      <c r="G68" s="2">
        <v>3500</v>
      </c>
      <c r="H68" s="2">
        <v>3500</v>
      </c>
      <c r="I68" s="2">
        <v>3500</v>
      </c>
      <c r="J68" s="2">
        <v>3500</v>
      </c>
      <c r="K68" s="2">
        <v>3500</v>
      </c>
      <c r="L68" s="2">
        <v>3500</v>
      </c>
      <c r="M68" s="2">
        <v>3500</v>
      </c>
      <c r="N68" s="2">
        <v>3500</v>
      </c>
      <c r="O68" s="2">
        <v>3500</v>
      </c>
      <c r="P68" s="9"/>
      <c r="Q68" s="2">
        <f>SUM(OSRRefD21_12_0x)+IFERROR(SUM(OSRRefE21_12_0x),0)</f>
        <v>42000</v>
      </c>
    </row>
    <row r="69" spans="1:17" s="34" customFormat="1" hidden="1" outlineLevel="1" x14ac:dyDescent="0.3">
      <c r="A69" s="35"/>
      <c r="B69" s="10" t="str">
        <f>CONCATENATE("          ","6373", " - ","MAINTENANCE CONTRACTS")</f>
        <v xml:space="preserve">          6373 - MAINTENANCE CONTRACTS</v>
      </c>
      <c r="C69" s="14"/>
      <c r="D69" s="2">
        <v>14</v>
      </c>
      <c r="E69" s="2">
        <v>1800</v>
      </c>
      <c r="F69" s="2">
        <v>3500</v>
      </c>
      <c r="G69" s="2">
        <v>0</v>
      </c>
      <c r="H69" s="2">
        <v>1800</v>
      </c>
      <c r="I69" s="2"/>
      <c r="J69" s="2">
        <v>3500</v>
      </c>
      <c r="K69" s="2">
        <v>1800</v>
      </c>
      <c r="L69" s="2"/>
      <c r="M69" s="2">
        <v>3500</v>
      </c>
      <c r="N69" s="2">
        <v>1800</v>
      </c>
      <c r="O69" s="2"/>
      <c r="P69" s="9"/>
      <c r="Q69" s="2">
        <f>SUM(OSRRefD21_12_1x)+IFERROR(SUM(OSRRefE21_12_1x),0)</f>
        <v>17714</v>
      </c>
    </row>
    <row r="70" spans="1:17" s="34" customFormat="1" hidden="1" outlineLevel="1" x14ac:dyDescent="0.3">
      <c r="A70" s="35"/>
      <c r="B70" s="10" t="str">
        <f>CONCATENATE("          ","6375", " - ","OUTSIDE REPAIRS &amp; MAINTENANCE")</f>
        <v xml:space="preserve">          6375 - OUTSIDE REPAIRS &amp; MAINTENANCE</v>
      </c>
      <c r="C70" s="14"/>
      <c r="D70" s="2">
        <v>615</v>
      </c>
      <c r="E70" s="2">
        <v>550</v>
      </c>
      <c r="F70" s="2">
        <v>550</v>
      </c>
      <c r="G70" s="2">
        <v>550</v>
      </c>
      <c r="H70" s="2">
        <v>550</v>
      </c>
      <c r="I70" s="2">
        <v>550</v>
      </c>
      <c r="J70" s="2">
        <v>550</v>
      </c>
      <c r="K70" s="2">
        <v>550</v>
      </c>
      <c r="L70" s="2">
        <v>550</v>
      </c>
      <c r="M70" s="2">
        <v>550</v>
      </c>
      <c r="N70" s="2">
        <v>550</v>
      </c>
      <c r="O70" s="2">
        <v>550</v>
      </c>
      <c r="P70" s="9"/>
      <c r="Q70" s="2">
        <f>SUM(OSRRefD21_12_2x)+IFERROR(SUM(OSRRefE21_12_2x),0)</f>
        <v>6665</v>
      </c>
    </row>
    <row r="71" spans="1:17" s="34" customFormat="1" collapsed="1" x14ac:dyDescent="0.3">
      <c r="A71" s="35"/>
      <c r="B71" s="14" t="str">
        <f>CONCATENATE("     ","Services                                          ")</f>
        <v xml:space="preserve">     Services                                          </v>
      </c>
      <c r="C71" s="14"/>
      <c r="D71" s="1">
        <f>SUM(OSRRefD21_13x_0)</f>
        <v>13078.92</v>
      </c>
      <c r="E71" s="1">
        <f>SUM(OSRRefE21_13x_0)</f>
        <v>21272</v>
      </c>
      <c r="F71" s="1">
        <f>SUM(OSRRefE21_13x_1)</f>
        <v>21272</v>
      </c>
      <c r="G71" s="1">
        <f>SUM(OSRRefE21_13x_2)</f>
        <v>21272</v>
      </c>
      <c r="H71" s="1">
        <f>SUM(OSRRefE21_13x_3)</f>
        <v>21272</v>
      </c>
      <c r="I71" s="1">
        <f>SUM(OSRRefE21_13x_4)</f>
        <v>21272</v>
      </c>
      <c r="J71" s="1">
        <f>SUM(OSRRefE21_13x_5)</f>
        <v>21796</v>
      </c>
      <c r="K71" s="1">
        <f>SUM(OSRRefE21_13x_6)</f>
        <v>21796</v>
      </c>
      <c r="L71" s="1">
        <f>SUM(OSRRefE21_13x_7)</f>
        <v>21796</v>
      </c>
      <c r="M71" s="1">
        <f>SUM(OSRRefE21_13x_8)</f>
        <v>21796</v>
      </c>
      <c r="N71" s="1">
        <f>SUM(OSRRefE21_13x_9)</f>
        <v>21796</v>
      </c>
      <c r="O71" s="1">
        <f>SUM(OSRRefE21_13x_10)</f>
        <v>21792</v>
      </c>
      <c r="Q71" s="2">
        <f>SUM(OSRRefD20_13x)+IFERROR(SUM(OSRRefE20_13x),0)</f>
        <v>250210.92</v>
      </c>
    </row>
    <row r="72" spans="1:17" s="34" customFormat="1" hidden="1" outlineLevel="1" x14ac:dyDescent="0.3">
      <c r="A72" s="35"/>
      <c r="B72" s="10" t="str">
        <f>CONCATENATE("          ","6282", " - ","JANITORIAL/EXTERMINATOR EXPENS")</f>
        <v xml:space="preserve">          6282 - JANITORIAL/EXTERMINATOR EXPENS</v>
      </c>
      <c r="C72" s="14"/>
      <c r="D72" s="2">
        <v>1508.5</v>
      </c>
      <c r="E72" s="2">
        <v>1570</v>
      </c>
      <c r="F72" s="2">
        <v>1570</v>
      </c>
      <c r="G72" s="2">
        <v>1570</v>
      </c>
      <c r="H72" s="2">
        <v>1570</v>
      </c>
      <c r="I72" s="2">
        <v>1570</v>
      </c>
      <c r="J72" s="2">
        <v>1570</v>
      </c>
      <c r="K72" s="2">
        <v>1570</v>
      </c>
      <c r="L72" s="2">
        <v>1570</v>
      </c>
      <c r="M72" s="2">
        <v>1570</v>
      </c>
      <c r="N72" s="2">
        <v>1570</v>
      </c>
      <c r="O72" s="2">
        <v>1570</v>
      </c>
      <c r="P72" s="9"/>
      <c r="Q72" s="2">
        <f>SUM(OSRRefD21_13_0x)+IFERROR(SUM(OSRRefE21_13_0x),0)</f>
        <v>18778.5</v>
      </c>
    </row>
    <row r="73" spans="1:17" s="34" customFormat="1" hidden="1" outlineLevel="1" x14ac:dyDescent="0.3">
      <c r="A73" s="35"/>
      <c r="B73" s="10" t="str">
        <f>CONCATENATE("          ","6284", " - ","TRASH REMOVAL EXPENSE")</f>
        <v xml:space="preserve">          6284 - TRASH REMOVAL EXPENSE</v>
      </c>
      <c r="C73" s="14"/>
      <c r="D73" s="2"/>
      <c r="E73" s="2">
        <v>600</v>
      </c>
      <c r="F73" s="2">
        <v>600</v>
      </c>
      <c r="G73" s="2">
        <v>600</v>
      </c>
      <c r="H73" s="2">
        <v>600</v>
      </c>
      <c r="I73" s="2">
        <v>600</v>
      </c>
      <c r="J73" s="2">
        <v>600</v>
      </c>
      <c r="K73" s="2">
        <v>600</v>
      </c>
      <c r="L73" s="2">
        <v>600</v>
      </c>
      <c r="M73" s="2">
        <v>600</v>
      </c>
      <c r="N73" s="2">
        <v>600</v>
      </c>
      <c r="O73" s="2">
        <v>600</v>
      </c>
      <c r="P73" s="9"/>
      <c r="Q73" s="2">
        <f>SUM(OSRRefD21_13_1x)+IFERROR(SUM(OSRRefE21_13_1x),0)</f>
        <v>6600</v>
      </c>
    </row>
    <row r="74" spans="1:17" s="34" customFormat="1" hidden="1" outlineLevel="1" x14ac:dyDescent="0.3">
      <c r="A74" s="35"/>
      <c r="B74" s="10" t="str">
        <f>CONCATENATE("          ","6285", " - ","JANITORIAL SERVICES")</f>
        <v xml:space="preserve">          6285 - JANITORIAL SERVICES</v>
      </c>
      <c r="C74" s="14"/>
      <c r="D74" s="2">
        <v>10647.19</v>
      </c>
      <c r="E74" s="2">
        <v>14335</v>
      </c>
      <c r="F74" s="2">
        <v>14335</v>
      </c>
      <c r="G74" s="2">
        <v>14335</v>
      </c>
      <c r="H74" s="2">
        <v>14335</v>
      </c>
      <c r="I74" s="2">
        <v>14335</v>
      </c>
      <c r="J74" s="2">
        <v>14859</v>
      </c>
      <c r="K74" s="2">
        <v>14859</v>
      </c>
      <c r="L74" s="2">
        <v>14859</v>
      </c>
      <c r="M74" s="2">
        <v>14859</v>
      </c>
      <c r="N74" s="2">
        <v>14859</v>
      </c>
      <c r="O74" s="2">
        <v>14859</v>
      </c>
      <c r="P74" s="9"/>
      <c r="Q74" s="2">
        <f>SUM(OSRRefD21_13_2x)+IFERROR(SUM(OSRRefE21_13_2x),0)</f>
        <v>171476.19</v>
      </c>
    </row>
    <row r="75" spans="1:17" s="34" customFormat="1" hidden="1" outlineLevel="1" x14ac:dyDescent="0.3">
      <c r="A75" s="35"/>
      <c r="B75" s="10" t="str">
        <f>CONCATENATE("          ","6286", " - ","LAUNDRY EXPENSE")</f>
        <v xml:space="preserve">          6286 - LAUNDRY EXPENSE</v>
      </c>
      <c r="C75" s="14"/>
      <c r="D75" s="2">
        <v>923.23</v>
      </c>
      <c r="E75" s="2">
        <v>4767</v>
      </c>
      <c r="F75" s="2">
        <v>4767</v>
      </c>
      <c r="G75" s="2">
        <v>4767</v>
      </c>
      <c r="H75" s="2">
        <v>4767</v>
      </c>
      <c r="I75" s="2">
        <v>4767</v>
      </c>
      <c r="J75" s="2">
        <v>4767</v>
      </c>
      <c r="K75" s="2">
        <v>4767</v>
      </c>
      <c r="L75" s="2">
        <v>4767</v>
      </c>
      <c r="M75" s="2">
        <v>4767</v>
      </c>
      <c r="N75" s="2">
        <v>4767</v>
      </c>
      <c r="O75" s="2">
        <v>4763</v>
      </c>
      <c r="P75" s="9"/>
      <c r="Q75" s="2">
        <f>SUM(OSRRefD21_13_3x)+IFERROR(SUM(OSRRefE21_13_3x),0)</f>
        <v>53356.23</v>
      </c>
    </row>
    <row r="76" spans="1:17" s="34" customFormat="1" collapsed="1" x14ac:dyDescent="0.3">
      <c r="A76" s="35"/>
      <c r="B76" s="14" t="str">
        <f>CONCATENATE("     ","Subscriptions &amp; Dues                              ")</f>
        <v xml:space="preserve">     Subscriptions &amp; Dues                              </v>
      </c>
      <c r="C76" s="14"/>
      <c r="D76" s="1">
        <f>SUM(OSRRefD21_14x_0)</f>
        <v>0</v>
      </c>
      <c r="E76" s="1">
        <f>SUM(OSRRefE21_14x_0)</f>
        <v>0</v>
      </c>
      <c r="F76" s="1">
        <f>SUM(OSRRefE21_14x_1)</f>
        <v>0</v>
      </c>
      <c r="G76" s="1">
        <f>SUM(OSRRefE21_14x_2)</f>
        <v>0</v>
      </c>
      <c r="H76" s="1">
        <f>SUM(OSRRefE21_14x_3)</f>
        <v>795</v>
      </c>
      <c r="I76" s="1">
        <f>SUM(OSRRefE21_14x_4)</f>
        <v>0</v>
      </c>
      <c r="J76" s="1">
        <f>SUM(OSRRefE21_14x_5)</f>
        <v>0</v>
      </c>
      <c r="K76" s="1">
        <f>SUM(OSRRefE21_14x_6)</f>
        <v>0</v>
      </c>
      <c r="L76" s="1">
        <f>SUM(OSRRefE21_14x_7)</f>
        <v>0</v>
      </c>
      <c r="M76" s="1">
        <f>SUM(OSRRefE21_14x_8)</f>
        <v>0</v>
      </c>
      <c r="N76" s="1">
        <f>SUM(OSRRefE21_14x_9)</f>
        <v>0</v>
      </c>
      <c r="O76" s="1">
        <f>SUM(OSRRefE21_14x_10)</f>
        <v>0</v>
      </c>
      <c r="Q76" s="2">
        <f>SUM(OSRRefD20_14x)+IFERROR(SUM(OSRRefE20_14x),0)</f>
        <v>795</v>
      </c>
    </row>
    <row r="77" spans="1:17" s="34" customFormat="1" hidden="1" outlineLevel="1" x14ac:dyDescent="0.3">
      <c r="A77" s="35"/>
      <c r="B77" s="10" t="str">
        <f>CONCATENATE("          ","6258", " - ","MEMBERSHIP DUES")</f>
        <v xml:space="preserve">          6258 - MEMBERSHIP DUES</v>
      </c>
      <c r="C77" s="14"/>
      <c r="D77" s="2"/>
      <c r="E77" s="2"/>
      <c r="F77" s="2"/>
      <c r="G77" s="2"/>
      <c r="H77" s="2">
        <v>795</v>
      </c>
      <c r="I77" s="2"/>
      <c r="J77" s="2"/>
      <c r="K77" s="2"/>
      <c r="L77" s="2"/>
      <c r="M77" s="2"/>
      <c r="N77" s="2"/>
      <c r="O77" s="2"/>
      <c r="P77" s="9"/>
      <c r="Q77" s="2">
        <f>SUM(OSRRefD21_14_0x)+IFERROR(SUM(OSRRefE21_14_0x),0)</f>
        <v>795</v>
      </c>
    </row>
    <row r="78" spans="1:17" s="34" customFormat="1" collapsed="1" x14ac:dyDescent="0.3">
      <c r="A78" s="35"/>
      <c r="B78" s="14" t="str">
        <f>CONCATENATE("     ","Supplies                                          ")</f>
        <v xml:space="preserve">     Supplies                                          </v>
      </c>
      <c r="C78" s="14"/>
      <c r="D78" s="1">
        <f>SUM(OSRRefD21_15x_0)</f>
        <v>5210.6799999999994</v>
      </c>
      <c r="E78" s="1">
        <f>SUM(OSRRefE21_15x_0)</f>
        <v>34250</v>
      </c>
      <c r="F78" s="1">
        <f>SUM(OSRRefE21_15x_1)</f>
        <v>30250</v>
      </c>
      <c r="G78" s="1">
        <f>SUM(OSRRefE21_15x_2)</f>
        <v>29850</v>
      </c>
      <c r="H78" s="1">
        <f>SUM(OSRRefE21_15x_3)</f>
        <v>29650</v>
      </c>
      <c r="I78" s="1">
        <f>SUM(OSRRefE21_15x_4)</f>
        <v>29650</v>
      </c>
      <c r="J78" s="1">
        <f>SUM(OSRRefE21_15x_5)</f>
        <v>29700</v>
      </c>
      <c r="K78" s="1">
        <f>SUM(OSRRefE21_15x_6)</f>
        <v>29500</v>
      </c>
      <c r="L78" s="1">
        <f>SUM(OSRRefE21_15x_7)</f>
        <v>29250</v>
      </c>
      <c r="M78" s="1">
        <f>SUM(OSRRefE21_15x_8)</f>
        <v>29250</v>
      </c>
      <c r="N78" s="1">
        <f>SUM(OSRRefE21_15x_9)</f>
        <v>29250</v>
      </c>
      <c r="O78" s="1">
        <f>SUM(OSRRefE21_15x_10)</f>
        <v>25240</v>
      </c>
      <c r="Q78" s="2">
        <f>SUM(OSRRefD20_15x)+IFERROR(SUM(OSRRefE20_15x),0)</f>
        <v>331050.68</v>
      </c>
    </row>
    <row r="79" spans="1:17" s="34" customFormat="1" hidden="1" outlineLevel="1" x14ac:dyDescent="0.3">
      <c r="A79" s="35"/>
      <c r="B79" s="10" t="str">
        <f>CONCATENATE("          ","6234", " - ","EXPENDABLE SUPPLIES &amp; EQUIPMEN")</f>
        <v xml:space="preserve">          6234 - EXPENDABLE SUPPLIES &amp; EQUIPMEN</v>
      </c>
      <c r="C79" s="14"/>
      <c r="D79" s="2"/>
      <c r="E79" s="2">
        <v>342</v>
      </c>
      <c r="F79" s="2">
        <v>342</v>
      </c>
      <c r="G79" s="2">
        <v>342</v>
      </c>
      <c r="H79" s="2">
        <v>342</v>
      </c>
      <c r="I79" s="2">
        <v>342</v>
      </c>
      <c r="J79" s="2">
        <v>342</v>
      </c>
      <c r="K79" s="2">
        <v>342</v>
      </c>
      <c r="L79" s="2">
        <v>342</v>
      </c>
      <c r="M79" s="2">
        <v>342</v>
      </c>
      <c r="N79" s="2">
        <v>342</v>
      </c>
      <c r="O79" s="2">
        <v>338</v>
      </c>
      <c r="P79" s="9"/>
      <c r="Q79" s="2">
        <f>SUM(OSRRefD21_15_0x)+IFERROR(SUM(OSRRefE21_15_0x),0)</f>
        <v>3758</v>
      </c>
    </row>
    <row r="80" spans="1:17" s="34" customFormat="1" hidden="1" outlineLevel="1" x14ac:dyDescent="0.3">
      <c r="A80" s="35"/>
      <c r="B80" s="10" t="str">
        <f>CONCATENATE("          ","6237", " - ","JANITORIAL SUPPLIES")</f>
        <v xml:space="preserve">          6237 - JANITORIAL SUPPLIES</v>
      </c>
      <c r="C80" s="14"/>
      <c r="D80" s="2">
        <v>3701.95</v>
      </c>
      <c r="E80" s="2">
        <v>11750</v>
      </c>
      <c r="F80" s="2">
        <v>9750</v>
      </c>
      <c r="G80" s="2">
        <v>9750</v>
      </c>
      <c r="H80" s="2">
        <v>9750</v>
      </c>
      <c r="I80" s="2">
        <v>9750</v>
      </c>
      <c r="J80" s="2">
        <v>9750</v>
      </c>
      <c r="K80" s="2">
        <v>9750</v>
      </c>
      <c r="L80" s="2">
        <v>9750</v>
      </c>
      <c r="M80" s="2">
        <v>9750</v>
      </c>
      <c r="N80" s="2">
        <v>9750</v>
      </c>
      <c r="O80" s="2">
        <v>7750</v>
      </c>
      <c r="P80" s="9"/>
      <c r="Q80" s="2">
        <f>SUM(OSRRefD21_15_1x)+IFERROR(SUM(OSRRefE21_15_1x),0)</f>
        <v>110951.95</v>
      </c>
    </row>
    <row r="81" spans="1:17" s="34" customFormat="1" hidden="1" outlineLevel="1" x14ac:dyDescent="0.3">
      <c r="A81" s="35"/>
      <c r="B81" s="10" t="str">
        <f>CONCATENATE("          ","6239", " - ","KITCHEN SUPPLIES")</f>
        <v xml:space="preserve">          6239 - KITCHEN SUPPLIES</v>
      </c>
      <c r="C81" s="14"/>
      <c r="D81" s="2"/>
      <c r="E81" s="2">
        <v>6300</v>
      </c>
      <c r="F81" s="2">
        <v>4300</v>
      </c>
      <c r="G81" s="2">
        <v>3900</v>
      </c>
      <c r="H81" s="2">
        <v>3700</v>
      </c>
      <c r="I81" s="2">
        <v>3700</v>
      </c>
      <c r="J81" s="2">
        <v>3750</v>
      </c>
      <c r="K81" s="2">
        <v>3550</v>
      </c>
      <c r="L81" s="2">
        <v>3300</v>
      </c>
      <c r="M81" s="2">
        <v>3300</v>
      </c>
      <c r="N81" s="2">
        <v>3300</v>
      </c>
      <c r="O81" s="2">
        <v>3300</v>
      </c>
      <c r="P81" s="9"/>
      <c r="Q81" s="2">
        <f>SUM(OSRRefD21_15_2x)+IFERROR(SUM(OSRRefE21_15_2x),0)</f>
        <v>42400</v>
      </c>
    </row>
    <row r="82" spans="1:17" s="34" customFormat="1" hidden="1" outlineLevel="1" x14ac:dyDescent="0.3">
      <c r="A82" s="35"/>
      <c r="B82" s="10" t="str">
        <f>CONCATENATE("          ","6241", " - ","OFFICE EXPENSE")</f>
        <v xml:space="preserve">          6241 - OFFICE EXPENSE</v>
      </c>
      <c r="C82" s="14"/>
      <c r="D82" s="2">
        <v>445.66</v>
      </c>
      <c r="E82" s="2">
        <v>1445</v>
      </c>
      <c r="F82" s="2">
        <v>1445</v>
      </c>
      <c r="G82" s="2">
        <v>1445</v>
      </c>
      <c r="H82" s="2">
        <v>1445</v>
      </c>
      <c r="I82" s="2">
        <v>1445</v>
      </c>
      <c r="J82" s="2">
        <v>1445</v>
      </c>
      <c r="K82" s="2">
        <v>1445</v>
      </c>
      <c r="L82" s="2">
        <v>1445</v>
      </c>
      <c r="M82" s="2">
        <v>1445</v>
      </c>
      <c r="N82" s="2">
        <v>1445</v>
      </c>
      <c r="O82" s="2">
        <v>1445</v>
      </c>
      <c r="P82" s="9"/>
      <c r="Q82" s="2">
        <f>SUM(OSRRefD21_15_3x)+IFERROR(SUM(OSRRefE21_15_3x),0)</f>
        <v>16340.66</v>
      </c>
    </row>
    <row r="83" spans="1:17" s="34" customFormat="1" hidden="1" outlineLevel="1" x14ac:dyDescent="0.3">
      <c r="A83" s="35"/>
      <c r="B83" s="10" t="str">
        <f>CONCATENATE("          ","6243", " - ","PAPER SUPPLIES")</f>
        <v xml:space="preserve">          6243 - PAPER SUPPLIES</v>
      </c>
      <c r="C83" s="14"/>
      <c r="D83" s="2">
        <v>1063.07</v>
      </c>
      <c r="E83" s="2">
        <v>13300</v>
      </c>
      <c r="F83" s="2">
        <v>13300</v>
      </c>
      <c r="G83" s="2">
        <v>13300</v>
      </c>
      <c r="H83" s="2">
        <v>13300</v>
      </c>
      <c r="I83" s="2">
        <v>13300</v>
      </c>
      <c r="J83" s="2">
        <v>13300</v>
      </c>
      <c r="K83" s="2">
        <v>13300</v>
      </c>
      <c r="L83" s="2">
        <v>13300</v>
      </c>
      <c r="M83" s="2">
        <v>13300</v>
      </c>
      <c r="N83" s="2">
        <v>13300</v>
      </c>
      <c r="O83" s="2">
        <v>11300</v>
      </c>
      <c r="P83" s="9"/>
      <c r="Q83" s="2">
        <f>SUM(OSRRefD21_15_4x)+IFERROR(SUM(OSRRefE21_15_4x),0)</f>
        <v>145363.07</v>
      </c>
    </row>
    <row r="84" spans="1:17" s="34" customFormat="1" hidden="1" outlineLevel="1" x14ac:dyDescent="0.3">
      <c r="A84" s="35"/>
      <c r="B84" s="10" t="str">
        <f>CONCATENATE("          ","6244", " - ","SAFETY SUPPLY EXPENSE")</f>
        <v xml:space="preserve">          6244 - SAFETY SUPPLY EXPENSE</v>
      </c>
      <c r="C84" s="14"/>
      <c r="D84" s="2"/>
      <c r="E84" s="2">
        <v>525</v>
      </c>
      <c r="F84" s="2">
        <v>525</v>
      </c>
      <c r="G84" s="2">
        <v>525</v>
      </c>
      <c r="H84" s="2">
        <v>525</v>
      </c>
      <c r="I84" s="2">
        <v>525</v>
      </c>
      <c r="J84" s="2">
        <v>525</v>
      </c>
      <c r="K84" s="2">
        <v>525</v>
      </c>
      <c r="L84" s="2">
        <v>525</v>
      </c>
      <c r="M84" s="2">
        <v>525</v>
      </c>
      <c r="N84" s="2">
        <v>525</v>
      </c>
      <c r="O84" s="2">
        <v>525</v>
      </c>
      <c r="P84" s="9"/>
      <c r="Q84" s="2">
        <f>SUM(OSRRefD21_15_5x)+IFERROR(SUM(OSRRefE21_15_5x),0)</f>
        <v>5775</v>
      </c>
    </row>
    <row r="85" spans="1:17" s="34" customFormat="1" hidden="1" outlineLevel="1" x14ac:dyDescent="0.3">
      <c r="A85" s="35"/>
      <c r="B85" s="10" t="str">
        <f>CONCATENATE("          ","6248", " - ","UNIFORMS")</f>
        <v xml:space="preserve">          6248 - UNIFORMS</v>
      </c>
      <c r="C85" s="14"/>
      <c r="D85" s="2"/>
      <c r="E85" s="2">
        <v>588</v>
      </c>
      <c r="F85" s="2">
        <v>588</v>
      </c>
      <c r="G85" s="2">
        <v>588</v>
      </c>
      <c r="H85" s="2">
        <v>588</v>
      </c>
      <c r="I85" s="2">
        <v>588</v>
      </c>
      <c r="J85" s="2">
        <v>588</v>
      </c>
      <c r="K85" s="2">
        <v>588</v>
      </c>
      <c r="L85" s="2">
        <v>588</v>
      </c>
      <c r="M85" s="2">
        <v>588</v>
      </c>
      <c r="N85" s="2">
        <v>588</v>
      </c>
      <c r="O85" s="2">
        <v>582</v>
      </c>
      <c r="P85" s="9"/>
      <c r="Q85" s="2">
        <f>SUM(OSRRefD21_15_6x)+IFERROR(SUM(OSRRefE21_15_6x),0)</f>
        <v>6462</v>
      </c>
    </row>
    <row r="86" spans="1:17" s="34" customFormat="1" collapsed="1" x14ac:dyDescent="0.3">
      <c r="A86" s="35"/>
      <c r="B86" s="14" t="str">
        <f>CONCATENATE("     ","Telephone/Data Lines                              ")</f>
        <v xml:space="preserve">     Telephone/Data Lines                              </v>
      </c>
      <c r="C86" s="14"/>
      <c r="D86" s="1">
        <f>SUM(OSRRefD21_16x_0)</f>
        <v>499</v>
      </c>
      <c r="E86" s="1">
        <f>SUM(OSRRefE21_16x_0)</f>
        <v>601</v>
      </c>
      <c r="F86" s="1">
        <f>SUM(OSRRefE21_16x_1)</f>
        <v>601</v>
      </c>
      <c r="G86" s="1">
        <f>SUM(OSRRefE21_16x_2)</f>
        <v>601</v>
      </c>
      <c r="H86" s="1">
        <f>SUM(OSRRefE21_16x_3)</f>
        <v>601</v>
      </c>
      <c r="I86" s="1">
        <f>SUM(OSRRefE21_16x_4)</f>
        <v>601</v>
      </c>
      <c r="J86" s="1">
        <f>SUM(OSRRefE21_16x_5)</f>
        <v>601</v>
      </c>
      <c r="K86" s="1">
        <f>SUM(OSRRefE21_16x_6)</f>
        <v>601</v>
      </c>
      <c r="L86" s="1">
        <f>SUM(OSRRefE21_16x_7)</f>
        <v>601</v>
      </c>
      <c r="M86" s="1">
        <f>SUM(OSRRefE21_16x_8)</f>
        <v>601</v>
      </c>
      <c r="N86" s="1">
        <f>SUM(OSRRefE21_16x_9)</f>
        <v>601</v>
      </c>
      <c r="O86" s="1">
        <f>SUM(OSRRefE21_16x_10)</f>
        <v>605</v>
      </c>
      <c r="Q86" s="2">
        <f>SUM(OSRRefD20_16x)+IFERROR(SUM(OSRRefE20_16x),0)</f>
        <v>7114</v>
      </c>
    </row>
    <row r="87" spans="1:17" s="34" customFormat="1" hidden="1" outlineLevel="1" x14ac:dyDescent="0.3">
      <c r="A87" s="35"/>
      <c r="B87" s="10" t="str">
        <f>CONCATENATE("          ","6303", " - ","DATA PHONE LINES")</f>
        <v xml:space="preserve">          6303 - DATA PHONE LINES</v>
      </c>
      <c r="C87" s="14"/>
      <c r="D87" s="2"/>
      <c r="E87" s="2">
        <v>58</v>
      </c>
      <c r="F87" s="2">
        <v>58</v>
      </c>
      <c r="G87" s="2">
        <v>58</v>
      </c>
      <c r="H87" s="2">
        <v>58</v>
      </c>
      <c r="I87" s="2">
        <v>58</v>
      </c>
      <c r="J87" s="2">
        <v>58</v>
      </c>
      <c r="K87" s="2">
        <v>58</v>
      </c>
      <c r="L87" s="2">
        <v>58</v>
      </c>
      <c r="M87" s="2">
        <v>58</v>
      </c>
      <c r="N87" s="2">
        <v>58</v>
      </c>
      <c r="O87" s="2">
        <v>62</v>
      </c>
      <c r="P87" s="9"/>
      <c r="Q87" s="2">
        <f>SUM(OSRRefD21_16_0x)+IFERROR(SUM(OSRRefE21_16_0x),0)</f>
        <v>642</v>
      </c>
    </row>
    <row r="88" spans="1:17" s="34" customFormat="1" hidden="1" outlineLevel="1" x14ac:dyDescent="0.3">
      <c r="A88" s="35"/>
      <c r="B88" s="10" t="str">
        <f>CONCATENATE("          ","6309", " - ","TELEPHONE")</f>
        <v xml:space="preserve">          6309 - TELEPHONE</v>
      </c>
      <c r="C88" s="14"/>
      <c r="D88" s="2">
        <v>499</v>
      </c>
      <c r="E88" s="2">
        <v>543</v>
      </c>
      <c r="F88" s="2">
        <v>543</v>
      </c>
      <c r="G88" s="2">
        <v>543</v>
      </c>
      <c r="H88" s="2">
        <v>543</v>
      </c>
      <c r="I88" s="2">
        <v>543</v>
      </c>
      <c r="J88" s="2">
        <v>543</v>
      </c>
      <c r="K88" s="2">
        <v>543</v>
      </c>
      <c r="L88" s="2">
        <v>543</v>
      </c>
      <c r="M88" s="2">
        <v>543</v>
      </c>
      <c r="N88" s="2">
        <v>543</v>
      </c>
      <c r="O88" s="2">
        <v>543</v>
      </c>
      <c r="P88" s="9"/>
      <c r="Q88" s="2">
        <f>SUM(OSRRefD21_16_1x)+IFERROR(SUM(OSRRefE21_16_1x),0)</f>
        <v>6472</v>
      </c>
    </row>
    <row r="89" spans="1:17" s="34" customFormat="1" collapsed="1" x14ac:dyDescent="0.3">
      <c r="A89" s="35"/>
      <c r="B89" s="14" t="str">
        <f>CONCATENATE("     ","Training                                          ")</f>
        <v xml:space="preserve">     Training                                          </v>
      </c>
      <c r="C89" s="14"/>
      <c r="D89" s="1">
        <f>SUM(OSRRefD21_17x_0)</f>
        <v>0</v>
      </c>
      <c r="E89" s="1">
        <f>SUM(OSRRefE21_17x_0)</f>
        <v>640</v>
      </c>
      <c r="F89" s="1">
        <f>SUM(OSRRefE21_17x_1)</f>
        <v>640</v>
      </c>
      <c r="G89" s="1">
        <f>SUM(OSRRefE21_17x_2)</f>
        <v>640</v>
      </c>
      <c r="H89" s="1">
        <f>SUM(OSRRefE21_17x_3)</f>
        <v>640</v>
      </c>
      <c r="I89" s="1">
        <f>SUM(OSRRefE21_17x_4)</f>
        <v>640</v>
      </c>
      <c r="J89" s="1">
        <f>SUM(OSRRefE21_17x_5)</f>
        <v>1660</v>
      </c>
      <c r="K89" s="1">
        <f>SUM(OSRRefE21_17x_6)</f>
        <v>640</v>
      </c>
      <c r="L89" s="1">
        <f>SUM(OSRRefE21_17x_7)</f>
        <v>615</v>
      </c>
      <c r="M89" s="1">
        <f>SUM(OSRRefE21_17x_8)</f>
        <v>615</v>
      </c>
      <c r="N89" s="1">
        <f>SUM(OSRRefE21_17x_9)</f>
        <v>615</v>
      </c>
      <c r="O89" s="1">
        <f>SUM(OSRRefE21_17x_10)</f>
        <v>1615</v>
      </c>
      <c r="Q89" s="2">
        <f>SUM(OSRRefD20_17x)+IFERROR(SUM(OSRRefE20_17x),0)</f>
        <v>8960</v>
      </c>
    </row>
    <row r="90" spans="1:17" s="34" customFormat="1" hidden="1" outlineLevel="1" x14ac:dyDescent="0.3">
      <c r="A90" s="35"/>
      <c r="B90" s="10" t="str">
        <f>CONCATENATE("          ","6376", " - ","TRAINING")</f>
        <v xml:space="preserve">          6376 - TRAINING</v>
      </c>
      <c r="C90" s="14"/>
      <c r="D90" s="2"/>
      <c r="E90" s="2">
        <v>640</v>
      </c>
      <c r="F90" s="2">
        <v>640</v>
      </c>
      <c r="G90" s="2">
        <v>640</v>
      </c>
      <c r="H90" s="2">
        <v>640</v>
      </c>
      <c r="I90" s="2">
        <v>640</v>
      </c>
      <c r="J90" s="2">
        <v>1660</v>
      </c>
      <c r="K90" s="2">
        <v>640</v>
      </c>
      <c r="L90" s="2">
        <v>615</v>
      </c>
      <c r="M90" s="2">
        <v>615</v>
      </c>
      <c r="N90" s="2">
        <v>615</v>
      </c>
      <c r="O90" s="2">
        <v>1615</v>
      </c>
      <c r="P90" s="9"/>
      <c r="Q90" s="2">
        <f>SUM(OSRRefD21_17_0x)+IFERROR(SUM(OSRRefE21_17_0x),0)</f>
        <v>8960</v>
      </c>
    </row>
    <row r="91" spans="1:17" s="28" customFormat="1" x14ac:dyDescent="0.3">
      <c r="A91" s="21"/>
      <c r="B91" s="21"/>
      <c r="C91" s="2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Q91" s="1"/>
    </row>
    <row r="92" spans="1:17" s="9" customFormat="1" x14ac:dyDescent="0.3">
      <c r="A92" s="22"/>
      <c r="B92" s="16" t="s">
        <v>293</v>
      </c>
      <c r="C92" s="23"/>
      <c r="D92" s="3">
        <f>0</f>
        <v>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2">
        <f>SUM(OSRRefD23_0x)+IFERROR(SUM(OSRRefE23_0x),0)</f>
        <v>0</v>
      </c>
    </row>
    <row r="93" spans="1:17" x14ac:dyDescent="0.3">
      <c r="A93" s="5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</row>
    <row r="94" spans="1:17" s="15" customFormat="1" x14ac:dyDescent="0.3">
      <c r="A94" s="6"/>
      <c r="B94" s="17" t="s">
        <v>276</v>
      </c>
      <c r="C94" s="17"/>
      <c r="D94" s="8">
        <f t="shared" ref="D94:O94" si="2">IFERROR(+D21-D24+D92, 0)</f>
        <v>-188771.38</v>
      </c>
      <c r="E94" s="8">
        <f t="shared" si="2"/>
        <v>-274709.86582506605</v>
      </c>
      <c r="F94" s="8">
        <f t="shared" si="2"/>
        <v>266389.16767493403</v>
      </c>
      <c r="G94" s="8">
        <f t="shared" si="2"/>
        <v>377646.45959366742</v>
      </c>
      <c r="H94" s="8">
        <f t="shared" si="2"/>
        <v>79803.807674933982</v>
      </c>
      <c r="I94" s="8">
        <f t="shared" si="2"/>
        <v>130599.72767493397</v>
      </c>
      <c r="J94" s="8">
        <f t="shared" si="2"/>
        <v>-191752.95429658255</v>
      </c>
      <c r="K94" s="8">
        <f t="shared" si="2"/>
        <v>275076.52176273393</v>
      </c>
      <c r="L94" s="8">
        <f t="shared" si="2"/>
        <v>239151.52176273393</v>
      </c>
      <c r="M94" s="8">
        <f t="shared" si="2"/>
        <v>180723.98170341738</v>
      </c>
      <c r="N94" s="8">
        <f t="shared" si="2"/>
        <v>-465.93823726603296</v>
      </c>
      <c r="O94" s="8">
        <f t="shared" si="2"/>
        <v>-278265.06823726604</v>
      </c>
      <c r="Q94" s="8">
        <f>IFERROR(+Q21-Q24+Q92, 0)</f>
        <v>615425.98125117552</v>
      </c>
    </row>
    <row r="95" spans="1:17" s="6" customFormat="1" x14ac:dyDescent="0.3">
      <c r="B95" s="16"/>
      <c r="C95" s="16"/>
      <c r="D95" s="4">
        <f t="shared" ref="D95:O95" si="3">IFERROR(D94/D10, 0)</f>
        <v>-8.2119678866855033</v>
      </c>
      <c r="E95" s="4">
        <f t="shared" si="3"/>
        <v>-0.97332010283824422</v>
      </c>
      <c r="F95" s="4">
        <f t="shared" si="3"/>
        <v>0.23595979279596621</v>
      </c>
      <c r="G95" s="4">
        <f t="shared" si="3"/>
        <v>0.26760661819279152</v>
      </c>
      <c r="H95" s="4">
        <f t="shared" si="3"/>
        <v>9.8963055152447896E-2</v>
      </c>
      <c r="I95" s="4">
        <f t="shared" si="3"/>
        <v>0.14723093397697282</v>
      </c>
      <c r="J95" s="4">
        <f t="shared" si="3"/>
        <v>-0.43234342148399746</v>
      </c>
      <c r="K95" s="4">
        <f t="shared" si="3"/>
        <v>0.24365479889697947</v>
      </c>
      <c r="L95" s="4">
        <f t="shared" si="3"/>
        <v>0.21967916093725559</v>
      </c>
      <c r="M95" s="4">
        <f t="shared" si="3"/>
        <v>0.16600894850769526</v>
      </c>
      <c r="N95" s="4">
        <f t="shared" si="3"/>
        <v>-7.7040052458008095E-4</v>
      </c>
      <c r="O95" s="4">
        <f t="shared" si="3"/>
        <v>0</v>
      </c>
      <c r="P95" s="18"/>
      <c r="Q95" s="4">
        <f>IFERROR(Q94/Q10, 0)</f>
        <v>6.9200402167479566E-2</v>
      </c>
    </row>
    <row r="96" spans="1:17" x14ac:dyDescent="0.3">
      <c r="A96" s="5"/>
      <c r="B96" s="6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</row>
    <row r="97" spans="1:17" s="15" customFormat="1" x14ac:dyDescent="0.3">
      <c r="A97" s="25"/>
      <c r="B97" s="6" t="s">
        <v>125</v>
      </c>
      <c r="C97" s="6"/>
      <c r="D97" s="3">
        <v>10620.07</v>
      </c>
      <c r="E97" s="3">
        <v>31609</v>
      </c>
      <c r="F97" s="3">
        <v>121625</v>
      </c>
      <c r="G97" s="3">
        <v>171315</v>
      </c>
      <c r="H97" s="3">
        <v>129096</v>
      </c>
      <c r="I97" s="3">
        <v>131025</v>
      </c>
      <c r="J97" s="3">
        <v>36719</v>
      </c>
      <c r="K97" s="3">
        <v>122893</v>
      </c>
      <c r="L97" s="3">
        <v>129739</v>
      </c>
      <c r="M97" s="3">
        <v>142767</v>
      </c>
      <c r="N97" s="3">
        <v>82806</v>
      </c>
      <c r="O97" s="3">
        <v>-93744</v>
      </c>
      <c r="Q97" s="2">
        <f>SUM(OSRRefD28_0x)+IFERROR(SUM(OSRRefE28_0x),0)</f>
        <v>1016470.07</v>
      </c>
    </row>
    <row r="98" spans="1:17" x14ac:dyDescent="0.3">
      <c r="A98" s="5"/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Q98" s="3"/>
    </row>
    <row r="99" spans="1:17" s="15" customFormat="1" ht="15" thickBot="1" x14ac:dyDescent="0.35">
      <c r="A99" s="6"/>
      <c r="B99" s="17" t="s">
        <v>124</v>
      </c>
      <c r="C99" s="17"/>
      <c r="D99" s="7">
        <f t="shared" ref="D99:O99" si="4">IFERROR(+D94-D97, 0)</f>
        <v>-199391.45</v>
      </c>
      <c r="E99" s="7">
        <f t="shared" si="4"/>
        <v>-306318.86582506605</v>
      </c>
      <c r="F99" s="7">
        <f t="shared" si="4"/>
        <v>144764.16767493403</v>
      </c>
      <c r="G99" s="7">
        <f t="shared" si="4"/>
        <v>206331.45959366742</v>
      </c>
      <c r="H99" s="7">
        <f t="shared" si="4"/>
        <v>-49292.192325066018</v>
      </c>
      <c r="I99" s="7">
        <f t="shared" si="4"/>
        <v>-425.27232506603468</v>
      </c>
      <c r="J99" s="7">
        <f t="shared" si="4"/>
        <v>-228471.95429658255</v>
      </c>
      <c r="K99" s="7">
        <f t="shared" si="4"/>
        <v>152183.52176273393</v>
      </c>
      <c r="L99" s="7">
        <f t="shared" si="4"/>
        <v>109412.52176273393</v>
      </c>
      <c r="M99" s="7">
        <f t="shared" si="4"/>
        <v>37956.981703417376</v>
      </c>
      <c r="N99" s="7">
        <f t="shared" si="4"/>
        <v>-83271.938237266033</v>
      </c>
      <c r="O99" s="7">
        <f t="shared" si="4"/>
        <v>-184521.06823726604</v>
      </c>
      <c r="Q99" s="7">
        <f>IFERROR(+Q94-Q97, 0)</f>
        <v>-401044.08874882443</v>
      </c>
    </row>
    <row r="100" spans="1:17" ht="15" thickTop="1" x14ac:dyDescent="0.3">
      <c r="A100" s="5"/>
      <c r="B100" s="5"/>
      <c r="C100" s="5"/>
      <c r="D100" s="4">
        <f t="shared" ref="D100:O100" si="5">IFERROR(D99/D10, 0)</f>
        <v>-8.6739641585480722</v>
      </c>
      <c r="E100" s="4">
        <f t="shared" si="5"/>
        <v>-1.0853134418405117</v>
      </c>
      <c r="F100" s="4">
        <f t="shared" si="5"/>
        <v>0.12822789795469638</v>
      </c>
      <c r="G100" s="4">
        <f t="shared" si="5"/>
        <v>0.14620993451932215</v>
      </c>
      <c r="H100" s="4">
        <f t="shared" si="5"/>
        <v>-6.1126230561837823E-2</v>
      </c>
      <c r="I100" s="4">
        <f t="shared" si="5"/>
        <v>-4.7942857713973965E-4</v>
      </c>
      <c r="J100" s="4">
        <f t="shared" si="5"/>
        <v>-0.51513337458645059</v>
      </c>
      <c r="K100" s="4">
        <f t="shared" si="5"/>
        <v>0.13479974645933773</v>
      </c>
      <c r="L100" s="4">
        <f t="shared" si="5"/>
        <v>0.10050385964389874</v>
      </c>
      <c r="M100" s="4">
        <f t="shared" si="5"/>
        <v>3.4866422052668815E-2</v>
      </c>
      <c r="N100" s="4">
        <f t="shared" si="5"/>
        <v>-0.13768508306426261</v>
      </c>
      <c r="O100" s="4">
        <f t="shared" si="5"/>
        <v>0</v>
      </c>
      <c r="P100" s="18"/>
      <c r="Q100" s="4">
        <f>IFERROR(Q99/Q10, 0)</f>
        <v>-4.509463863044539E-2</v>
      </c>
    </row>
    <row r="101" spans="1:17" x14ac:dyDescent="0.3">
      <c r="A101" s="5"/>
      <c r="B101" s="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Q101" s="3"/>
    </row>
    <row r="102" spans="1:17" x14ac:dyDescent="0.3">
      <c r="A102" s="5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</row>
    <row r="103" spans="1:17" s="15" customFormat="1" ht="15" thickBot="1" x14ac:dyDescent="0.35">
      <c r="A103" s="6"/>
      <c r="B103" s="17" t="s">
        <v>294</v>
      </c>
      <c r="C103" s="17"/>
      <c r="D103" s="7">
        <f t="shared" ref="D103:O103" si="6">IFERROR(SUM(D99:D102), 0)</f>
        <v>-199400.12396415856</v>
      </c>
      <c r="E103" s="7">
        <f t="shared" si="6"/>
        <v>-306319.95113850787</v>
      </c>
      <c r="F103" s="7">
        <f t="shared" si="6"/>
        <v>144764.29590283197</v>
      </c>
      <c r="G103" s="7">
        <f t="shared" si="6"/>
        <v>206331.60580360194</v>
      </c>
      <c r="H103" s="7">
        <f t="shared" si="6"/>
        <v>-49292.253451296579</v>
      </c>
      <c r="I103" s="7">
        <f t="shared" si="6"/>
        <v>-425.27280449461182</v>
      </c>
      <c r="J103" s="7">
        <f t="shared" si="6"/>
        <v>-228472.46942995713</v>
      </c>
      <c r="K103" s="7">
        <f t="shared" si="6"/>
        <v>152183.65656248038</v>
      </c>
      <c r="L103" s="7">
        <f t="shared" si="6"/>
        <v>109412.62226659358</v>
      </c>
      <c r="M103" s="7">
        <f t="shared" si="6"/>
        <v>37957.016569839427</v>
      </c>
      <c r="N103" s="7">
        <f t="shared" si="6"/>
        <v>-83272.075922349104</v>
      </c>
      <c r="O103" s="7">
        <f t="shared" si="6"/>
        <v>-184521.06823726604</v>
      </c>
      <c r="Q103" s="7">
        <f>IFERROR(SUM(Q99:Q102), 0)</f>
        <v>-401044.13384346309</v>
      </c>
    </row>
    <row r="104" spans="1:17" ht="15" thickTop="1" x14ac:dyDescent="0.3">
      <c r="A104" s="5"/>
      <c r="C104" s="5"/>
      <c r="D104" s="4">
        <f t="shared" ref="D104:O104" si="7">IFERROR(D103/D10, 0)</f>
        <v>-8.6743414949595561</v>
      </c>
      <c r="E104" s="4">
        <f t="shared" si="7"/>
        <v>-1.0853172871970942</v>
      </c>
      <c r="F104" s="4">
        <f t="shared" si="7"/>
        <v>0.12822801153524657</v>
      </c>
      <c r="G104" s="4">
        <f t="shared" si="7"/>
        <v>0.14621003812613517</v>
      </c>
      <c r="H104" s="4">
        <f t="shared" si="7"/>
        <v>-6.1126306363215005E-2</v>
      </c>
      <c r="I104" s="4">
        <f t="shared" si="7"/>
        <v>-4.7942911762109019E-4</v>
      </c>
      <c r="J104" s="4">
        <f t="shared" si="7"/>
        <v>-0.51513453605239257</v>
      </c>
      <c r="K104" s="4">
        <f t="shared" si="7"/>
        <v>0.13479986586104059</v>
      </c>
      <c r="L104" s="4">
        <f t="shared" si="7"/>
        <v>0.10050395196446353</v>
      </c>
      <c r="M104" s="4">
        <f t="shared" si="7"/>
        <v>3.4866454080172901E-2</v>
      </c>
      <c r="N104" s="4">
        <f t="shared" si="7"/>
        <v>-0.13768531071816981</v>
      </c>
      <c r="O104" s="4">
        <f t="shared" si="7"/>
        <v>0</v>
      </c>
      <c r="P104" s="18"/>
      <c r="Q104" s="4">
        <f>IFERROR(Q103/Q10, 0)</f>
        <v>-4.5094643701026137E-2</v>
      </c>
    </row>
    <row r="105" spans="1:17" x14ac:dyDescent="0.3">
      <c r="A105" s="5"/>
      <c r="B105" s="30">
        <v>44462.678375810188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Q105" s="11"/>
    </row>
    <row r="106" spans="1:17" x14ac:dyDescent="0.3">
      <c r="A106" s="5"/>
      <c r="B106" s="31" t="s">
        <v>54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1"/>
    </row>
    <row r="107" spans="1:17" x14ac:dyDescent="0.3">
      <c r="A107" s="5"/>
      <c r="B107" s="2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Q107" s="11"/>
    </row>
    <row r="108" spans="1:17" x14ac:dyDescent="0.3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Q108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rgb="FF92D050"/>
    <outlinePr summaryBelow="0" summaryRight="0"/>
    <pageSetUpPr fitToPage="1"/>
  </sheetPr>
  <dimension ref="A2:R6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","430", " - ", "Res Hall Management")</f>
        <v>Department 430 - Res Hall Management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x14ac:dyDescent="0.3">
      <c r="A10" s="5"/>
      <c r="B10" s="16" t="s">
        <v>291</v>
      </c>
      <c r="C10" s="5"/>
      <c r="D10" s="3">
        <f t="shared" ref="D10:O10" si="0">SUM(0)</f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24"/>
      <c r="Q10" s="3">
        <f>SUM(0)</f>
        <v>0</v>
      </c>
      <c r="R10" s="24"/>
    </row>
    <row r="11" spans="1:18" x14ac:dyDescent="0.3">
      <c r="A11" s="5"/>
      <c r="B11" s="6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Q11" s="3"/>
    </row>
    <row r="12" spans="1:18" s="9" customFormat="1" x14ac:dyDescent="0.3">
      <c r="A12" s="22"/>
      <c r="B12" s="16" t="s">
        <v>218</v>
      </c>
      <c r="C12" s="23"/>
      <c r="D12" s="3">
        <f t="shared" ref="D12:O12" si="1">SUM(0)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Q12" s="3">
        <f>SUM(0)</f>
        <v>0</v>
      </c>
    </row>
    <row r="13" spans="1:18" x14ac:dyDescent="0.3">
      <c r="A13" s="5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Q13" s="3"/>
    </row>
    <row r="14" spans="1:18" s="15" customFormat="1" x14ac:dyDescent="0.3">
      <c r="A14" s="6"/>
      <c r="B14" s="17" t="s">
        <v>105</v>
      </c>
      <c r="C14" s="17"/>
      <c r="D14" s="8">
        <f t="shared" ref="D14:O14" si="2">IFERROR(+D10-D12, 0)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  <c r="N14" s="8">
        <f t="shared" si="2"/>
        <v>0</v>
      </c>
      <c r="O14" s="8">
        <f t="shared" si="2"/>
        <v>0</v>
      </c>
      <c r="Q14" s="8">
        <f>IFERROR(+Q10-Q12, 0)</f>
        <v>0</v>
      </c>
    </row>
    <row r="15" spans="1:18" s="6" customFormat="1" x14ac:dyDescent="0.3">
      <c r="B15" s="16"/>
      <c r="C15" s="16"/>
      <c r="D15" s="4">
        <f t="shared" ref="D15:O15" si="3">IFERROR(D14/D10, 0)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18"/>
      <c r="Q15" s="4">
        <f>IFERROR(Q14/Q10, 0)</f>
        <v>0</v>
      </c>
    </row>
    <row r="16" spans="1:18" x14ac:dyDescent="0.3">
      <c r="A16" s="5"/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</row>
    <row r="17" spans="1:17" s="15" customFormat="1" x14ac:dyDescent="0.3">
      <c r="A17" s="6"/>
      <c r="B17" s="16" t="s">
        <v>255</v>
      </c>
      <c r="C17" s="6"/>
      <c r="D17" s="13">
        <f>SUM(OSRRefD20x_0)</f>
        <v>20675.600000000002</v>
      </c>
      <c r="E17" s="13">
        <f>SUM(OSRRefE20x_0)</f>
        <v>17174.263740000002</v>
      </c>
      <c r="F17" s="13">
        <f>SUM(OSRRefE20x_1)</f>
        <v>17174.263740000002</v>
      </c>
      <c r="G17" s="13">
        <f>SUM(OSRRefE20x_2)</f>
        <v>19867.329675000001</v>
      </c>
      <c r="H17" s="13">
        <f>SUM(OSRRefE20x_3)</f>
        <v>17174.263740000002</v>
      </c>
      <c r="I17" s="13">
        <f>SUM(OSRRefE20x_4)</f>
        <v>17174.263740000002</v>
      </c>
      <c r="J17" s="13">
        <f>SUM(OSRRefE20x_5)</f>
        <v>20271.289565250001</v>
      </c>
      <c r="K17" s="13">
        <f>SUM(OSRRefE20x_6)</f>
        <v>17497.431652200001</v>
      </c>
      <c r="L17" s="13">
        <f>SUM(OSRRefE20x_7)</f>
        <v>17497.431652200001</v>
      </c>
      <c r="M17" s="13">
        <f>SUM(OSRRefE20x_8)</f>
        <v>20271.289565250001</v>
      </c>
      <c r="N17" s="13">
        <f>SUM(OSRRefE20x_9)</f>
        <v>17497.431652200001</v>
      </c>
      <c r="O17" s="13">
        <f>SUM(OSRRefE20x_10)</f>
        <v>17497.431652200001</v>
      </c>
      <c r="Q17" s="13">
        <f>SUM(OSRRefG20x)</f>
        <v>219772.29037430001</v>
      </c>
    </row>
    <row r="18" spans="1:17" s="34" customFormat="1" collapsed="1" x14ac:dyDescent="0.3">
      <c r="A18" s="35"/>
      <c r="B18" s="14" t="str">
        <f>CONCATENATE("     ","*Benefits                                         ")</f>
        <v xml:space="preserve">     *Benefits                                         </v>
      </c>
      <c r="C18" s="14"/>
      <c r="D18" s="1">
        <f>SUM(OSRRefD21_0x_0)</f>
        <v>5748.06</v>
      </c>
      <c r="E18" s="1">
        <f>SUM(OSRRefE21_0x_0)</f>
        <v>4239.16374</v>
      </c>
      <c r="F18" s="1">
        <f>SUM(OSRRefE21_0x_1)</f>
        <v>4239.16374</v>
      </c>
      <c r="G18" s="1">
        <f>SUM(OSRRefE21_0x_2)</f>
        <v>4804.704675</v>
      </c>
      <c r="H18" s="1">
        <f>SUM(OSRRefE21_0x_3)</f>
        <v>4239.16374</v>
      </c>
      <c r="I18" s="1">
        <f>SUM(OSRRefE21_0x_4)</f>
        <v>4239.16374</v>
      </c>
      <c r="J18" s="1">
        <f>SUM(OSRRefE21_0x_5)</f>
        <v>4889.5358152499994</v>
      </c>
      <c r="K18" s="1">
        <f>SUM(OSRRefE21_0x_6)</f>
        <v>4307.0286522000006</v>
      </c>
      <c r="L18" s="1">
        <f>SUM(OSRRefE21_0x_7)</f>
        <v>4307.0286522000006</v>
      </c>
      <c r="M18" s="1">
        <f>SUM(OSRRefE21_0x_8)</f>
        <v>4889.5358152499994</v>
      </c>
      <c r="N18" s="1">
        <f>SUM(OSRRefE21_0x_9)</f>
        <v>4307.0286522000006</v>
      </c>
      <c r="O18" s="1">
        <f>SUM(OSRRefE21_0x_10)</f>
        <v>4307.0286522000006</v>
      </c>
      <c r="Q18" s="2">
        <f>SUM(OSRRefD20_0x)+IFERROR(SUM(OSRRefE20_0x),0)</f>
        <v>54516.605874300003</v>
      </c>
    </row>
    <row r="19" spans="1:17" s="34" customFormat="1" hidden="1" outlineLevel="1" x14ac:dyDescent="0.3">
      <c r="A19" s="35"/>
      <c r="B19" s="10" t="str">
        <f>CONCATENATE("          ","6111", " - ","F.I.C.A.")</f>
        <v xml:space="preserve">          6111 - F.I.C.A.</v>
      </c>
      <c r="C19" s="14"/>
      <c r="D19" s="2">
        <v>685.42</v>
      </c>
      <c r="E19" s="2">
        <v>685.55574000000001</v>
      </c>
      <c r="F19" s="2">
        <v>685.55574000000001</v>
      </c>
      <c r="G19" s="2">
        <v>856.94467499999996</v>
      </c>
      <c r="H19" s="2">
        <v>685.55574000000001</v>
      </c>
      <c r="I19" s="2">
        <v>685.55574000000001</v>
      </c>
      <c r="J19" s="2">
        <v>882.65301524999995</v>
      </c>
      <c r="K19" s="2">
        <v>706.12241219999999</v>
      </c>
      <c r="L19" s="2">
        <v>706.12241219999999</v>
      </c>
      <c r="M19" s="2">
        <v>882.65301524999995</v>
      </c>
      <c r="N19" s="2">
        <v>706.12241219999999</v>
      </c>
      <c r="O19" s="2">
        <v>706.12241219999999</v>
      </c>
      <c r="P19" s="9"/>
      <c r="Q19" s="2">
        <f>SUM(OSRRefD21_0_0x)+IFERROR(SUM(OSRRefE21_0_0x),0)</f>
        <v>8874.3833143000011</v>
      </c>
    </row>
    <row r="20" spans="1:17" s="34" customFormat="1" hidden="1" outlineLevel="1" x14ac:dyDescent="0.3">
      <c r="A20" s="35"/>
      <c r="B20" s="10" t="str">
        <f>CONCATENATE("          ","6112", " - ","COMPENSATION INSURANCE")</f>
        <v xml:space="preserve">          6112 - COMPENSATION INSURANCE</v>
      </c>
      <c r="C20" s="14"/>
      <c r="D20" s="2">
        <v>322.54000000000002</v>
      </c>
      <c r="E20" s="2">
        <v>339.50819999999999</v>
      </c>
      <c r="F20" s="2">
        <v>339.50819999999999</v>
      </c>
      <c r="G20" s="2">
        <v>424.38524999999998</v>
      </c>
      <c r="H20" s="2">
        <v>339.50819999999999</v>
      </c>
      <c r="I20" s="2">
        <v>339.50819999999999</v>
      </c>
      <c r="J20" s="2">
        <v>437.11680749999999</v>
      </c>
      <c r="K20" s="2">
        <v>349.69344599999999</v>
      </c>
      <c r="L20" s="2">
        <v>349.69344599999999</v>
      </c>
      <c r="M20" s="2">
        <v>437.11680749999999</v>
      </c>
      <c r="N20" s="2">
        <v>349.69344599999999</v>
      </c>
      <c r="O20" s="2">
        <v>349.69344599999999</v>
      </c>
      <c r="P20" s="9"/>
      <c r="Q20" s="2">
        <f>SUM(OSRRefD21_0_1x)+IFERROR(SUM(OSRRefE21_0_1x),0)</f>
        <v>4377.9654490000003</v>
      </c>
    </row>
    <row r="21" spans="1:17" s="34" customFormat="1" hidden="1" outlineLevel="1" x14ac:dyDescent="0.3">
      <c r="A21" s="35"/>
      <c r="B21" s="10" t="str">
        <f>CONCATENATE("          ","6113", " - ","GROUP INSURANCE")</f>
        <v xml:space="preserve">          6113 - GROUP INSURANCE</v>
      </c>
      <c r="C21" s="14"/>
      <c r="D21" s="2">
        <v>2687.98</v>
      </c>
      <c r="E21" s="2">
        <v>1977</v>
      </c>
      <c r="F21" s="2">
        <v>1977</v>
      </c>
      <c r="G21" s="2">
        <v>1977</v>
      </c>
      <c r="H21" s="2">
        <v>1977</v>
      </c>
      <c r="I21" s="2">
        <v>1977</v>
      </c>
      <c r="J21" s="2">
        <v>1977</v>
      </c>
      <c r="K21" s="2">
        <v>1977</v>
      </c>
      <c r="L21" s="2">
        <v>1977</v>
      </c>
      <c r="M21" s="2">
        <v>1977</v>
      </c>
      <c r="N21" s="2">
        <v>1977</v>
      </c>
      <c r="O21" s="2">
        <v>1977</v>
      </c>
      <c r="P21" s="9"/>
      <c r="Q21" s="2">
        <f>SUM(OSRRefD21_0_2x)+IFERROR(SUM(OSRRefE21_0_2x),0)</f>
        <v>24434.98</v>
      </c>
    </row>
    <row r="22" spans="1:17" s="34" customFormat="1" hidden="1" outlineLevel="1" x14ac:dyDescent="0.3">
      <c r="A22" s="35"/>
      <c r="B22" s="10" t="str">
        <f>CONCATENATE("          ","6114", " - ","STATE UNEMPLOYMENT INSURANCE")</f>
        <v xml:space="preserve">          6114 - STATE UNEMPLOYMENT INSURANCE</v>
      </c>
      <c r="C22" s="14"/>
      <c r="D22" s="2">
        <v>23.29</v>
      </c>
      <c r="E22" s="2">
        <v>18.811800000000002</v>
      </c>
      <c r="F22" s="2">
        <v>18.811800000000002</v>
      </c>
      <c r="G22" s="2">
        <v>23.514749999999999</v>
      </c>
      <c r="H22" s="2">
        <v>18.811800000000002</v>
      </c>
      <c r="I22" s="2">
        <v>18.811800000000002</v>
      </c>
      <c r="J22" s="2">
        <v>24.2201925</v>
      </c>
      <c r="K22" s="2">
        <v>19.376154</v>
      </c>
      <c r="L22" s="2">
        <v>19.376154</v>
      </c>
      <c r="M22" s="2">
        <v>24.2201925</v>
      </c>
      <c r="N22" s="2">
        <v>19.376154</v>
      </c>
      <c r="O22" s="2">
        <v>19.376154</v>
      </c>
      <c r="P22" s="9"/>
      <c r="Q22" s="2">
        <f>SUM(OSRRefD21_0_3x)+IFERROR(SUM(OSRRefE21_0_3x),0)</f>
        <v>247.99695099999994</v>
      </c>
    </row>
    <row r="23" spans="1:17" s="34" customFormat="1" hidden="1" outlineLevel="1" x14ac:dyDescent="0.3">
      <c r="A23" s="35"/>
      <c r="B23" s="10" t="str">
        <f>CONCATENATE("          ","6115", " - ","P.E.R.S.")</f>
        <v xml:space="preserve">          6115 - P.E.R.S.</v>
      </c>
      <c r="C23" s="14"/>
      <c r="D23" s="2">
        <v>680.03</v>
      </c>
      <c r="E23" s="2">
        <v>770.38800000000003</v>
      </c>
      <c r="F23" s="2">
        <v>770.38800000000003</v>
      </c>
      <c r="G23" s="2">
        <v>962.98500000000001</v>
      </c>
      <c r="H23" s="2">
        <v>770.38800000000003</v>
      </c>
      <c r="I23" s="2">
        <v>770.38800000000003</v>
      </c>
      <c r="J23" s="2">
        <v>991.87455</v>
      </c>
      <c r="K23" s="2">
        <v>793.49964</v>
      </c>
      <c r="L23" s="2">
        <v>793.49964</v>
      </c>
      <c r="M23" s="2">
        <v>991.87455</v>
      </c>
      <c r="N23" s="2">
        <v>793.49964</v>
      </c>
      <c r="O23" s="2">
        <v>793.49964</v>
      </c>
      <c r="P23" s="9"/>
      <c r="Q23" s="2">
        <f>SUM(OSRRefD21_0_4x)+IFERROR(SUM(OSRRefE21_0_4x),0)</f>
        <v>9882.31466</v>
      </c>
    </row>
    <row r="24" spans="1:17" s="34" customFormat="1" hidden="1" outlineLevel="1" x14ac:dyDescent="0.3">
      <c r="A24" s="35"/>
      <c r="B24" s="10" t="str">
        <f>CONCATENATE("          ","6116", " - ","EDUCATIONAL BENEFITS")</f>
        <v xml:space="preserve">          6116 - EDUCATIONAL BENEFITS</v>
      </c>
      <c r="C24" s="14"/>
      <c r="D24" s="2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9"/>
      <c r="Q24" s="2">
        <f>SUM(OSRRefD21_0_5x)+IFERROR(SUM(OSRRefE21_0_5x),0)</f>
        <v>0</v>
      </c>
    </row>
    <row r="25" spans="1:17" s="34" customFormat="1" hidden="1" outlineLevel="1" x14ac:dyDescent="0.3">
      <c r="A25" s="35"/>
      <c r="B25" s="10" t="str">
        <f>CONCATENATE("          ","6118", " - ","VACATION")</f>
        <v xml:space="preserve">          6118 - VACATION</v>
      </c>
      <c r="C25" s="14"/>
      <c r="D25" s="2">
        <v>827.64</v>
      </c>
      <c r="E25" s="2">
        <v>268.74</v>
      </c>
      <c r="F25" s="2">
        <v>268.74</v>
      </c>
      <c r="G25" s="2">
        <v>335.92500000000001</v>
      </c>
      <c r="H25" s="2">
        <v>268.74</v>
      </c>
      <c r="I25" s="2">
        <v>268.74</v>
      </c>
      <c r="J25" s="2">
        <v>346.00274999999999</v>
      </c>
      <c r="K25" s="2">
        <v>276.80220000000003</v>
      </c>
      <c r="L25" s="2">
        <v>276.80220000000003</v>
      </c>
      <c r="M25" s="2">
        <v>346.00274999999999</v>
      </c>
      <c r="N25" s="2">
        <v>276.80220000000003</v>
      </c>
      <c r="O25" s="2">
        <v>276.80220000000003</v>
      </c>
      <c r="P25" s="9"/>
      <c r="Q25" s="2">
        <f>SUM(OSRRefD21_0_6x)+IFERROR(SUM(OSRRefE21_0_6x),0)</f>
        <v>4037.7393000000002</v>
      </c>
    </row>
    <row r="26" spans="1:17" s="34" customFormat="1" hidden="1" outlineLevel="1" x14ac:dyDescent="0.3">
      <c r="A26" s="35"/>
      <c r="B26" s="10" t="str">
        <f>CONCATENATE("          ","6119", " - ","SICK LEAVE")</f>
        <v xml:space="preserve">          6119 - SICK LEAVE</v>
      </c>
      <c r="C26" s="14"/>
      <c r="D26" s="2">
        <v>413.26</v>
      </c>
      <c r="E26" s="2">
        <v>179.16</v>
      </c>
      <c r="F26" s="2">
        <v>179.16</v>
      </c>
      <c r="G26" s="2">
        <v>223.95</v>
      </c>
      <c r="H26" s="2">
        <v>179.16</v>
      </c>
      <c r="I26" s="2">
        <v>179.16</v>
      </c>
      <c r="J26" s="2">
        <v>230.66849999999999</v>
      </c>
      <c r="K26" s="2">
        <v>184.53479999999999</v>
      </c>
      <c r="L26" s="2">
        <v>184.53479999999999</v>
      </c>
      <c r="M26" s="2">
        <v>230.66849999999999</v>
      </c>
      <c r="N26" s="2">
        <v>184.53479999999999</v>
      </c>
      <c r="O26" s="2">
        <v>184.53479999999999</v>
      </c>
      <c r="P26" s="9"/>
      <c r="Q26" s="2">
        <f>SUM(OSRRefD21_0_7x)+IFERROR(SUM(OSRRefE21_0_7x),0)</f>
        <v>2553.3261999999995</v>
      </c>
    </row>
    <row r="27" spans="1:17" s="34" customFormat="1" hidden="1" outlineLevel="1" x14ac:dyDescent="0.3">
      <c r="A27" s="35"/>
      <c r="B27" s="10" t="str">
        <f>CONCATENATE("          ","6156", " - ","EMPLOYEE MEALS")</f>
        <v xml:space="preserve">          6156 - EMPLOYEE MEALS</v>
      </c>
      <c r="C27" s="14"/>
      <c r="D27" s="2">
        <v>107.9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2">
        <f>SUM(OSRRefD21_0_8x)+IFERROR(SUM(OSRRefE21_0_8x),0)</f>
        <v>107.9</v>
      </c>
    </row>
    <row r="28" spans="1:17" s="34" customFormat="1" collapsed="1" x14ac:dyDescent="0.3">
      <c r="A28" s="35"/>
      <c r="B28" s="14" t="str">
        <f>CONCATENATE("     ","*Payroll                                          ")</f>
        <v xml:space="preserve">     *Payroll                                          </v>
      </c>
      <c r="C28" s="14"/>
      <c r="D28" s="1">
        <f>SUM(OSRRefD21_1x_0)</f>
        <v>11199.54</v>
      </c>
      <c r="E28" s="1">
        <f>SUM(OSRRefE21_1x_0)</f>
        <v>8510.1</v>
      </c>
      <c r="F28" s="1">
        <f>SUM(OSRRefE21_1x_1)</f>
        <v>8510.1</v>
      </c>
      <c r="G28" s="1">
        <f>SUM(OSRRefE21_1x_2)</f>
        <v>10637.625</v>
      </c>
      <c r="H28" s="1">
        <f>SUM(OSRRefE21_1x_3)</f>
        <v>8510.1</v>
      </c>
      <c r="I28" s="1">
        <f>SUM(OSRRefE21_1x_4)</f>
        <v>8510.1</v>
      </c>
      <c r="J28" s="1">
        <f>SUM(OSRRefE21_1x_5)</f>
        <v>10956.75375</v>
      </c>
      <c r="K28" s="1">
        <f>SUM(OSRRefE21_1x_6)</f>
        <v>8765.4030000000002</v>
      </c>
      <c r="L28" s="1">
        <f>SUM(OSRRefE21_1x_7)</f>
        <v>8765.4030000000002</v>
      </c>
      <c r="M28" s="1">
        <f>SUM(OSRRefE21_1x_8)</f>
        <v>10956.75375</v>
      </c>
      <c r="N28" s="1">
        <f>SUM(OSRRefE21_1x_9)</f>
        <v>8765.4030000000002</v>
      </c>
      <c r="O28" s="1">
        <f>SUM(OSRRefE21_1x_10)</f>
        <v>8765.4030000000002</v>
      </c>
      <c r="Q28" s="2">
        <f>SUM(OSRRefD20_1x)+IFERROR(SUM(OSRRefE20_1x),0)</f>
        <v>112852.6845</v>
      </c>
    </row>
    <row r="29" spans="1:17" s="34" customFormat="1" hidden="1" outlineLevel="1" x14ac:dyDescent="0.3">
      <c r="A29" s="35"/>
      <c r="B29" s="10" t="str">
        <f>CONCATENATE("          ","6001", " - ","ADMINISTRATIVE SALARIES")</f>
        <v xml:space="preserve">          6001 - ADMINISTRATIVE SALARIES</v>
      </c>
      <c r="C29" s="14"/>
      <c r="D29" s="2">
        <v>11199.54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9"/>
      <c r="Q29" s="2">
        <f>SUM(OSRRefD21_1_0x)+IFERROR(SUM(OSRRefE21_1_0x),0)</f>
        <v>11199.54</v>
      </c>
    </row>
    <row r="30" spans="1:17" s="34" customFormat="1" hidden="1" outlineLevel="1" x14ac:dyDescent="0.3">
      <c r="A30" s="35"/>
      <c r="B30" s="10" t="str">
        <f>CONCATENATE("          ","6002", " - ","STAFF SALARIES")</f>
        <v xml:space="preserve">          6002 - STAFF SALARIES</v>
      </c>
      <c r="C30" s="14"/>
      <c r="D30" s="2"/>
      <c r="E30" s="2">
        <v>8510.1</v>
      </c>
      <c r="F30" s="2">
        <v>8510.1</v>
      </c>
      <c r="G30" s="2">
        <v>10637.625</v>
      </c>
      <c r="H30" s="2">
        <v>8510.1</v>
      </c>
      <c r="I30" s="2">
        <v>8510.1</v>
      </c>
      <c r="J30" s="2">
        <v>10956.75375</v>
      </c>
      <c r="K30" s="2">
        <v>8765.4030000000002</v>
      </c>
      <c r="L30" s="2">
        <v>8765.4030000000002</v>
      </c>
      <c r="M30" s="2">
        <v>10956.75375</v>
      </c>
      <c r="N30" s="2">
        <v>8765.4030000000002</v>
      </c>
      <c r="O30" s="2">
        <v>8765.4030000000002</v>
      </c>
      <c r="P30" s="9"/>
      <c r="Q30" s="2">
        <f>SUM(OSRRefD21_1_1x)+IFERROR(SUM(OSRRefE21_1_1x),0)</f>
        <v>101653.14450000001</v>
      </c>
    </row>
    <row r="31" spans="1:17" s="34" customFormat="1" hidden="1" outlineLevel="1" x14ac:dyDescent="0.3">
      <c r="A31" s="35"/>
      <c r="B31" s="10" t="str">
        <f>CONCATENATE("          ","6003", " - ","STAFF HOURLY-9 MONTH")</f>
        <v xml:space="preserve">          6003 - STAFF HOURLY-9 MONTH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SUM(OSRRefD21_1_2x)+IFERROR(SUM(OSRRefE21_1_2x),0)</f>
        <v>0</v>
      </c>
    </row>
    <row r="32" spans="1:17" s="34" customFormat="1" hidden="1" outlineLevel="1" x14ac:dyDescent="0.3">
      <c r="A32" s="35"/>
      <c r="B32" s="10" t="str">
        <f>CONCATENATE("          ","6004", " - ","STAFF HOURLY")</f>
        <v xml:space="preserve">          6004 - STAFF HOURLY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SUM(OSRRefD21_1_3x)+IFERROR(SUM(OSRRefE21_1_3x),0)</f>
        <v>0</v>
      </c>
    </row>
    <row r="33" spans="1:17" s="34" customFormat="1" hidden="1" outlineLevel="1" x14ac:dyDescent="0.3">
      <c r="A33" s="35"/>
      <c r="B33" s="10" t="str">
        <f>CONCATENATE("          ","6005", " - ","TEMPORARY WAGES-HOURLY")</f>
        <v xml:space="preserve">          6005 - TEMPORARY WAGES-HOURLY</v>
      </c>
      <c r="C33" s="14"/>
      <c r="D33" s="2"/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9"/>
      <c r="Q33" s="2">
        <f>SUM(OSRRefD21_1_4x)+IFERROR(SUM(OSRRefE21_1_4x),0)</f>
        <v>0</v>
      </c>
    </row>
    <row r="34" spans="1:17" s="34" customFormat="1" hidden="1" outlineLevel="1" x14ac:dyDescent="0.3">
      <c r="A34" s="35"/>
      <c r="B34" s="10" t="str">
        <f>CONCATENATE("          ","6006", " - ","TEMPORARY PART TIME")</f>
        <v xml:space="preserve">          6006 - TEMPORARY PART TIME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SUM(OSRRefD21_1_5x)+IFERROR(SUM(OSRRefE21_1_5x),0)</f>
        <v>0</v>
      </c>
    </row>
    <row r="35" spans="1:17" s="34" customFormat="1" hidden="1" outlineLevel="1" x14ac:dyDescent="0.3">
      <c r="A35" s="35"/>
      <c r="B35" s="10" t="str">
        <f>CONCATENATE("          ","6007", " - ","STUDENT HOURLY")</f>
        <v xml:space="preserve">          6007 - STUDENT HOURLY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SUM(OSRRefD21_1_6x)+IFERROR(SUM(OSRRefE21_1_6x),0)</f>
        <v>0</v>
      </c>
    </row>
    <row r="36" spans="1:17" s="34" customFormat="1" hidden="1" outlineLevel="1" x14ac:dyDescent="0.3">
      <c r="A36" s="35"/>
      <c r="B36" s="10" t="str">
        <f>CONCATENATE("          ","6008", " - ","STUDENT HOURLY-FICA EXEMPT")</f>
        <v xml:space="preserve">          6008 - STUDENT HOURLY-FICA EXEMPT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SUM(OSRRefD21_1_7x)+IFERROR(SUM(OSRRefE21_1_7x),0)</f>
        <v>0</v>
      </c>
    </row>
    <row r="37" spans="1:17" s="34" customFormat="1" hidden="1" outlineLevel="1" x14ac:dyDescent="0.3">
      <c r="A37" s="35"/>
      <c r="B37" s="10" t="str">
        <f>CONCATENATE("          ","6009", " - ","TEMPORARY-SEASONAL")</f>
        <v xml:space="preserve">          6009 - TEMPORARY-SEASONAL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SUM(OSRRefD21_1_8x)+IFERROR(SUM(OSRRefE21_1_8x),0)</f>
        <v>0</v>
      </c>
    </row>
    <row r="38" spans="1:17" s="34" customFormat="1" hidden="1" outlineLevel="1" x14ac:dyDescent="0.3">
      <c r="A38" s="35"/>
      <c r="B38" s="10" t="str">
        <f>CONCATENATE("          ","6010", " - ","GRATUITY")</f>
        <v xml:space="preserve">          6010 - GRATUITY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SUM(OSRRefD21_1_9x)+IFERROR(SUM(OSRRefE21_1_9x),0)</f>
        <v>0</v>
      </c>
    </row>
    <row r="39" spans="1:17" s="34" customFormat="1" collapsed="1" x14ac:dyDescent="0.3">
      <c r="A39" s="35"/>
      <c r="B39" s="14" t="str">
        <f>CONCATENATE("     ","General                                           ")</f>
        <v xml:space="preserve">     General                                           </v>
      </c>
      <c r="C39" s="14"/>
      <c r="D39" s="1">
        <f>SUM(OSRRefD21_2x_0)</f>
        <v>170</v>
      </c>
      <c r="E39" s="1">
        <f>SUM(OSRRefE21_2x_0)</f>
        <v>200</v>
      </c>
      <c r="F39" s="1">
        <f>SUM(OSRRefE21_2x_1)</f>
        <v>200</v>
      </c>
      <c r="G39" s="1">
        <f>SUM(OSRRefE21_2x_2)</f>
        <v>200</v>
      </c>
      <c r="H39" s="1">
        <f>SUM(OSRRefE21_2x_3)</f>
        <v>200</v>
      </c>
      <c r="I39" s="1">
        <f>SUM(OSRRefE21_2x_4)</f>
        <v>200</v>
      </c>
      <c r="J39" s="1">
        <f>SUM(OSRRefE21_2x_5)</f>
        <v>200</v>
      </c>
      <c r="K39" s="1">
        <f>SUM(OSRRefE21_2x_6)</f>
        <v>200</v>
      </c>
      <c r="L39" s="1">
        <f>SUM(OSRRefE21_2x_7)</f>
        <v>200</v>
      </c>
      <c r="M39" s="1">
        <f>SUM(OSRRefE21_2x_8)</f>
        <v>200</v>
      </c>
      <c r="N39" s="1">
        <f>SUM(OSRRefE21_2x_9)</f>
        <v>200</v>
      </c>
      <c r="O39" s="1">
        <f>SUM(OSRRefE21_2x_10)</f>
        <v>200</v>
      </c>
      <c r="Q39" s="2">
        <f>SUM(OSRRefD20_2x)+IFERROR(SUM(OSRRefE20_2x),0)</f>
        <v>2370</v>
      </c>
    </row>
    <row r="40" spans="1:17" s="34" customFormat="1" hidden="1" outlineLevel="1" x14ac:dyDescent="0.3">
      <c r="A40" s="35"/>
      <c r="B40" s="10" t="str">
        <f>CONCATENATE("          ","6279", " - ","GENERAL EXPENSE")</f>
        <v xml:space="preserve">          6279 - GENERAL EXPENSE</v>
      </c>
      <c r="C40" s="14"/>
      <c r="D40" s="2">
        <v>170</v>
      </c>
      <c r="E40" s="2">
        <v>200</v>
      </c>
      <c r="F40" s="2">
        <v>200</v>
      </c>
      <c r="G40" s="2">
        <v>200</v>
      </c>
      <c r="H40" s="2">
        <v>200</v>
      </c>
      <c r="I40" s="2">
        <v>200</v>
      </c>
      <c r="J40" s="2">
        <v>200</v>
      </c>
      <c r="K40" s="2">
        <v>200</v>
      </c>
      <c r="L40" s="2">
        <v>200</v>
      </c>
      <c r="M40" s="2">
        <v>200</v>
      </c>
      <c r="N40" s="2">
        <v>200</v>
      </c>
      <c r="O40" s="2">
        <v>200</v>
      </c>
      <c r="P40" s="9"/>
      <c r="Q40" s="2">
        <f>SUM(OSRRefD21_2_0x)+IFERROR(SUM(OSRRefE21_2_0x),0)</f>
        <v>2370</v>
      </c>
    </row>
    <row r="41" spans="1:17" s="34" customFormat="1" collapsed="1" x14ac:dyDescent="0.3">
      <c r="A41" s="35"/>
      <c r="B41" s="14" t="str">
        <f>CONCATENATE("     ","Repair and Maintenance                            ")</f>
        <v xml:space="preserve">     Repair and Maintenance                            </v>
      </c>
      <c r="C41" s="14"/>
      <c r="D41" s="1">
        <f>SUM(OSRRefD21_3x_0)</f>
        <v>3500</v>
      </c>
      <c r="E41" s="1">
        <f>SUM(OSRRefE21_3x_0)</f>
        <v>3500</v>
      </c>
      <c r="F41" s="1">
        <f>SUM(OSRRefE21_3x_1)</f>
        <v>3500</v>
      </c>
      <c r="G41" s="1">
        <f>SUM(OSRRefE21_3x_2)</f>
        <v>3500</v>
      </c>
      <c r="H41" s="1">
        <f>SUM(OSRRefE21_3x_3)</f>
        <v>3500</v>
      </c>
      <c r="I41" s="1">
        <f>SUM(OSRRefE21_3x_4)</f>
        <v>3500</v>
      </c>
      <c r="J41" s="1">
        <f>SUM(OSRRefE21_3x_5)</f>
        <v>3500</v>
      </c>
      <c r="K41" s="1">
        <f>SUM(OSRRefE21_3x_6)</f>
        <v>3500</v>
      </c>
      <c r="L41" s="1">
        <f>SUM(OSRRefE21_3x_7)</f>
        <v>3500</v>
      </c>
      <c r="M41" s="1">
        <f>SUM(OSRRefE21_3x_8)</f>
        <v>3500</v>
      </c>
      <c r="N41" s="1">
        <f>SUM(OSRRefE21_3x_9)</f>
        <v>3500</v>
      </c>
      <c r="O41" s="1">
        <f>SUM(OSRRefE21_3x_10)</f>
        <v>3500</v>
      </c>
      <c r="Q41" s="2">
        <f>SUM(OSRRefD20_3x)+IFERROR(SUM(OSRRefE20_3x),0)</f>
        <v>42000</v>
      </c>
    </row>
    <row r="42" spans="1:17" s="34" customFormat="1" hidden="1" outlineLevel="1" x14ac:dyDescent="0.3">
      <c r="A42" s="35"/>
      <c r="B42" s="10" t="str">
        <f>CONCATENATE("          ","6371", " - ","COMPUTER SOFTWARE MAINTENANCE")</f>
        <v xml:space="preserve">          6371 - COMPUTER SOFTWARE MAINTENANCE</v>
      </c>
      <c r="C42" s="14"/>
      <c r="D42" s="2">
        <v>3500</v>
      </c>
      <c r="E42" s="2">
        <v>3500</v>
      </c>
      <c r="F42" s="2">
        <v>3500</v>
      </c>
      <c r="G42" s="2">
        <v>3500</v>
      </c>
      <c r="H42" s="2">
        <v>3500</v>
      </c>
      <c r="I42" s="2">
        <v>3500</v>
      </c>
      <c r="J42" s="2">
        <v>3500</v>
      </c>
      <c r="K42" s="2">
        <v>3500</v>
      </c>
      <c r="L42" s="2">
        <v>3500</v>
      </c>
      <c r="M42" s="2">
        <v>3500</v>
      </c>
      <c r="N42" s="2">
        <v>3500</v>
      </c>
      <c r="O42" s="2">
        <v>3500</v>
      </c>
      <c r="P42" s="9"/>
      <c r="Q42" s="2">
        <f>SUM(OSRRefD21_3_0x)+IFERROR(SUM(OSRRefE21_3_0x),0)</f>
        <v>42000</v>
      </c>
    </row>
    <row r="43" spans="1:17" s="34" customFormat="1" collapsed="1" x14ac:dyDescent="0.3">
      <c r="A43" s="35"/>
      <c r="B43" s="14" t="str">
        <f>CONCATENATE("     ","Supplies                                          ")</f>
        <v xml:space="preserve">     Supplies                                          </v>
      </c>
      <c r="C43" s="14"/>
      <c r="D43" s="1">
        <f>SUM(OSRRefD21_4x_0)</f>
        <v>0</v>
      </c>
      <c r="E43" s="1">
        <f>SUM(OSRRefE21_4x_0)</f>
        <v>342</v>
      </c>
      <c r="F43" s="1">
        <f>SUM(OSRRefE21_4x_1)</f>
        <v>342</v>
      </c>
      <c r="G43" s="1">
        <f>SUM(OSRRefE21_4x_2)</f>
        <v>342</v>
      </c>
      <c r="H43" s="1">
        <f>SUM(OSRRefE21_4x_3)</f>
        <v>342</v>
      </c>
      <c r="I43" s="1">
        <f>SUM(OSRRefE21_4x_4)</f>
        <v>342</v>
      </c>
      <c r="J43" s="1">
        <f>SUM(OSRRefE21_4x_5)</f>
        <v>342</v>
      </c>
      <c r="K43" s="1">
        <f>SUM(OSRRefE21_4x_6)</f>
        <v>342</v>
      </c>
      <c r="L43" s="1">
        <f>SUM(OSRRefE21_4x_7)</f>
        <v>342</v>
      </c>
      <c r="M43" s="1">
        <f>SUM(OSRRefE21_4x_8)</f>
        <v>342</v>
      </c>
      <c r="N43" s="1">
        <f>SUM(OSRRefE21_4x_9)</f>
        <v>342</v>
      </c>
      <c r="O43" s="1">
        <f>SUM(OSRRefE21_4x_10)</f>
        <v>338</v>
      </c>
      <c r="Q43" s="2">
        <f>SUM(OSRRefD20_4x)+IFERROR(SUM(OSRRefE20_4x),0)</f>
        <v>3758</v>
      </c>
    </row>
    <row r="44" spans="1:17" s="34" customFormat="1" hidden="1" outlineLevel="1" x14ac:dyDescent="0.3">
      <c r="A44" s="35"/>
      <c r="B44" s="10" t="str">
        <f>CONCATENATE("          ","6234", " - ","EXPENDABLE SUPPLIES &amp; EQUIPMEN")</f>
        <v xml:space="preserve">          6234 - EXPENDABLE SUPPLIES &amp; EQUIPMEN</v>
      </c>
      <c r="C44" s="14"/>
      <c r="D44" s="2"/>
      <c r="E44" s="2">
        <v>342</v>
      </c>
      <c r="F44" s="2">
        <v>342</v>
      </c>
      <c r="G44" s="2">
        <v>342</v>
      </c>
      <c r="H44" s="2">
        <v>342</v>
      </c>
      <c r="I44" s="2">
        <v>342</v>
      </c>
      <c r="J44" s="2">
        <v>342</v>
      </c>
      <c r="K44" s="2">
        <v>342</v>
      </c>
      <c r="L44" s="2">
        <v>342</v>
      </c>
      <c r="M44" s="2">
        <v>342</v>
      </c>
      <c r="N44" s="2">
        <v>342</v>
      </c>
      <c r="O44" s="2">
        <v>338</v>
      </c>
      <c r="P44" s="9"/>
      <c r="Q44" s="2">
        <f>SUM(OSRRefD21_4_0x)+IFERROR(SUM(OSRRefE21_4_0x),0)</f>
        <v>3758</v>
      </c>
    </row>
    <row r="45" spans="1:17" s="34" customFormat="1" collapsed="1" x14ac:dyDescent="0.3">
      <c r="A45" s="35"/>
      <c r="B45" s="14" t="str">
        <f>CONCATENATE("     ","Telephone/Data Lines                              ")</f>
        <v xml:space="preserve">     Telephone/Data Lines                              </v>
      </c>
      <c r="C45" s="14"/>
      <c r="D45" s="1">
        <f>SUM(OSRRefD21_5x_0)</f>
        <v>58</v>
      </c>
      <c r="E45" s="1">
        <f>SUM(OSRRefE21_5x_0)</f>
        <v>83</v>
      </c>
      <c r="F45" s="1">
        <f>SUM(OSRRefE21_5x_1)</f>
        <v>83</v>
      </c>
      <c r="G45" s="1">
        <f>SUM(OSRRefE21_5x_2)</f>
        <v>83</v>
      </c>
      <c r="H45" s="1">
        <f>SUM(OSRRefE21_5x_3)</f>
        <v>83</v>
      </c>
      <c r="I45" s="1">
        <f>SUM(OSRRefE21_5x_4)</f>
        <v>83</v>
      </c>
      <c r="J45" s="1">
        <f>SUM(OSRRefE21_5x_5)</f>
        <v>83</v>
      </c>
      <c r="K45" s="1">
        <f>SUM(OSRRefE21_5x_6)</f>
        <v>83</v>
      </c>
      <c r="L45" s="1">
        <f>SUM(OSRRefE21_5x_7)</f>
        <v>83</v>
      </c>
      <c r="M45" s="1">
        <f>SUM(OSRRefE21_5x_8)</f>
        <v>83</v>
      </c>
      <c r="N45" s="1">
        <f>SUM(OSRRefE21_5x_9)</f>
        <v>83</v>
      </c>
      <c r="O45" s="1">
        <f>SUM(OSRRefE21_5x_10)</f>
        <v>87</v>
      </c>
      <c r="Q45" s="2">
        <f>SUM(OSRRefD20_5x)+IFERROR(SUM(OSRRefE20_5x),0)</f>
        <v>975</v>
      </c>
    </row>
    <row r="46" spans="1:17" s="34" customFormat="1" hidden="1" outlineLevel="1" x14ac:dyDescent="0.3">
      <c r="A46" s="35"/>
      <c r="B46" s="10" t="str">
        <f>CONCATENATE("          ","6303", " - ","DATA PHONE LINES")</f>
        <v xml:space="preserve">          6303 - DATA PHONE LINES</v>
      </c>
      <c r="C46" s="14"/>
      <c r="D46" s="2"/>
      <c r="E46" s="2">
        <v>58</v>
      </c>
      <c r="F46" s="2">
        <v>58</v>
      </c>
      <c r="G46" s="2">
        <v>58</v>
      </c>
      <c r="H46" s="2">
        <v>58</v>
      </c>
      <c r="I46" s="2">
        <v>58</v>
      </c>
      <c r="J46" s="2">
        <v>58</v>
      </c>
      <c r="K46" s="2">
        <v>58</v>
      </c>
      <c r="L46" s="2">
        <v>58</v>
      </c>
      <c r="M46" s="2">
        <v>58</v>
      </c>
      <c r="N46" s="2">
        <v>58</v>
      </c>
      <c r="O46" s="2">
        <v>62</v>
      </c>
      <c r="P46" s="9"/>
      <c r="Q46" s="2">
        <f>SUM(OSRRefD21_5_0x)+IFERROR(SUM(OSRRefE21_5_0x),0)</f>
        <v>642</v>
      </c>
    </row>
    <row r="47" spans="1:17" s="34" customFormat="1" hidden="1" outlineLevel="1" x14ac:dyDescent="0.3">
      <c r="A47" s="35"/>
      <c r="B47" s="10" t="str">
        <f>CONCATENATE("          ","6309", " - ","TELEPHONE")</f>
        <v xml:space="preserve">          6309 - TELEPHONE</v>
      </c>
      <c r="C47" s="14"/>
      <c r="D47" s="2">
        <v>58</v>
      </c>
      <c r="E47" s="2">
        <v>25</v>
      </c>
      <c r="F47" s="2">
        <v>25</v>
      </c>
      <c r="G47" s="2">
        <v>25</v>
      </c>
      <c r="H47" s="2">
        <v>25</v>
      </c>
      <c r="I47" s="2">
        <v>25</v>
      </c>
      <c r="J47" s="2">
        <v>25</v>
      </c>
      <c r="K47" s="2">
        <v>25</v>
      </c>
      <c r="L47" s="2">
        <v>25</v>
      </c>
      <c r="M47" s="2">
        <v>25</v>
      </c>
      <c r="N47" s="2">
        <v>25</v>
      </c>
      <c r="O47" s="2">
        <v>25</v>
      </c>
      <c r="P47" s="9"/>
      <c r="Q47" s="2">
        <f>SUM(OSRRefD21_5_1x)+IFERROR(SUM(OSRRefE21_5_1x),0)</f>
        <v>333</v>
      </c>
    </row>
    <row r="48" spans="1:17" s="34" customFormat="1" collapsed="1" x14ac:dyDescent="0.3">
      <c r="A48" s="35"/>
      <c r="B48" s="14" t="str">
        <f>CONCATENATE("     ","Training                                          ")</f>
        <v xml:space="preserve">     Training                                          </v>
      </c>
      <c r="C48" s="14"/>
      <c r="D48" s="1">
        <f>SUM(OSRRefD21_6x_0)</f>
        <v>0</v>
      </c>
      <c r="E48" s="1">
        <f>SUM(OSRRefE21_6x_0)</f>
        <v>300</v>
      </c>
      <c r="F48" s="1">
        <f>SUM(OSRRefE21_6x_1)</f>
        <v>300</v>
      </c>
      <c r="G48" s="1">
        <f>SUM(OSRRefE21_6x_2)</f>
        <v>300</v>
      </c>
      <c r="H48" s="1">
        <f>SUM(OSRRefE21_6x_3)</f>
        <v>300</v>
      </c>
      <c r="I48" s="1">
        <f>SUM(OSRRefE21_6x_4)</f>
        <v>300</v>
      </c>
      <c r="J48" s="1">
        <f>SUM(OSRRefE21_6x_5)</f>
        <v>300</v>
      </c>
      <c r="K48" s="1">
        <f>SUM(OSRRefE21_6x_6)</f>
        <v>300</v>
      </c>
      <c r="L48" s="1">
        <f>SUM(OSRRefE21_6x_7)</f>
        <v>300</v>
      </c>
      <c r="M48" s="1">
        <f>SUM(OSRRefE21_6x_8)</f>
        <v>300</v>
      </c>
      <c r="N48" s="1">
        <f>SUM(OSRRefE21_6x_9)</f>
        <v>300</v>
      </c>
      <c r="O48" s="1">
        <f>SUM(OSRRefE21_6x_10)</f>
        <v>300</v>
      </c>
      <c r="Q48" s="2">
        <f>SUM(OSRRefD20_6x)+IFERROR(SUM(OSRRefE20_6x),0)</f>
        <v>3300</v>
      </c>
    </row>
    <row r="49" spans="1:17" s="34" customFormat="1" hidden="1" outlineLevel="1" x14ac:dyDescent="0.3">
      <c r="A49" s="35"/>
      <c r="B49" s="10" t="str">
        <f>CONCATENATE("          ","6376", " - ","TRAINING")</f>
        <v xml:space="preserve">          6376 - TRAINING</v>
      </c>
      <c r="C49" s="14"/>
      <c r="D49" s="2"/>
      <c r="E49" s="2">
        <v>300</v>
      </c>
      <c r="F49" s="2">
        <v>300</v>
      </c>
      <c r="G49" s="2">
        <v>300</v>
      </c>
      <c r="H49" s="2">
        <v>300</v>
      </c>
      <c r="I49" s="2">
        <v>300</v>
      </c>
      <c r="J49" s="2">
        <v>300</v>
      </c>
      <c r="K49" s="2">
        <v>300</v>
      </c>
      <c r="L49" s="2">
        <v>300</v>
      </c>
      <c r="M49" s="2">
        <v>300</v>
      </c>
      <c r="N49" s="2">
        <v>300</v>
      </c>
      <c r="O49" s="2">
        <v>300</v>
      </c>
      <c r="P49" s="9"/>
      <c r="Q49" s="2">
        <f>SUM(OSRRefD21_6_0x)+IFERROR(SUM(OSRRefE21_6_0x),0)</f>
        <v>3300</v>
      </c>
    </row>
    <row r="50" spans="1:17" s="28" customFormat="1" x14ac:dyDescent="0.3">
      <c r="A50" s="21"/>
      <c r="B50" s="21"/>
      <c r="C50" s="2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</row>
    <row r="51" spans="1:17" s="9" customFormat="1" x14ac:dyDescent="0.3">
      <c r="A51" s="22"/>
      <c r="B51" s="16" t="s">
        <v>293</v>
      </c>
      <c r="C51" s="23"/>
      <c r="D51" s="3">
        <f>0</f>
        <v>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2">
        <f>SUM(OSRRefD23_0x)+IFERROR(SUM(OSRRefE23_0x),0)</f>
        <v>0</v>
      </c>
    </row>
    <row r="52" spans="1:17" x14ac:dyDescent="0.3">
      <c r="A52" s="5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</row>
    <row r="53" spans="1:17" s="15" customFormat="1" x14ac:dyDescent="0.3">
      <c r="A53" s="6"/>
      <c r="B53" s="17" t="s">
        <v>276</v>
      </c>
      <c r="C53" s="17"/>
      <c r="D53" s="8">
        <f t="shared" ref="D53:O53" si="4">IFERROR(+D14-D17+D51, 0)</f>
        <v>-20675.600000000002</v>
      </c>
      <c r="E53" s="8">
        <f t="shared" si="4"/>
        <v>-17174.263740000002</v>
      </c>
      <c r="F53" s="8">
        <f t="shared" si="4"/>
        <v>-17174.263740000002</v>
      </c>
      <c r="G53" s="8">
        <f t="shared" si="4"/>
        <v>-19867.329675000001</v>
      </c>
      <c r="H53" s="8">
        <f t="shared" si="4"/>
        <v>-17174.263740000002</v>
      </c>
      <c r="I53" s="8">
        <f t="shared" si="4"/>
        <v>-17174.263740000002</v>
      </c>
      <c r="J53" s="8">
        <f t="shared" si="4"/>
        <v>-20271.289565250001</v>
      </c>
      <c r="K53" s="8">
        <f t="shared" si="4"/>
        <v>-17497.431652200001</v>
      </c>
      <c r="L53" s="8">
        <f t="shared" si="4"/>
        <v>-17497.431652200001</v>
      </c>
      <c r="M53" s="8">
        <f t="shared" si="4"/>
        <v>-20271.289565250001</v>
      </c>
      <c r="N53" s="8">
        <f t="shared" si="4"/>
        <v>-17497.431652200001</v>
      </c>
      <c r="O53" s="8">
        <f t="shared" si="4"/>
        <v>-17497.431652200001</v>
      </c>
      <c r="Q53" s="8">
        <f>IFERROR(+Q14-Q17+Q51, 0)</f>
        <v>-219772.29037430001</v>
      </c>
    </row>
    <row r="54" spans="1:17" s="6" customFormat="1" x14ac:dyDescent="0.3">
      <c r="B54" s="16"/>
      <c r="C54" s="16"/>
      <c r="D54" s="4">
        <f t="shared" ref="D54:O54" si="5">IFERROR(D53/D10, 0)</f>
        <v>0</v>
      </c>
      <c r="E54" s="4">
        <f t="shared" si="5"/>
        <v>0</v>
      </c>
      <c r="F54" s="4">
        <f t="shared" si="5"/>
        <v>0</v>
      </c>
      <c r="G54" s="4">
        <f t="shared" si="5"/>
        <v>0</v>
      </c>
      <c r="H54" s="4">
        <f t="shared" si="5"/>
        <v>0</v>
      </c>
      <c r="I54" s="4">
        <f t="shared" si="5"/>
        <v>0</v>
      </c>
      <c r="J54" s="4">
        <f t="shared" si="5"/>
        <v>0</v>
      </c>
      <c r="K54" s="4">
        <f t="shared" si="5"/>
        <v>0</v>
      </c>
      <c r="L54" s="4">
        <f t="shared" si="5"/>
        <v>0</v>
      </c>
      <c r="M54" s="4">
        <f t="shared" si="5"/>
        <v>0</v>
      </c>
      <c r="N54" s="4">
        <f t="shared" si="5"/>
        <v>0</v>
      </c>
      <c r="O54" s="4">
        <f t="shared" si="5"/>
        <v>0</v>
      </c>
      <c r="P54" s="18"/>
      <c r="Q54" s="4">
        <f>IFERROR(Q53/Q10, 0)</f>
        <v>0</v>
      </c>
    </row>
    <row r="55" spans="1:17" x14ac:dyDescent="0.3">
      <c r="A55" s="5"/>
      <c r="B55" s="6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</row>
    <row r="56" spans="1:17" s="15" customFormat="1" x14ac:dyDescent="0.3">
      <c r="A56" s="25"/>
      <c r="B56" s="6" t="s">
        <v>125</v>
      </c>
      <c r="C56" s="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2">
        <f>SUM(OSRRefD28_0x)+IFERROR(SUM(OSRRefE28_0x),0)</f>
        <v>0</v>
      </c>
    </row>
    <row r="57" spans="1:17" x14ac:dyDescent="0.3">
      <c r="A57" s="5"/>
      <c r="B57" s="6"/>
      <c r="C57" s="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</row>
    <row r="58" spans="1:17" s="15" customFormat="1" ht="15" thickBot="1" x14ac:dyDescent="0.35">
      <c r="A58" s="6"/>
      <c r="B58" s="17" t="s">
        <v>124</v>
      </c>
      <c r="C58" s="17"/>
      <c r="D58" s="7">
        <f t="shared" ref="D58:O58" si="6">IFERROR(+D53-D56, 0)</f>
        <v>-20675.600000000002</v>
      </c>
      <c r="E58" s="7">
        <f t="shared" si="6"/>
        <v>-17174.263740000002</v>
      </c>
      <c r="F58" s="7">
        <f t="shared" si="6"/>
        <v>-17174.263740000002</v>
      </c>
      <c r="G58" s="7">
        <f t="shared" si="6"/>
        <v>-19867.329675000001</v>
      </c>
      <c r="H58" s="7">
        <f t="shared" si="6"/>
        <v>-17174.263740000002</v>
      </c>
      <c r="I58" s="7">
        <f t="shared" si="6"/>
        <v>-17174.263740000002</v>
      </c>
      <c r="J58" s="7">
        <f t="shared" si="6"/>
        <v>-20271.289565250001</v>
      </c>
      <c r="K58" s="7">
        <f t="shared" si="6"/>
        <v>-17497.431652200001</v>
      </c>
      <c r="L58" s="7">
        <f t="shared" si="6"/>
        <v>-17497.431652200001</v>
      </c>
      <c r="M58" s="7">
        <f t="shared" si="6"/>
        <v>-20271.289565250001</v>
      </c>
      <c r="N58" s="7">
        <f t="shared" si="6"/>
        <v>-17497.431652200001</v>
      </c>
      <c r="O58" s="7">
        <f t="shared" si="6"/>
        <v>-17497.431652200001</v>
      </c>
      <c r="Q58" s="7">
        <f>IFERROR(+Q53-Q56, 0)</f>
        <v>-219772.29037430001</v>
      </c>
    </row>
    <row r="59" spans="1:17" ht="15" thickTop="1" x14ac:dyDescent="0.3">
      <c r="A59" s="5"/>
      <c r="B59" s="5"/>
      <c r="C59" s="5"/>
      <c r="D59" s="4">
        <f t="shared" ref="D59:O59" si="7">IFERROR(D58/D10, 0)</f>
        <v>0</v>
      </c>
      <c r="E59" s="4">
        <f t="shared" si="7"/>
        <v>0</v>
      </c>
      <c r="F59" s="4">
        <f t="shared" si="7"/>
        <v>0</v>
      </c>
      <c r="G59" s="4">
        <f t="shared" si="7"/>
        <v>0</v>
      </c>
      <c r="H59" s="4">
        <f t="shared" si="7"/>
        <v>0</v>
      </c>
      <c r="I59" s="4">
        <f t="shared" si="7"/>
        <v>0</v>
      </c>
      <c r="J59" s="4">
        <f t="shared" si="7"/>
        <v>0</v>
      </c>
      <c r="K59" s="4">
        <f t="shared" si="7"/>
        <v>0</v>
      </c>
      <c r="L59" s="4">
        <f t="shared" si="7"/>
        <v>0</v>
      </c>
      <c r="M59" s="4">
        <f t="shared" si="7"/>
        <v>0</v>
      </c>
      <c r="N59" s="4">
        <f t="shared" si="7"/>
        <v>0</v>
      </c>
      <c r="O59" s="4">
        <f t="shared" si="7"/>
        <v>0</v>
      </c>
      <c r="P59" s="18"/>
      <c r="Q59" s="4">
        <f>IFERROR(Q58/Q10, 0)</f>
        <v>0</v>
      </c>
    </row>
    <row r="60" spans="1:17" x14ac:dyDescent="0.3">
      <c r="A60" s="5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Q60" s="3"/>
    </row>
    <row r="61" spans="1:17" x14ac:dyDescent="0.3">
      <c r="A61" s="5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Q61" s="3"/>
    </row>
    <row r="62" spans="1:17" s="15" customFormat="1" ht="15" thickBot="1" x14ac:dyDescent="0.35">
      <c r="A62" s="6"/>
      <c r="B62" s="17" t="s">
        <v>294</v>
      </c>
      <c r="C62" s="17"/>
      <c r="D62" s="7">
        <f t="shared" ref="D62:O62" si="8">IFERROR(SUM(D58:D61), 0)</f>
        <v>-20675.600000000002</v>
      </c>
      <c r="E62" s="7">
        <f t="shared" si="8"/>
        <v>-17174.263740000002</v>
      </c>
      <c r="F62" s="7">
        <f t="shared" si="8"/>
        <v>-17174.263740000002</v>
      </c>
      <c r="G62" s="7">
        <f t="shared" si="8"/>
        <v>-19867.329675000001</v>
      </c>
      <c r="H62" s="7">
        <f t="shared" si="8"/>
        <v>-17174.263740000002</v>
      </c>
      <c r="I62" s="7">
        <f t="shared" si="8"/>
        <v>-17174.263740000002</v>
      </c>
      <c r="J62" s="7">
        <f t="shared" si="8"/>
        <v>-20271.289565250001</v>
      </c>
      <c r="K62" s="7">
        <f t="shared" si="8"/>
        <v>-17497.431652200001</v>
      </c>
      <c r="L62" s="7">
        <f t="shared" si="8"/>
        <v>-17497.431652200001</v>
      </c>
      <c r="M62" s="7">
        <f t="shared" si="8"/>
        <v>-20271.289565250001</v>
      </c>
      <c r="N62" s="7">
        <f t="shared" si="8"/>
        <v>-17497.431652200001</v>
      </c>
      <c r="O62" s="7">
        <f t="shared" si="8"/>
        <v>-17497.431652200001</v>
      </c>
      <c r="Q62" s="7">
        <f>IFERROR(SUM(Q58:Q61), 0)</f>
        <v>-219772.29037430001</v>
      </c>
    </row>
    <row r="63" spans="1:17" ht="15" thickTop="1" x14ac:dyDescent="0.3">
      <c r="A63" s="5"/>
      <c r="C63" s="5"/>
      <c r="D63" s="4">
        <f t="shared" ref="D63:O63" si="9">IFERROR(D62/D10, 0)</f>
        <v>0</v>
      </c>
      <c r="E63" s="4">
        <f t="shared" si="9"/>
        <v>0</v>
      </c>
      <c r="F63" s="4">
        <f t="shared" si="9"/>
        <v>0</v>
      </c>
      <c r="G63" s="4">
        <f t="shared" si="9"/>
        <v>0</v>
      </c>
      <c r="H63" s="4">
        <f t="shared" si="9"/>
        <v>0</v>
      </c>
      <c r="I63" s="4">
        <f t="shared" si="9"/>
        <v>0</v>
      </c>
      <c r="J63" s="4">
        <f t="shared" si="9"/>
        <v>0</v>
      </c>
      <c r="K63" s="4">
        <f t="shared" si="9"/>
        <v>0</v>
      </c>
      <c r="L63" s="4">
        <f t="shared" si="9"/>
        <v>0</v>
      </c>
      <c r="M63" s="4">
        <f t="shared" si="9"/>
        <v>0</v>
      </c>
      <c r="N63" s="4">
        <f t="shared" si="9"/>
        <v>0</v>
      </c>
      <c r="O63" s="4">
        <f t="shared" si="9"/>
        <v>0</v>
      </c>
      <c r="P63" s="18"/>
      <c r="Q63" s="4">
        <f>IFERROR(Q62/Q10, 0)</f>
        <v>0</v>
      </c>
    </row>
    <row r="64" spans="1:17" x14ac:dyDescent="0.3">
      <c r="A64" s="5"/>
      <c r="B64" s="30">
        <v>44462.678423958336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Q64" s="11"/>
    </row>
    <row r="65" spans="1:17" x14ac:dyDescent="0.3">
      <c r="A65" s="5"/>
      <c r="B65" s="31" t="s">
        <v>54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Q65" s="11"/>
    </row>
    <row r="66" spans="1:17" x14ac:dyDescent="0.3">
      <c r="A66" s="5"/>
      <c r="B66" s="2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Q66" s="11"/>
    </row>
    <row r="67" spans="1:17" x14ac:dyDescent="0.3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rgb="FF92D050"/>
    <outlinePr summaryBelow="0" summaryRight="0"/>
    <pageSetUpPr fitToPage="1"/>
  </sheetPr>
  <dimension ref="A2:R97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","433", " - ", "Hillside Dining Hall")</f>
        <v>Department 433 - Hillside Dining Hall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113400</v>
      </c>
      <c r="F10" s="3">
        <f>SUM(OSRRefE11x_1)</f>
        <v>453600</v>
      </c>
      <c r="G10" s="3">
        <f>SUM(OSRRefE11x_2)</f>
        <v>567000</v>
      </c>
      <c r="H10" s="3">
        <f>SUM(OSRRefE11x_3)</f>
        <v>324000</v>
      </c>
      <c r="I10" s="3">
        <f>SUM(OSRRefE11x_4)</f>
        <v>356400</v>
      </c>
      <c r="J10" s="3">
        <f>SUM(OSRRefE11x_5)</f>
        <v>178200</v>
      </c>
      <c r="K10" s="3">
        <f>SUM(OSRRefE11x_6)</f>
        <v>453600</v>
      </c>
      <c r="L10" s="3">
        <f>SUM(OSRRefE11x_7)</f>
        <v>437400</v>
      </c>
      <c r="M10" s="3">
        <f>SUM(OSRRefE11x_8)</f>
        <v>437400</v>
      </c>
      <c r="N10" s="3">
        <f>SUM(OSRRefE11x_9)</f>
        <v>243000</v>
      </c>
      <c r="O10" s="3">
        <f>SUM(OSRRefE11x_10)</f>
        <v>0</v>
      </c>
      <c r="P10" s="24"/>
      <c r="Q10" s="3">
        <f>SUM(OSRRefG11x)</f>
        <v>3564000</v>
      </c>
      <c r="R10" s="24"/>
    </row>
    <row r="11" spans="1:18" s="9" customFormat="1" hidden="1" outlineLevel="1" x14ac:dyDescent="0.3">
      <c r="A11" s="22"/>
      <c r="B11" s="10" t="str">
        <f>CONCATENATE("          ","4100", " - ","NON-TAXABLE SALES")</f>
        <v xml:space="preserve">          4100 - NON-TAXABLE SALES</v>
      </c>
      <c r="C11" s="23"/>
      <c r="D11" s="2">
        <f>0</f>
        <v>0</v>
      </c>
      <c r="E11" s="2">
        <v>113400</v>
      </c>
      <c r="F11" s="2">
        <v>453600</v>
      </c>
      <c r="G11" s="2">
        <v>567000</v>
      </c>
      <c r="H11" s="2">
        <v>324000</v>
      </c>
      <c r="I11" s="2">
        <v>356400</v>
      </c>
      <c r="J11" s="2">
        <v>178200</v>
      </c>
      <c r="K11" s="2">
        <v>453600</v>
      </c>
      <c r="L11" s="2">
        <v>437400</v>
      </c>
      <c r="M11" s="2">
        <v>437400</v>
      </c>
      <c r="N11" s="2">
        <v>243000</v>
      </c>
      <c r="O11" s="2"/>
      <c r="Q11" s="2">
        <f>SUM(OSRRefD11_0x)+IFERROR(SUM(OSRRefE11_0x),0)</f>
        <v>3564000</v>
      </c>
    </row>
    <row r="12" spans="1:18" x14ac:dyDescent="0.3">
      <c r="A12" s="5"/>
      <c r="B12" s="6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</row>
    <row r="13" spans="1:18" s="9" customFormat="1" collapsed="1" x14ac:dyDescent="0.3">
      <c r="A13" s="22"/>
      <c r="B13" s="16" t="s">
        <v>218</v>
      </c>
      <c r="C13" s="23"/>
      <c r="D13" s="3">
        <f>SUM(OSRRefD14x_0)</f>
        <v>0</v>
      </c>
      <c r="E13" s="3">
        <f>SUM(OSRRefE14x_0)</f>
        <v>56700</v>
      </c>
      <c r="F13" s="3">
        <f>SUM(OSRRefE14x_1)</f>
        <v>127008</v>
      </c>
      <c r="G13" s="3">
        <f>SUM(OSRRefE14x_2)</f>
        <v>153090</v>
      </c>
      <c r="H13" s="3">
        <f>SUM(OSRRefE14x_3)</f>
        <v>90720</v>
      </c>
      <c r="I13" s="3">
        <f>SUM(OSRRefE14x_4)</f>
        <v>99792</v>
      </c>
      <c r="J13" s="3">
        <f>SUM(OSRRefE14x_5)</f>
        <v>57024</v>
      </c>
      <c r="K13" s="3">
        <f>SUM(OSRRefE14x_6)</f>
        <v>117936</v>
      </c>
      <c r="L13" s="3">
        <f>SUM(OSRRefE14x_7)</f>
        <v>113724</v>
      </c>
      <c r="M13" s="3">
        <f>SUM(OSRRefE14x_8)</f>
        <v>113724</v>
      </c>
      <c r="N13" s="3">
        <f>SUM(OSRRefE14x_9)</f>
        <v>69255</v>
      </c>
      <c r="O13" s="3">
        <f>SUM(OSRRefE14x_10)</f>
        <v>0</v>
      </c>
      <c r="Q13" s="3">
        <f>SUM(OSRRefG14x)</f>
        <v>998973</v>
      </c>
    </row>
    <row r="14" spans="1:18" s="9" customFormat="1" hidden="1" outlineLevel="1" x14ac:dyDescent="0.3">
      <c r="A14" s="22"/>
      <c r="B14" s="10" t="str">
        <f>CONCATENATE("          ","5000", " - ","PURCHASES @ COST")</f>
        <v xml:space="preserve">          5000 - PURCHASES @ COST</v>
      </c>
      <c r="C14" s="23"/>
      <c r="D14" s="2"/>
      <c r="E14" s="2">
        <v>56700</v>
      </c>
      <c r="F14" s="2">
        <v>127008</v>
      </c>
      <c r="G14" s="2">
        <v>153090</v>
      </c>
      <c r="H14" s="2">
        <v>90720</v>
      </c>
      <c r="I14" s="2">
        <v>99792</v>
      </c>
      <c r="J14" s="2">
        <v>57024</v>
      </c>
      <c r="K14" s="2">
        <v>117936</v>
      </c>
      <c r="L14" s="2">
        <v>113724</v>
      </c>
      <c r="M14" s="2">
        <v>113724</v>
      </c>
      <c r="N14" s="2">
        <v>69255</v>
      </c>
      <c r="O14" s="2"/>
      <c r="Q14" s="2">
        <f>SUM(OSRRefD14_0x)+IFERROR(SUM(OSRRefE14_0x),0)</f>
        <v>998973</v>
      </c>
    </row>
    <row r="15" spans="1:18" x14ac:dyDescent="0.3">
      <c r="A15" s="5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15" customFormat="1" x14ac:dyDescent="0.3">
      <c r="A16" s="6"/>
      <c r="B16" s="17" t="s">
        <v>105</v>
      </c>
      <c r="C16" s="17"/>
      <c r="D16" s="8">
        <f t="shared" ref="D16:O16" si="0">IFERROR(+D10-D13, 0)</f>
        <v>0</v>
      </c>
      <c r="E16" s="8">
        <f t="shared" si="0"/>
        <v>56700</v>
      </c>
      <c r="F16" s="8">
        <f t="shared" si="0"/>
        <v>326592</v>
      </c>
      <c r="G16" s="8">
        <f t="shared" si="0"/>
        <v>413910</v>
      </c>
      <c r="H16" s="8">
        <f t="shared" si="0"/>
        <v>233280</v>
      </c>
      <c r="I16" s="8">
        <f t="shared" si="0"/>
        <v>256608</v>
      </c>
      <c r="J16" s="8">
        <f t="shared" si="0"/>
        <v>121176</v>
      </c>
      <c r="K16" s="8">
        <f t="shared" si="0"/>
        <v>335664</v>
      </c>
      <c r="L16" s="8">
        <f t="shared" si="0"/>
        <v>323676</v>
      </c>
      <c r="M16" s="8">
        <f t="shared" si="0"/>
        <v>323676</v>
      </c>
      <c r="N16" s="8">
        <f t="shared" si="0"/>
        <v>173745</v>
      </c>
      <c r="O16" s="8">
        <f t="shared" si="0"/>
        <v>0</v>
      </c>
      <c r="Q16" s="8">
        <f>IFERROR(+Q10-Q13, 0)</f>
        <v>2565027</v>
      </c>
    </row>
    <row r="17" spans="1:17" s="6" customFormat="1" x14ac:dyDescent="0.3">
      <c r="B17" s="16"/>
      <c r="C17" s="16"/>
      <c r="D17" s="4">
        <f t="shared" ref="D17:O17" si="1">IFERROR(D16/D10, 0)</f>
        <v>0</v>
      </c>
      <c r="E17" s="4">
        <f t="shared" si="1"/>
        <v>0.5</v>
      </c>
      <c r="F17" s="4">
        <f t="shared" si="1"/>
        <v>0.72</v>
      </c>
      <c r="G17" s="4">
        <f t="shared" si="1"/>
        <v>0.73</v>
      </c>
      <c r="H17" s="4">
        <f t="shared" si="1"/>
        <v>0.72</v>
      </c>
      <c r="I17" s="4">
        <f t="shared" si="1"/>
        <v>0.72</v>
      </c>
      <c r="J17" s="4">
        <f t="shared" si="1"/>
        <v>0.68</v>
      </c>
      <c r="K17" s="4">
        <f t="shared" si="1"/>
        <v>0.74</v>
      </c>
      <c r="L17" s="4">
        <f t="shared" si="1"/>
        <v>0.74</v>
      </c>
      <c r="M17" s="4">
        <f t="shared" si="1"/>
        <v>0.74</v>
      </c>
      <c r="N17" s="4">
        <f t="shared" si="1"/>
        <v>0.71499999999999997</v>
      </c>
      <c r="O17" s="4">
        <f t="shared" si="1"/>
        <v>0</v>
      </c>
      <c r="P17" s="18"/>
      <c r="Q17" s="4">
        <f>IFERROR(Q16/Q10, 0)</f>
        <v>0.71970454545454543</v>
      </c>
    </row>
    <row r="18" spans="1:17" x14ac:dyDescent="0.3">
      <c r="A18" s="5"/>
      <c r="B18" s="6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</row>
    <row r="19" spans="1:17" s="15" customFormat="1" x14ac:dyDescent="0.3">
      <c r="A19" s="6"/>
      <c r="B19" s="16" t="s">
        <v>255</v>
      </c>
      <c r="C19" s="6"/>
      <c r="D19" s="13">
        <f>SUM(OSRRefD20x_0)</f>
        <v>41498.81</v>
      </c>
      <c r="E19" s="13">
        <f>SUM(OSRRefE20x_0)</f>
        <v>132341.81589692301</v>
      </c>
      <c r="F19" s="13">
        <f>SUM(OSRRefE20x_1)</f>
        <v>173397.42189692301</v>
      </c>
      <c r="G19" s="13">
        <f>SUM(OSRRefE20x_2)</f>
        <v>203711.27737115385</v>
      </c>
      <c r="H19" s="13">
        <f>SUM(OSRRefE20x_3)</f>
        <v>164629.42189692301</v>
      </c>
      <c r="I19" s="13">
        <f>SUM(OSRRefE20x_4)</f>
        <v>165721.42189692301</v>
      </c>
      <c r="J19" s="13">
        <f>SUM(OSRRefE20x_5)</f>
        <v>174918.02737115388</v>
      </c>
      <c r="K19" s="13">
        <f>SUM(OSRRefE20x_6)</f>
        <v>176308.17189692301</v>
      </c>
      <c r="L19" s="13">
        <f>SUM(OSRRefE20x_7)</f>
        <v>173212.17189692301</v>
      </c>
      <c r="M19" s="13">
        <f>SUM(OSRRefE20x_8)</f>
        <v>194654.02737115388</v>
      </c>
      <c r="N19" s="13">
        <f>SUM(OSRRefE20x_9)</f>
        <v>143958.41589692302</v>
      </c>
      <c r="O19" s="13">
        <f>SUM(OSRRefE20x_10)</f>
        <v>89793.209896923028</v>
      </c>
      <c r="Q19" s="13">
        <f>SUM(OSRRefG20x)</f>
        <v>1834144.1932888459</v>
      </c>
    </row>
    <row r="20" spans="1:17" s="34" customFormat="1" collapsed="1" x14ac:dyDescent="0.3">
      <c r="A20" s="35"/>
      <c r="B20" s="14" t="str">
        <f>CONCATENATE("     ","*Benefits                                         ")</f>
        <v xml:space="preserve">     *Benefits                                         </v>
      </c>
      <c r="C20" s="14"/>
      <c r="D20" s="1">
        <f>SUM(OSRRefD21_0x_0)</f>
        <v>16794.339999999997</v>
      </c>
      <c r="E20" s="1">
        <f>SUM(OSRRefE21_0x_0)</f>
        <v>31845.394358461523</v>
      </c>
      <c r="F20" s="1">
        <f>SUM(OSRRefE21_0x_1)</f>
        <v>33585.000358461526</v>
      </c>
      <c r="G20" s="1">
        <f>SUM(OSRRefE21_0x_2)</f>
        <v>40192.250448076942</v>
      </c>
      <c r="H20" s="1">
        <f>SUM(OSRRefE21_0x_3)</f>
        <v>33585.000358461526</v>
      </c>
      <c r="I20" s="1">
        <f>SUM(OSRRefE21_0x_4)</f>
        <v>33585.000358461526</v>
      </c>
      <c r="J20" s="1">
        <f>SUM(OSRRefE21_0x_5)</f>
        <v>40278.000448076957</v>
      </c>
      <c r="K20" s="1">
        <f>SUM(OSRRefE21_0x_6)</f>
        <v>33670.750358461526</v>
      </c>
      <c r="L20" s="1">
        <f>SUM(OSRRefE21_0x_7)</f>
        <v>33670.750358461526</v>
      </c>
      <c r="M20" s="1">
        <f>SUM(OSRRefE21_0x_8)</f>
        <v>40278.000448076957</v>
      </c>
      <c r="N20" s="1">
        <f>SUM(OSRRefE21_0x_9)</f>
        <v>31913.994358461525</v>
      </c>
      <c r="O20" s="1">
        <f>SUM(OSRRefE21_0x_10)</f>
        <v>29370.788358461523</v>
      </c>
      <c r="Q20" s="2">
        <f>SUM(OSRRefD20_0x)+IFERROR(SUM(OSRRefE20_0x),0)</f>
        <v>398769.27021192305</v>
      </c>
    </row>
    <row r="21" spans="1:17" s="34" customFormat="1" hidden="1" outlineLevel="1" x14ac:dyDescent="0.3">
      <c r="A21" s="35"/>
      <c r="B21" s="10" t="str">
        <f>CONCATENATE("          ","6111", " - ","F.I.C.A.")</f>
        <v xml:space="preserve">          6111 - F.I.C.A.</v>
      </c>
      <c r="C21" s="14"/>
      <c r="D21" s="2">
        <v>1369.22</v>
      </c>
      <c r="E21" s="2">
        <v>3995.5842046153798</v>
      </c>
      <c r="F21" s="2">
        <v>4776.19020461538</v>
      </c>
      <c r="G21" s="2">
        <v>5970.2377557692298</v>
      </c>
      <c r="H21" s="2">
        <v>4776.19020461538</v>
      </c>
      <c r="I21" s="2">
        <v>4776.19020461538</v>
      </c>
      <c r="J21" s="2">
        <v>5970.2377557692298</v>
      </c>
      <c r="K21" s="2">
        <v>4776.19020461538</v>
      </c>
      <c r="L21" s="2">
        <v>4776.19020461538</v>
      </c>
      <c r="M21" s="2">
        <v>5970.2377557692298</v>
      </c>
      <c r="N21" s="2">
        <v>3995.5842046153798</v>
      </c>
      <c r="O21" s="2">
        <v>3214.97820461538</v>
      </c>
      <c r="P21" s="9"/>
      <c r="Q21" s="2">
        <f>SUM(OSRRefD21_0_0x)+IFERROR(SUM(OSRRefE21_0_0x),0)</f>
        <v>54367.030904230727</v>
      </c>
    </row>
    <row r="22" spans="1:17" s="34" customFormat="1" hidden="1" outlineLevel="1" x14ac:dyDescent="0.3">
      <c r="A22" s="35"/>
      <c r="B22" s="10" t="str">
        <f>CONCATENATE("          ","6112", " - ","COMPENSATION INSURANCE")</f>
        <v xml:space="preserve">          6112 - COMPENSATION INSURANCE</v>
      </c>
      <c r="C22" s="14"/>
      <c r="D22" s="2">
        <v>643.47</v>
      </c>
      <c r="E22" s="2">
        <v>2509.33567692308</v>
      </c>
      <c r="F22" s="2">
        <v>3028.56567692308</v>
      </c>
      <c r="G22" s="2">
        <v>3619.8945961538502</v>
      </c>
      <c r="H22" s="2">
        <v>3028.56567692308</v>
      </c>
      <c r="I22" s="2">
        <v>3028.56567692308</v>
      </c>
      <c r="J22" s="2">
        <v>3666.32209615385</v>
      </c>
      <c r="K22" s="2">
        <v>3074.9931769230798</v>
      </c>
      <c r="L22" s="2">
        <v>3074.9931769230798</v>
      </c>
      <c r="M22" s="2">
        <v>3666.32209615385</v>
      </c>
      <c r="N22" s="2">
        <v>2546.4776769230798</v>
      </c>
      <c r="O22" s="2">
        <v>1592.1556769230799</v>
      </c>
      <c r="P22" s="9"/>
      <c r="Q22" s="2">
        <f>SUM(OSRRefD21_0_1x)+IFERROR(SUM(OSRRefE21_0_1x),0)</f>
        <v>33479.66120384619</v>
      </c>
    </row>
    <row r="23" spans="1:17" s="34" customFormat="1" hidden="1" outlineLevel="1" x14ac:dyDescent="0.3">
      <c r="A23" s="35"/>
      <c r="B23" s="10" t="str">
        <f>CONCATENATE("          ","6113", " - ","GROUP INSURANCE")</f>
        <v xml:space="preserve">          6113 - GROUP INSURANCE</v>
      </c>
      <c r="C23" s="14"/>
      <c r="D23" s="2">
        <v>10588.88</v>
      </c>
      <c r="E23" s="2">
        <v>20158.384615384599</v>
      </c>
      <c r="F23" s="2">
        <v>20158.384615384599</v>
      </c>
      <c r="G23" s="2">
        <v>23715.230769230799</v>
      </c>
      <c r="H23" s="2">
        <v>20158.384615384599</v>
      </c>
      <c r="I23" s="2">
        <v>20158.384615384599</v>
      </c>
      <c r="J23" s="2">
        <v>23715.230769230799</v>
      </c>
      <c r="K23" s="2">
        <v>20158.384615384599</v>
      </c>
      <c r="L23" s="2">
        <v>20158.384615384599</v>
      </c>
      <c r="M23" s="2">
        <v>23715.230769230799</v>
      </c>
      <c r="N23" s="2">
        <v>20158.384615384599</v>
      </c>
      <c r="O23" s="2">
        <v>20158.384615384599</v>
      </c>
      <c r="P23" s="9"/>
      <c r="Q23" s="2">
        <f>SUM(OSRRefD21_0_2x)+IFERROR(SUM(OSRRefE21_0_2x),0)</f>
        <v>243001.6492307692</v>
      </c>
    </row>
    <row r="24" spans="1:17" s="34" customFormat="1" hidden="1" outlineLevel="1" x14ac:dyDescent="0.3">
      <c r="A24" s="35"/>
      <c r="B24" s="10" t="str">
        <f>CONCATENATE("          ","6114", " - ","STATE UNEMPLOYMENT INSURANCE")</f>
        <v xml:space="preserve">          6114 - STATE UNEMPLOYMENT INSURANCE</v>
      </c>
      <c r="C24" s="14"/>
      <c r="D24" s="2">
        <v>46.47</v>
      </c>
      <c r="E24" s="2">
        <v>139.03970769230801</v>
      </c>
      <c r="F24" s="2">
        <v>167.809707692308</v>
      </c>
      <c r="G24" s="2">
        <v>200.57463461538501</v>
      </c>
      <c r="H24" s="2">
        <v>167.809707692308</v>
      </c>
      <c r="I24" s="2">
        <v>167.809707692308</v>
      </c>
      <c r="J24" s="2">
        <v>203.147134615385</v>
      </c>
      <c r="K24" s="2">
        <v>170.38220769230799</v>
      </c>
      <c r="L24" s="2">
        <v>170.38220769230799</v>
      </c>
      <c r="M24" s="2">
        <v>203.147134615385</v>
      </c>
      <c r="N24" s="2">
        <v>141.09770769230801</v>
      </c>
      <c r="O24" s="2">
        <v>88.219707692307693</v>
      </c>
      <c r="P24" s="9"/>
      <c r="Q24" s="2">
        <f>SUM(OSRRefD21_0_3x)+IFERROR(SUM(OSRRefE21_0_3x),0)</f>
        <v>1865.8895653846187</v>
      </c>
    </row>
    <row r="25" spans="1:17" s="34" customFormat="1" hidden="1" outlineLevel="1" x14ac:dyDescent="0.3">
      <c r="A25" s="35"/>
      <c r="B25" s="10" t="str">
        <f>CONCATENATE("          ","6115", " - ","P.E.R.S.")</f>
        <v xml:space="preserve">          6115 - P.E.R.S.</v>
      </c>
      <c r="C25" s="14"/>
      <c r="D25" s="2">
        <v>935.58</v>
      </c>
      <c r="E25" s="2">
        <v>1246.0870769230801</v>
      </c>
      <c r="F25" s="2">
        <v>1246.0870769230801</v>
      </c>
      <c r="G25" s="2">
        <v>1557.60884615385</v>
      </c>
      <c r="H25" s="2">
        <v>1246.0870769230801</v>
      </c>
      <c r="I25" s="2">
        <v>1246.0870769230801</v>
      </c>
      <c r="J25" s="2">
        <v>1557.60884615385</v>
      </c>
      <c r="K25" s="2">
        <v>1246.0870769230801</v>
      </c>
      <c r="L25" s="2">
        <v>1246.0870769230801</v>
      </c>
      <c r="M25" s="2">
        <v>1557.60884615385</v>
      </c>
      <c r="N25" s="2">
        <v>1246.0870769230801</v>
      </c>
      <c r="O25" s="2">
        <v>1246.0870769230801</v>
      </c>
      <c r="P25" s="9"/>
      <c r="Q25" s="2">
        <f>SUM(OSRRefD21_0_4x)+IFERROR(SUM(OSRRefE21_0_4x),0)</f>
        <v>15577.103153846192</v>
      </c>
    </row>
    <row r="26" spans="1:17" s="34" customFormat="1" hidden="1" outlineLevel="1" x14ac:dyDescent="0.3">
      <c r="A26" s="35"/>
      <c r="B26" s="10" t="str">
        <f>CONCATENATE("          ","6116", " - ","EDUCATIONAL BENEFITS")</f>
        <v xml:space="preserve">          6116 - EDUCATIONAL BENEFITS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9"/>
      <c r="Q26" s="2">
        <f>SUM(OSRRefD21_0_5x)+IFERROR(SUM(OSRRefE21_0_5x),0)</f>
        <v>0</v>
      </c>
    </row>
    <row r="27" spans="1:17" s="34" customFormat="1" hidden="1" outlineLevel="1" x14ac:dyDescent="0.3">
      <c r="A27" s="35"/>
      <c r="B27" s="10" t="str">
        <f>CONCATENATE("          ","6117", " - ","RETIREMENT STAFF HOURLY")</f>
        <v xml:space="preserve">          6117 - RETIREMENT STAFF HOURLY</v>
      </c>
      <c r="C27" s="14"/>
      <c r="D27" s="2">
        <v>346.42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2">
        <f>SUM(OSRRefD21_0_6x)+IFERROR(SUM(OSRRefE21_0_6x),0)</f>
        <v>346.42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>
        <v>1447.81</v>
      </c>
      <c r="E28" s="2">
        <v>1810.68153846154</v>
      </c>
      <c r="F28" s="2">
        <v>1810.68153846154</v>
      </c>
      <c r="G28" s="2">
        <v>2263.3519230769198</v>
      </c>
      <c r="H28" s="2">
        <v>1810.68153846154</v>
      </c>
      <c r="I28" s="2">
        <v>1810.68153846154</v>
      </c>
      <c r="J28" s="2">
        <v>2263.3519230769198</v>
      </c>
      <c r="K28" s="2">
        <v>1810.68153846154</v>
      </c>
      <c r="L28" s="2">
        <v>1810.68153846154</v>
      </c>
      <c r="M28" s="2">
        <v>2263.3519230769198</v>
      </c>
      <c r="N28" s="2">
        <v>1810.68153846154</v>
      </c>
      <c r="O28" s="2">
        <v>1810.68153846154</v>
      </c>
      <c r="P28" s="9"/>
      <c r="Q28" s="2">
        <f>SUM(OSRRefD21_0_7x)+IFERROR(SUM(OSRRefE21_0_7x),0)</f>
        <v>22723.318076923082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>
        <v>850.14</v>
      </c>
      <c r="E29" s="2">
        <v>1986.2815384615401</v>
      </c>
      <c r="F29" s="2">
        <v>2397.2815384615401</v>
      </c>
      <c r="G29" s="2">
        <v>2865.3519230769198</v>
      </c>
      <c r="H29" s="2">
        <v>2397.2815384615401</v>
      </c>
      <c r="I29" s="2">
        <v>2397.2815384615401</v>
      </c>
      <c r="J29" s="2">
        <v>2902.1019230769198</v>
      </c>
      <c r="K29" s="2">
        <v>2434.0315384615401</v>
      </c>
      <c r="L29" s="2">
        <v>2434.0315384615401</v>
      </c>
      <c r="M29" s="2">
        <v>2902.1019230769198</v>
      </c>
      <c r="N29" s="2">
        <v>2015.68153846154</v>
      </c>
      <c r="O29" s="2">
        <v>1260.2815384615401</v>
      </c>
      <c r="P29" s="9"/>
      <c r="Q29" s="2">
        <f>SUM(OSRRefD21_0_8x)+IFERROR(SUM(OSRRefE21_0_8x),0)</f>
        <v>26841.848076923077</v>
      </c>
    </row>
    <row r="30" spans="1:17" s="34" customFormat="1" hidden="1" outlineLevel="1" x14ac:dyDescent="0.3">
      <c r="A30" s="35"/>
      <c r="B30" s="10" t="str">
        <f>CONCATENATE("          ","6156", " - ","EMPLOYEE MEALS")</f>
        <v xml:space="preserve">          6156 - EMPLOYEE MEALS</v>
      </c>
      <c r="C30" s="14"/>
      <c r="D30" s="2">
        <v>566.35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2">
        <f>SUM(OSRRefD21_0_9x)+IFERROR(SUM(OSRRefE21_0_9x),0)</f>
        <v>566.35</v>
      </c>
    </row>
    <row r="31" spans="1:17" s="34" customFormat="1" collapsed="1" x14ac:dyDescent="0.3">
      <c r="A31" s="35"/>
      <c r="B31" s="14" t="str">
        <f>CONCATENATE("     ","*Payroll                                          ")</f>
        <v xml:space="preserve">     *Payroll                                          </v>
      </c>
      <c r="C31" s="14"/>
      <c r="D31" s="1">
        <f>SUM(OSRRefD21_1x_0)</f>
        <v>18875.27</v>
      </c>
      <c r="E31" s="1">
        <f>SUM(OSRRefE21_1x_0)</f>
        <v>63138.421538461502</v>
      </c>
      <c r="F31" s="1">
        <f>SUM(OSRRefE21_1x_1)</f>
        <v>76838.421538461494</v>
      </c>
      <c r="G31" s="1">
        <f>SUM(OSRRefE21_1x_2)</f>
        <v>91673.026923076904</v>
      </c>
      <c r="H31" s="1">
        <f>SUM(OSRRefE21_1x_3)</f>
        <v>76838.421538461494</v>
      </c>
      <c r="I31" s="1">
        <f>SUM(OSRRefE21_1x_4)</f>
        <v>76838.421538461494</v>
      </c>
      <c r="J31" s="1">
        <f>SUM(OSRRefE21_1x_5)</f>
        <v>92898.026923076904</v>
      </c>
      <c r="K31" s="1">
        <f>SUM(OSRRefE21_1x_6)</f>
        <v>78063.421538461494</v>
      </c>
      <c r="L31" s="1">
        <f>SUM(OSRRefE21_1x_7)</f>
        <v>78063.421538461494</v>
      </c>
      <c r="M31" s="1">
        <f>SUM(OSRRefE21_1x_8)</f>
        <v>92898.026923076904</v>
      </c>
      <c r="N31" s="1">
        <f>SUM(OSRRefE21_1x_9)</f>
        <v>64118.421538461502</v>
      </c>
      <c r="O31" s="1">
        <f>SUM(OSRRefE21_1x_10)</f>
        <v>38938.421538461502</v>
      </c>
      <c r="Q31" s="2">
        <f>SUM(OSRRefD20_1x)+IFERROR(SUM(OSRRefE20_1x),0)</f>
        <v>849181.72307692259</v>
      </c>
    </row>
    <row r="32" spans="1:17" s="34" customFormat="1" hidden="1" outlineLevel="1" x14ac:dyDescent="0.3">
      <c r="A32" s="35"/>
      <c r="B32" s="10" t="str">
        <f>CONCATENATE("          ","6001", " - ","ADMINISTRATIVE SALARIES")</f>
        <v xml:space="preserve">          6001 - ADMINISTRATIVE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SUM(OSRRefD21_1_0x)+IFERROR(SUM(OSRRefE21_1_0x),0)</f>
        <v>0</v>
      </c>
    </row>
    <row r="33" spans="1:17" s="34" customFormat="1" hidden="1" outlineLevel="1" x14ac:dyDescent="0.3">
      <c r="A33" s="35"/>
      <c r="B33" s="10" t="str">
        <f>CONCATENATE("          ","6002", " - ","STAFF SALARIES")</f>
        <v xml:space="preserve">          6002 - STAFF SALARIES</v>
      </c>
      <c r="C33" s="14"/>
      <c r="D33" s="2">
        <v>10229.52</v>
      </c>
      <c r="E33" s="2">
        <v>13620.0215384615</v>
      </c>
      <c r="F33" s="2">
        <v>13620.0215384615</v>
      </c>
      <c r="G33" s="2">
        <v>17025.026923076901</v>
      </c>
      <c r="H33" s="2">
        <v>13620.0215384615</v>
      </c>
      <c r="I33" s="2">
        <v>13620.0215384615</v>
      </c>
      <c r="J33" s="2">
        <v>17025.026923076901</v>
      </c>
      <c r="K33" s="2">
        <v>13620.0215384615</v>
      </c>
      <c r="L33" s="2">
        <v>13620.0215384615</v>
      </c>
      <c r="M33" s="2">
        <v>17025.026923076901</v>
      </c>
      <c r="N33" s="2">
        <v>13620.0215384615</v>
      </c>
      <c r="O33" s="2">
        <v>13620.0215384615</v>
      </c>
      <c r="P33" s="9"/>
      <c r="Q33" s="2">
        <f>SUM(OSRRefD21_1_1x)+IFERROR(SUM(OSRRefE21_1_1x),0)</f>
        <v>170264.77307692269</v>
      </c>
    </row>
    <row r="34" spans="1:17" s="34" customFormat="1" hidden="1" outlineLevel="1" x14ac:dyDescent="0.3">
      <c r="A34" s="35"/>
      <c r="B34" s="10" t="str">
        <f>CONCATENATE("          ","6003", " - ","STAFF HOURLY-9 MONTH")</f>
        <v xml:space="preserve">          6003 - STAFF HOURLY-9 MONTH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SUM(OSRRefD21_1_2x)+IFERROR(SUM(OSRRefE21_1_2x),0)</f>
        <v>0</v>
      </c>
    </row>
    <row r="35" spans="1:17" s="34" customFormat="1" hidden="1" outlineLevel="1" x14ac:dyDescent="0.3">
      <c r="A35" s="35"/>
      <c r="B35" s="10" t="str">
        <f>CONCATENATE("          ","6004", " - ","STAFF HOURLY")</f>
        <v xml:space="preserve">          6004 - STAFF HOURLY</v>
      </c>
      <c r="C35" s="14"/>
      <c r="D35" s="2">
        <v>7226.75</v>
      </c>
      <c r="E35" s="2">
        <v>35518.400000000001</v>
      </c>
      <c r="F35" s="2">
        <v>45718.400000000001</v>
      </c>
      <c r="G35" s="2">
        <v>57148</v>
      </c>
      <c r="H35" s="2">
        <v>45718.400000000001</v>
      </c>
      <c r="I35" s="2">
        <v>45718.400000000001</v>
      </c>
      <c r="J35" s="2">
        <v>57148</v>
      </c>
      <c r="K35" s="2">
        <v>45718.400000000001</v>
      </c>
      <c r="L35" s="2">
        <v>45718.400000000001</v>
      </c>
      <c r="M35" s="2">
        <v>57148</v>
      </c>
      <c r="N35" s="2">
        <v>35518.400000000001</v>
      </c>
      <c r="O35" s="2">
        <v>25318.400000000001</v>
      </c>
      <c r="P35" s="9"/>
      <c r="Q35" s="2">
        <f>SUM(OSRRefD21_1_3x)+IFERROR(SUM(OSRRefE21_1_3x),0)</f>
        <v>503617.95000000007</v>
      </c>
    </row>
    <row r="36" spans="1:17" s="34" customFormat="1" hidden="1" outlineLevel="1" x14ac:dyDescent="0.3">
      <c r="A36" s="35"/>
      <c r="B36" s="10" t="str">
        <f>CONCATENATE("          ","6005", " - ","TEMPORARY WAGES-HOURLY")</f>
        <v xml:space="preserve">          6005 - TEMPORARY WAGES-HOURLY</v>
      </c>
      <c r="C36" s="14"/>
      <c r="D36" s="2"/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9"/>
      <c r="Q36" s="2">
        <f>SUM(OSRRefD21_1_4x)+IFERROR(SUM(OSRRefE21_1_4x),0)</f>
        <v>0</v>
      </c>
    </row>
    <row r="37" spans="1:17" s="34" customFormat="1" hidden="1" outlineLevel="1" x14ac:dyDescent="0.3">
      <c r="A37" s="35"/>
      <c r="B37" s="10" t="str">
        <f>CONCATENATE("          ","6006", " - ","TEMPORARY PART TIME")</f>
        <v xml:space="preserve">          6006 - TEMPORARY PART TIME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SUM(OSRRefD21_1_5x)+IFERROR(SUM(OSRRefE21_1_5x),0)</f>
        <v>0</v>
      </c>
    </row>
    <row r="38" spans="1:17" s="34" customFormat="1" hidden="1" outlineLevel="1" x14ac:dyDescent="0.3">
      <c r="A38" s="35"/>
      <c r="B38" s="10" t="str">
        <f>CONCATENATE("          ","6007", " - ","STUDENT HOURLY")</f>
        <v xml:space="preserve">          6007 - STUDENT HOURLY</v>
      </c>
      <c r="C38" s="14"/>
      <c r="D38" s="2">
        <v>1419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SUM(OSRRefD21_1_6x)+IFERROR(SUM(OSRRefE21_1_6x),0)</f>
        <v>1419</v>
      </c>
    </row>
    <row r="39" spans="1:17" s="34" customFormat="1" hidden="1" outlineLevel="1" x14ac:dyDescent="0.3">
      <c r="A39" s="35"/>
      <c r="B39" s="10" t="str">
        <f>CONCATENATE("          ","6008", " - ","STUDENT HOURLY-FICA EXEMPT")</f>
        <v xml:space="preserve">          6008 - STUDENT HOURLY-FICA EXEMPT</v>
      </c>
      <c r="C39" s="14"/>
      <c r="D39" s="2"/>
      <c r="E39" s="2">
        <v>14000</v>
      </c>
      <c r="F39" s="2">
        <v>17500</v>
      </c>
      <c r="G39" s="2">
        <v>17500</v>
      </c>
      <c r="H39" s="2">
        <v>17500</v>
      </c>
      <c r="I39" s="2">
        <v>17500</v>
      </c>
      <c r="J39" s="2">
        <v>18725</v>
      </c>
      <c r="K39" s="2">
        <v>18725</v>
      </c>
      <c r="L39" s="2">
        <v>18725</v>
      </c>
      <c r="M39" s="2">
        <v>18725</v>
      </c>
      <c r="N39" s="2">
        <v>14980</v>
      </c>
      <c r="O39" s="2">
        <v>0</v>
      </c>
      <c r="P39" s="9"/>
      <c r="Q39" s="2">
        <f>SUM(OSRRefD21_1_7x)+IFERROR(SUM(OSRRefE21_1_7x),0)</f>
        <v>173880</v>
      </c>
    </row>
    <row r="40" spans="1:17" s="34" customFormat="1" hidden="1" outlineLevel="1" x14ac:dyDescent="0.3">
      <c r="A40" s="35"/>
      <c r="B40" s="10" t="str">
        <f>CONCATENATE("          ","6009", " - ","TEMPORARY-SEASONAL")</f>
        <v xml:space="preserve">          6009 - TEMPORARY-SEASONAL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SUM(OSRRefD21_1_8x)+IFERROR(SUM(OSRRefE21_1_8x),0)</f>
        <v>0</v>
      </c>
    </row>
    <row r="41" spans="1:17" s="34" customFormat="1" hidden="1" outlineLevel="1" x14ac:dyDescent="0.3">
      <c r="A41" s="35"/>
      <c r="B41" s="10" t="str">
        <f>CONCATENATE("          ","6010", " - ","GRATUITY")</f>
        <v xml:space="preserve">          6010 - GRATUITY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SUM(OSRRefD21_1_9x)+IFERROR(SUM(OSRRefE21_1_9x),0)</f>
        <v>0</v>
      </c>
    </row>
    <row r="42" spans="1:17" s="34" customFormat="1" collapsed="1" x14ac:dyDescent="0.3">
      <c r="A42" s="35"/>
      <c r="B42" s="14" t="str">
        <f>CONCATENATE("     ","Advertising/Promo                                 ")</f>
        <v xml:space="preserve">     Advertising/Promo                                 </v>
      </c>
      <c r="C42" s="14"/>
      <c r="D42" s="1">
        <f>SUM(OSRRefD21_2x_0)</f>
        <v>40.31</v>
      </c>
      <c r="E42" s="1">
        <f>SUM(OSRRefE21_2x_0)</f>
        <v>600</v>
      </c>
      <c r="F42" s="1">
        <f>SUM(OSRRefE21_2x_1)</f>
        <v>600</v>
      </c>
      <c r="G42" s="1">
        <f>SUM(OSRRefE21_2x_2)</f>
        <v>600</v>
      </c>
      <c r="H42" s="1">
        <f>SUM(OSRRefE21_2x_3)</f>
        <v>600</v>
      </c>
      <c r="I42" s="1">
        <f>SUM(OSRRefE21_2x_4)</f>
        <v>600</v>
      </c>
      <c r="J42" s="1">
        <f>SUM(OSRRefE21_2x_5)</f>
        <v>600</v>
      </c>
      <c r="K42" s="1">
        <f>SUM(OSRRefE21_2x_6)</f>
        <v>600</v>
      </c>
      <c r="L42" s="1">
        <f>SUM(OSRRefE21_2x_7)</f>
        <v>600</v>
      </c>
      <c r="M42" s="1">
        <f>SUM(OSRRefE21_2x_8)</f>
        <v>600</v>
      </c>
      <c r="N42" s="1">
        <f>SUM(OSRRefE21_2x_9)</f>
        <v>600</v>
      </c>
      <c r="O42" s="1">
        <f>SUM(OSRRefE21_2x_10)</f>
        <v>600</v>
      </c>
      <c r="Q42" s="2">
        <f>SUM(OSRRefD20_2x)+IFERROR(SUM(OSRRefE20_2x),0)</f>
        <v>6640.31</v>
      </c>
    </row>
    <row r="43" spans="1:17" s="34" customFormat="1" hidden="1" outlineLevel="1" x14ac:dyDescent="0.3">
      <c r="A43" s="35"/>
      <c r="B43" s="10" t="str">
        <f>CONCATENATE("          ","6362", " - ","ADVERTISING EXPENSE")</f>
        <v xml:space="preserve">          6362 - ADVERTISING EXPENSE</v>
      </c>
      <c r="C43" s="14"/>
      <c r="D43" s="2">
        <v>40.31</v>
      </c>
      <c r="E43" s="2">
        <v>600</v>
      </c>
      <c r="F43" s="2">
        <v>600</v>
      </c>
      <c r="G43" s="2">
        <v>600</v>
      </c>
      <c r="H43" s="2">
        <v>600</v>
      </c>
      <c r="I43" s="2">
        <v>600</v>
      </c>
      <c r="J43" s="2">
        <v>600</v>
      </c>
      <c r="K43" s="2">
        <v>600</v>
      </c>
      <c r="L43" s="2">
        <v>600</v>
      </c>
      <c r="M43" s="2">
        <v>600</v>
      </c>
      <c r="N43" s="2">
        <v>600</v>
      </c>
      <c r="O43" s="2">
        <v>600</v>
      </c>
      <c r="P43" s="9"/>
      <c r="Q43" s="2">
        <f>SUM(OSRRefD21_2_0x)+IFERROR(SUM(OSRRefE21_2_0x),0)</f>
        <v>6640.31</v>
      </c>
    </row>
    <row r="44" spans="1:17" s="34" customFormat="1" collapsed="1" x14ac:dyDescent="0.3">
      <c r="A44" s="35"/>
      <c r="B44" s="14" t="str">
        <f>CONCATENATE("     ","Bad Debts/Over/Short                              ")</f>
        <v xml:space="preserve">     Bad Debts/Over/Short                              </v>
      </c>
      <c r="C44" s="14"/>
      <c r="D44" s="1">
        <f>SUM(OSRRefD21_3x_0)</f>
        <v>0</v>
      </c>
      <c r="E44" s="1">
        <f>SUM(OSRRefE21_3x_0)</f>
        <v>15</v>
      </c>
      <c r="F44" s="1">
        <f>SUM(OSRRefE21_3x_1)</f>
        <v>15</v>
      </c>
      <c r="G44" s="1">
        <f>SUM(OSRRefE21_3x_2)</f>
        <v>15</v>
      </c>
      <c r="H44" s="1">
        <f>SUM(OSRRefE21_3x_3)</f>
        <v>15</v>
      </c>
      <c r="I44" s="1">
        <f>SUM(OSRRefE21_3x_4)</f>
        <v>15</v>
      </c>
      <c r="J44" s="1">
        <f>SUM(OSRRefE21_3x_5)</f>
        <v>15</v>
      </c>
      <c r="K44" s="1">
        <f>SUM(OSRRefE21_3x_6)</f>
        <v>15</v>
      </c>
      <c r="L44" s="1">
        <f>SUM(OSRRefE21_3x_7)</f>
        <v>15</v>
      </c>
      <c r="M44" s="1">
        <f>SUM(OSRRefE21_3x_8)</f>
        <v>15</v>
      </c>
      <c r="N44" s="1">
        <f>SUM(OSRRefE21_3x_9)</f>
        <v>15</v>
      </c>
      <c r="O44" s="1">
        <f>SUM(OSRRefE21_3x_10)</f>
        <v>15</v>
      </c>
      <c r="Q44" s="2">
        <f>SUM(OSRRefD20_3x)+IFERROR(SUM(OSRRefE20_3x),0)</f>
        <v>165</v>
      </c>
    </row>
    <row r="45" spans="1:17" s="34" customFormat="1" hidden="1" outlineLevel="1" x14ac:dyDescent="0.3">
      <c r="A45" s="35"/>
      <c r="B45" s="10" t="str">
        <f>CONCATENATE("          ","6272", " - ","CASH (OVER/SHORT)")</f>
        <v xml:space="preserve">          6272 - CASH (OVER/SHORT)</v>
      </c>
      <c r="C45" s="14"/>
      <c r="D45" s="2"/>
      <c r="E45" s="2">
        <v>15</v>
      </c>
      <c r="F45" s="2">
        <v>15</v>
      </c>
      <c r="G45" s="2">
        <v>15</v>
      </c>
      <c r="H45" s="2">
        <v>15</v>
      </c>
      <c r="I45" s="2">
        <v>15</v>
      </c>
      <c r="J45" s="2">
        <v>15</v>
      </c>
      <c r="K45" s="2">
        <v>15</v>
      </c>
      <c r="L45" s="2">
        <v>15</v>
      </c>
      <c r="M45" s="2">
        <v>15</v>
      </c>
      <c r="N45" s="2">
        <v>15</v>
      </c>
      <c r="O45" s="2">
        <v>15</v>
      </c>
      <c r="P45" s="9"/>
      <c r="Q45" s="2">
        <f>SUM(OSRRefD21_3_0x)+IFERROR(SUM(OSRRefE21_3_0x),0)</f>
        <v>165</v>
      </c>
    </row>
    <row r="46" spans="1:17" s="34" customFormat="1" collapsed="1" x14ac:dyDescent="0.3">
      <c r="A46" s="35"/>
      <c r="B46" s="14" t="str">
        <f>CONCATENATE("     ","Bank/card Fees                                    ")</f>
        <v xml:space="preserve">     Bank/card Fees                                    </v>
      </c>
      <c r="C46" s="14"/>
      <c r="D46" s="1">
        <f>SUM(OSRRefD21_4x_0)</f>
        <v>0</v>
      </c>
      <c r="E46" s="1">
        <f>SUM(OSRRefE21_4x_0)</f>
        <v>250</v>
      </c>
      <c r="F46" s="1">
        <f>SUM(OSRRefE21_4x_1)</f>
        <v>250</v>
      </c>
      <c r="G46" s="1">
        <f>SUM(OSRRefE21_4x_2)</f>
        <v>250</v>
      </c>
      <c r="H46" s="1">
        <f>SUM(OSRRefE21_4x_3)</f>
        <v>250</v>
      </c>
      <c r="I46" s="1">
        <f>SUM(OSRRefE21_4x_4)</f>
        <v>250</v>
      </c>
      <c r="J46" s="1">
        <f>SUM(OSRRefE21_4x_5)</f>
        <v>250</v>
      </c>
      <c r="K46" s="1">
        <f>SUM(OSRRefE21_4x_6)</f>
        <v>250</v>
      </c>
      <c r="L46" s="1">
        <f>SUM(OSRRefE21_4x_7)</f>
        <v>250</v>
      </c>
      <c r="M46" s="1">
        <f>SUM(OSRRefE21_4x_8)</f>
        <v>250</v>
      </c>
      <c r="N46" s="1">
        <f>SUM(OSRRefE21_4x_9)</f>
        <v>250</v>
      </c>
      <c r="O46" s="1">
        <f>SUM(OSRRefE21_4x_10)</f>
        <v>250</v>
      </c>
      <c r="Q46" s="2">
        <f>SUM(OSRRefD20_4x)+IFERROR(SUM(OSRRefE20_4x),0)</f>
        <v>2750</v>
      </c>
    </row>
    <row r="47" spans="1:17" s="34" customFormat="1" hidden="1" outlineLevel="1" x14ac:dyDescent="0.3">
      <c r="A47" s="35"/>
      <c r="B47" s="10" t="str">
        <f>CONCATENATE("          ","6381", " - ","BANK/CREDIT CARD FEES")</f>
        <v xml:space="preserve">          6381 - BANK/CREDIT CARD FEES</v>
      </c>
      <c r="C47" s="14"/>
      <c r="D47" s="2"/>
      <c r="E47" s="2">
        <v>250</v>
      </c>
      <c r="F47" s="2">
        <v>250</v>
      </c>
      <c r="G47" s="2">
        <v>250</v>
      </c>
      <c r="H47" s="2">
        <v>250</v>
      </c>
      <c r="I47" s="2">
        <v>250</v>
      </c>
      <c r="J47" s="2">
        <v>250</v>
      </c>
      <c r="K47" s="2">
        <v>250</v>
      </c>
      <c r="L47" s="2">
        <v>250</v>
      </c>
      <c r="M47" s="2">
        <v>250</v>
      </c>
      <c r="N47" s="2">
        <v>250</v>
      </c>
      <c r="O47" s="2">
        <v>250</v>
      </c>
      <c r="P47" s="9"/>
      <c r="Q47" s="2">
        <f>SUM(OSRRefD21_4_0x)+IFERROR(SUM(OSRRefE21_4_0x),0)</f>
        <v>2750</v>
      </c>
    </row>
    <row r="48" spans="1:17" s="34" customFormat="1" collapsed="1" x14ac:dyDescent="0.3">
      <c r="A48" s="35"/>
      <c r="B48" s="14" t="str">
        <f>CONCATENATE("     ","Depreciation                                      ")</f>
        <v xml:space="preserve">     Depreciation                                      </v>
      </c>
      <c r="C48" s="14"/>
      <c r="D48" s="1">
        <f>SUM(OSRRefD21_5x_0)</f>
        <v>273.51</v>
      </c>
      <c r="E48" s="1">
        <f>SUM(OSRRefE21_5x_0)</f>
        <v>0</v>
      </c>
      <c r="F48" s="1">
        <f>SUM(OSRRefE21_5x_1)</f>
        <v>0</v>
      </c>
      <c r="G48" s="1">
        <f>SUM(OSRRefE21_5x_2)</f>
        <v>0</v>
      </c>
      <c r="H48" s="1">
        <f>SUM(OSRRefE21_5x_3)</f>
        <v>0</v>
      </c>
      <c r="I48" s="1">
        <f>SUM(OSRRefE21_5x_4)</f>
        <v>0</v>
      </c>
      <c r="J48" s="1">
        <f>SUM(OSRRefE21_5x_5)</f>
        <v>0</v>
      </c>
      <c r="K48" s="1">
        <f>SUM(OSRRefE21_5x_6)</f>
        <v>0</v>
      </c>
      <c r="L48" s="1">
        <f>SUM(OSRRefE21_5x_7)</f>
        <v>0</v>
      </c>
      <c r="M48" s="1">
        <f>SUM(OSRRefE21_5x_8)</f>
        <v>0</v>
      </c>
      <c r="N48" s="1">
        <f>SUM(OSRRefE21_5x_9)</f>
        <v>0</v>
      </c>
      <c r="O48" s="1">
        <f>SUM(OSRRefE21_5x_10)</f>
        <v>0</v>
      </c>
      <c r="Q48" s="2">
        <f>SUM(OSRRefD20_5x)+IFERROR(SUM(OSRRefE20_5x),0)</f>
        <v>273.51</v>
      </c>
    </row>
    <row r="49" spans="1:17" s="34" customFormat="1" hidden="1" outlineLevel="1" x14ac:dyDescent="0.3">
      <c r="A49" s="35"/>
      <c r="B49" s="10" t="str">
        <f>CONCATENATE("          ","6322", " - ","EQUIPMENT DEPRECIATION EXPENSE")</f>
        <v xml:space="preserve">          6322 - EQUIPMENT DEPRECIATION EXPENSE</v>
      </c>
      <c r="C49" s="14"/>
      <c r="D49" s="2">
        <v>273.51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2">
        <f>SUM(OSRRefD21_5_0x)+IFERROR(SUM(OSRRefE21_5_0x),0)</f>
        <v>273.51</v>
      </c>
    </row>
    <row r="50" spans="1:17" s="34" customFormat="1" collapsed="1" x14ac:dyDescent="0.3">
      <c r="A50" s="35"/>
      <c r="B50" s="14" t="str">
        <f>CONCATENATE("     ","Donations                                         ")</f>
        <v xml:space="preserve">     Donations                                         </v>
      </c>
      <c r="C50" s="14"/>
      <c r="D50" s="1">
        <f>SUM(OSRRefD21_6x_0)</f>
        <v>0</v>
      </c>
      <c r="E50" s="1">
        <f>SUM(OSRRefE21_6x_0)</f>
        <v>6000</v>
      </c>
      <c r="F50" s="1">
        <f>SUM(OSRRefE21_6x_1)</f>
        <v>6000</v>
      </c>
      <c r="G50" s="1">
        <f>SUM(OSRRefE21_6x_2)</f>
        <v>6000</v>
      </c>
      <c r="H50" s="1">
        <f>SUM(OSRRefE21_6x_3)</f>
        <v>6000</v>
      </c>
      <c r="I50" s="1">
        <f>SUM(OSRRefE21_6x_4)</f>
        <v>6000</v>
      </c>
      <c r="J50" s="1">
        <f>SUM(OSRRefE21_6x_5)</f>
        <v>6000</v>
      </c>
      <c r="K50" s="1">
        <f>SUM(OSRRefE21_6x_6)</f>
        <v>6000</v>
      </c>
      <c r="L50" s="1">
        <f>SUM(OSRRefE21_6x_7)</f>
        <v>6000</v>
      </c>
      <c r="M50" s="1">
        <f>SUM(OSRRefE21_6x_8)</f>
        <v>6000</v>
      </c>
      <c r="N50" s="1">
        <f>SUM(OSRRefE21_6x_9)</f>
        <v>6000</v>
      </c>
      <c r="O50" s="1">
        <f>SUM(OSRRefE21_6x_10)</f>
        <v>0</v>
      </c>
      <c r="Q50" s="2">
        <f>SUM(OSRRefD20_6x)+IFERROR(SUM(OSRRefE20_6x),0)</f>
        <v>60000</v>
      </c>
    </row>
    <row r="51" spans="1:17" s="34" customFormat="1" hidden="1" outlineLevel="1" x14ac:dyDescent="0.3">
      <c r="A51" s="35"/>
      <c r="B51" s="10" t="str">
        <f>CONCATENATE("          ","6399", " - ","DONATION-ON CAMPUS")</f>
        <v xml:space="preserve">          6399 - DONATION-ON CAMPUS</v>
      </c>
      <c r="C51" s="14"/>
      <c r="D51" s="2"/>
      <c r="E51" s="2">
        <v>6000</v>
      </c>
      <c r="F51" s="2">
        <v>6000</v>
      </c>
      <c r="G51" s="2">
        <v>6000</v>
      </c>
      <c r="H51" s="2">
        <v>6000</v>
      </c>
      <c r="I51" s="2">
        <v>6000</v>
      </c>
      <c r="J51" s="2">
        <v>6000</v>
      </c>
      <c r="K51" s="2">
        <v>6000</v>
      </c>
      <c r="L51" s="2">
        <v>6000</v>
      </c>
      <c r="M51" s="2">
        <v>6000</v>
      </c>
      <c r="N51" s="2">
        <v>6000</v>
      </c>
      <c r="O51" s="2"/>
      <c r="P51" s="9"/>
      <c r="Q51" s="2">
        <f>SUM(OSRRefD21_6_0x)+IFERROR(SUM(OSRRefE21_6_0x),0)</f>
        <v>60000</v>
      </c>
    </row>
    <row r="52" spans="1:17" s="34" customFormat="1" collapsed="1" x14ac:dyDescent="0.3">
      <c r="A52" s="35"/>
      <c r="B52" s="14" t="str">
        <f>CONCATENATE("     ","Employees' Appreciation                           ")</f>
        <v xml:space="preserve">     Employees' Appreciation                           </v>
      </c>
      <c r="C52" s="14"/>
      <c r="D52" s="1">
        <f>SUM(OSRRefD21_7x_0)</f>
        <v>0</v>
      </c>
      <c r="E52" s="1">
        <f>SUM(OSRRefE21_7x_0)</f>
        <v>0</v>
      </c>
      <c r="F52" s="1">
        <f>SUM(OSRRefE21_7x_1)</f>
        <v>200</v>
      </c>
      <c r="G52" s="1">
        <f>SUM(OSRRefE21_7x_2)</f>
        <v>0</v>
      </c>
      <c r="H52" s="1">
        <f>SUM(OSRRefE21_7x_3)</f>
        <v>0</v>
      </c>
      <c r="I52" s="1">
        <f>SUM(OSRRefE21_7x_4)</f>
        <v>300</v>
      </c>
      <c r="J52" s="1">
        <f>SUM(OSRRefE21_7x_5)</f>
        <v>0</v>
      </c>
      <c r="K52" s="1">
        <f>SUM(OSRRefE21_7x_6)</f>
        <v>0</v>
      </c>
      <c r="L52" s="1">
        <f>SUM(OSRRefE21_7x_7)</f>
        <v>0</v>
      </c>
      <c r="M52" s="1">
        <f>SUM(OSRRefE21_7x_8)</f>
        <v>0</v>
      </c>
      <c r="N52" s="1">
        <f>SUM(OSRRefE21_7x_9)</f>
        <v>200</v>
      </c>
      <c r="O52" s="1">
        <f>SUM(OSRRefE21_7x_10)</f>
        <v>0</v>
      </c>
      <c r="Q52" s="2">
        <f>SUM(OSRRefD20_7x)+IFERROR(SUM(OSRRefE20_7x),0)</f>
        <v>700</v>
      </c>
    </row>
    <row r="53" spans="1:17" s="34" customFormat="1" hidden="1" outlineLevel="1" x14ac:dyDescent="0.3">
      <c r="A53" s="35"/>
      <c r="B53" s="10" t="str">
        <f>CONCATENATE("          ","6277", " - ","EMPLOYEE APPRECIATION")</f>
        <v xml:space="preserve">          6277 - EMPLOYEE APPRECIATION</v>
      </c>
      <c r="C53" s="14"/>
      <c r="D53" s="2"/>
      <c r="E53" s="2"/>
      <c r="F53" s="2">
        <v>200</v>
      </c>
      <c r="G53" s="2"/>
      <c r="H53" s="2"/>
      <c r="I53" s="2">
        <v>300</v>
      </c>
      <c r="J53" s="2"/>
      <c r="K53" s="2"/>
      <c r="L53" s="2"/>
      <c r="M53" s="2"/>
      <c r="N53" s="2">
        <v>200</v>
      </c>
      <c r="O53" s="2"/>
      <c r="P53" s="9"/>
      <c r="Q53" s="2">
        <f>SUM(OSRRefD21_7_0x)+IFERROR(SUM(OSRRefE21_7_0x),0)</f>
        <v>700</v>
      </c>
    </row>
    <row r="54" spans="1:17" s="34" customFormat="1" collapsed="1" x14ac:dyDescent="0.3">
      <c r="A54" s="35"/>
      <c r="B54" s="14" t="str">
        <f>CONCATENATE("     ","Equipment Rental                                  ")</f>
        <v xml:space="preserve">     Equipment Rental                                  </v>
      </c>
      <c r="C54" s="14"/>
      <c r="D54" s="1">
        <f>SUM(OSRRefD21_8x_0)</f>
        <v>430.43</v>
      </c>
      <c r="E54" s="1">
        <f>SUM(OSRRefE21_8x_0)</f>
        <v>500</v>
      </c>
      <c r="F54" s="1">
        <f>SUM(OSRRefE21_8x_1)</f>
        <v>500</v>
      </c>
      <c r="G54" s="1">
        <f>SUM(OSRRefE21_8x_2)</f>
        <v>500</v>
      </c>
      <c r="H54" s="1">
        <f>SUM(OSRRefE21_8x_3)</f>
        <v>500</v>
      </c>
      <c r="I54" s="1">
        <f>SUM(OSRRefE21_8x_4)</f>
        <v>500</v>
      </c>
      <c r="J54" s="1">
        <f>SUM(OSRRefE21_8x_5)</f>
        <v>500</v>
      </c>
      <c r="K54" s="1">
        <f>SUM(OSRRefE21_8x_6)</f>
        <v>500</v>
      </c>
      <c r="L54" s="1">
        <f>SUM(OSRRefE21_8x_7)</f>
        <v>500</v>
      </c>
      <c r="M54" s="1">
        <f>SUM(OSRRefE21_8x_8)</f>
        <v>500</v>
      </c>
      <c r="N54" s="1">
        <f>SUM(OSRRefE21_8x_9)</f>
        <v>500</v>
      </c>
      <c r="O54" s="1">
        <f>SUM(OSRRefE21_8x_10)</f>
        <v>500</v>
      </c>
      <c r="Q54" s="2">
        <f>SUM(OSRRefD20_8x)+IFERROR(SUM(OSRRefE20_8x),0)</f>
        <v>5930.43</v>
      </c>
    </row>
    <row r="55" spans="1:17" s="34" customFormat="1" hidden="1" outlineLevel="1" x14ac:dyDescent="0.3">
      <c r="A55" s="35"/>
      <c r="B55" s="10" t="str">
        <f>CONCATENATE("          ","6351", " - ","EQUIPMENT RENTAL")</f>
        <v xml:space="preserve">          6351 - EQUIPMENT RENTAL</v>
      </c>
      <c r="C55" s="14"/>
      <c r="D55" s="2">
        <v>430.43</v>
      </c>
      <c r="E55" s="2">
        <v>500</v>
      </c>
      <c r="F55" s="2">
        <v>500</v>
      </c>
      <c r="G55" s="2">
        <v>500</v>
      </c>
      <c r="H55" s="2">
        <v>500</v>
      </c>
      <c r="I55" s="2">
        <v>500</v>
      </c>
      <c r="J55" s="2">
        <v>500</v>
      </c>
      <c r="K55" s="2">
        <v>500</v>
      </c>
      <c r="L55" s="2">
        <v>500</v>
      </c>
      <c r="M55" s="2">
        <v>500</v>
      </c>
      <c r="N55" s="2">
        <v>500</v>
      </c>
      <c r="O55" s="2">
        <v>500</v>
      </c>
      <c r="P55" s="9"/>
      <c r="Q55" s="2">
        <f>SUM(OSRRefD21_8_0x)+IFERROR(SUM(OSRRefE21_8_0x),0)</f>
        <v>5930.43</v>
      </c>
    </row>
    <row r="56" spans="1:17" s="34" customFormat="1" collapsed="1" x14ac:dyDescent="0.3">
      <c r="A56" s="35"/>
      <c r="B56" s="14" t="str">
        <f>CONCATENATE("     ","General                                           ")</f>
        <v xml:space="preserve">     General                                           </v>
      </c>
      <c r="C56" s="14"/>
      <c r="D56" s="1">
        <f>SUM(OSRRefD21_9x_0)</f>
        <v>70.069999999999993</v>
      </c>
      <c r="E56" s="1">
        <f>SUM(OSRRefE21_9x_0)</f>
        <v>150</v>
      </c>
      <c r="F56" s="1">
        <f>SUM(OSRRefE21_9x_1)</f>
        <v>150</v>
      </c>
      <c r="G56" s="1">
        <f>SUM(OSRRefE21_9x_2)</f>
        <v>150</v>
      </c>
      <c r="H56" s="1">
        <f>SUM(OSRRefE21_9x_3)</f>
        <v>150</v>
      </c>
      <c r="I56" s="1">
        <f>SUM(OSRRefE21_9x_4)</f>
        <v>150</v>
      </c>
      <c r="J56" s="1">
        <f>SUM(OSRRefE21_9x_5)</f>
        <v>150</v>
      </c>
      <c r="K56" s="1">
        <f>SUM(OSRRefE21_9x_6)</f>
        <v>150</v>
      </c>
      <c r="L56" s="1">
        <f>SUM(OSRRefE21_9x_7)</f>
        <v>150</v>
      </c>
      <c r="M56" s="1">
        <f>SUM(OSRRefE21_9x_8)</f>
        <v>150</v>
      </c>
      <c r="N56" s="1">
        <f>SUM(OSRRefE21_9x_9)</f>
        <v>150</v>
      </c>
      <c r="O56" s="1">
        <f>SUM(OSRRefE21_9x_10)</f>
        <v>150</v>
      </c>
      <c r="Q56" s="2">
        <f>SUM(OSRRefD20_9x)+IFERROR(SUM(OSRRefE20_9x),0)</f>
        <v>1720.07</v>
      </c>
    </row>
    <row r="57" spans="1:17" s="34" customFormat="1" hidden="1" outlineLevel="1" x14ac:dyDescent="0.3">
      <c r="A57" s="35"/>
      <c r="B57" s="10" t="str">
        <f>CONCATENATE("          ","6279", " - ","GENERAL EXPENSE")</f>
        <v xml:space="preserve">          6279 - GENERAL EXPENSE</v>
      </c>
      <c r="C57" s="14"/>
      <c r="D57" s="2">
        <v>70.069999999999993</v>
      </c>
      <c r="E57" s="2">
        <v>150</v>
      </c>
      <c r="F57" s="2">
        <v>150</v>
      </c>
      <c r="G57" s="2">
        <v>150</v>
      </c>
      <c r="H57" s="2">
        <v>150</v>
      </c>
      <c r="I57" s="2">
        <v>150</v>
      </c>
      <c r="J57" s="2">
        <v>150</v>
      </c>
      <c r="K57" s="2">
        <v>150</v>
      </c>
      <c r="L57" s="2">
        <v>150</v>
      </c>
      <c r="M57" s="2">
        <v>150</v>
      </c>
      <c r="N57" s="2">
        <v>150</v>
      </c>
      <c r="O57" s="2">
        <v>150</v>
      </c>
      <c r="P57" s="9"/>
      <c r="Q57" s="2">
        <f>SUM(OSRRefD21_9_0x)+IFERROR(SUM(OSRRefE21_9_0x),0)</f>
        <v>1720.07</v>
      </c>
    </row>
    <row r="58" spans="1:17" s="34" customFormat="1" collapsed="1" x14ac:dyDescent="0.3">
      <c r="A58" s="35"/>
      <c r="B58" s="14" t="str">
        <f>CONCATENATE("     ","R/H Commissions                                   ")</f>
        <v xml:space="preserve">     R/H Commissions                                   </v>
      </c>
      <c r="C58" s="14"/>
      <c r="D58" s="1">
        <f>SUM(OSRRefD21_10x_0)</f>
        <v>0</v>
      </c>
      <c r="E58" s="1">
        <f>SUM(OSRRefE21_10x_0)</f>
        <v>9072</v>
      </c>
      <c r="F58" s="1">
        <f>SUM(OSRRefE21_10x_1)</f>
        <v>36288</v>
      </c>
      <c r="G58" s="1">
        <f>SUM(OSRRefE21_10x_2)</f>
        <v>45360</v>
      </c>
      <c r="H58" s="1">
        <f>SUM(OSRRefE21_10x_3)</f>
        <v>25920</v>
      </c>
      <c r="I58" s="1">
        <f>SUM(OSRRefE21_10x_4)</f>
        <v>28512</v>
      </c>
      <c r="J58" s="1">
        <f>SUM(OSRRefE21_10x_5)</f>
        <v>14256</v>
      </c>
      <c r="K58" s="1">
        <f>SUM(OSRRefE21_10x_6)</f>
        <v>36288</v>
      </c>
      <c r="L58" s="1">
        <f>SUM(OSRRefE21_10x_7)</f>
        <v>34992</v>
      </c>
      <c r="M58" s="1">
        <f>SUM(OSRRefE21_10x_8)</f>
        <v>34992</v>
      </c>
      <c r="N58" s="1">
        <f>SUM(OSRRefE21_10x_9)</f>
        <v>19440</v>
      </c>
      <c r="O58" s="1">
        <f>SUM(OSRRefE21_10x_10)</f>
        <v>0</v>
      </c>
      <c r="Q58" s="2">
        <f>SUM(OSRRefD20_10x)+IFERROR(SUM(OSRRefE20_10x),0)</f>
        <v>285120</v>
      </c>
    </row>
    <row r="59" spans="1:17" s="34" customFormat="1" hidden="1" outlineLevel="1" x14ac:dyDescent="0.3">
      <c r="A59" s="35"/>
      <c r="B59" s="10" t="str">
        <f>CONCATENATE("          ","6387", " - ","COMMISSION DUE HOUSING")</f>
        <v xml:space="preserve">          6387 - COMMISSION DUE HOUSING</v>
      </c>
      <c r="C59" s="14"/>
      <c r="D59" s="2"/>
      <c r="E59" s="2">
        <v>9072</v>
      </c>
      <c r="F59" s="2">
        <v>36288</v>
      </c>
      <c r="G59" s="2">
        <v>45360</v>
      </c>
      <c r="H59" s="2">
        <v>25920</v>
      </c>
      <c r="I59" s="2">
        <v>28512</v>
      </c>
      <c r="J59" s="2">
        <v>14256</v>
      </c>
      <c r="K59" s="2">
        <v>36288</v>
      </c>
      <c r="L59" s="2">
        <v>34992</v>
      </c>
      <c r="M59" s="2">
        <v>34992</v>
      </c>
      <c r="N59" s="2">
        <v>19440</v>
      </c>
      <c r="O59" s="2"/>
      <c r="P59" s="9"/>
      <c r="Q59" s="2">
        <f>SUM(OSRRefD21_10_0x)+IFERROR(SUM(OSRRefE21_10_0x),0)</f>
        <v>285120</v>
      </c>
    </row>
    <row r="60" spans="1:17" s="34" customFormat="1" collapsed="1" x14ac:dyDescent="0.3">
      <c r="A60" s="35"/>
      <c r="B60" s="14" t="str">
        <f>CONCATENATE("     ","Repair and Maintenance                            ")</f>
        <v xml:space="preserve">     Repair and Maintenance                            </v>
      </c>
      <c r="C60" s="14"/>
      <c r="D60" s="1">
        <f>SUM(OSRRefD21_11x_0)</f>
        <v>0</v>
      </c>
      <c r="E60" s="1">
        <f>SUM(OSRRefE21_11x_0)</f>
        <v>2050</v>
      </c>
      <c r="F60" s="1">
        <f>SUM(OSRRefE21_11x_1)</f>
        <v>250</v>
      </c>
      <c r="G60" s="1">
        <f>SUM(OSRRefE21_11x_2)</f>
        <v>250</v>
      </c>
      <c r="H60" s="1">
        <f>SUM(OSRRefE21_11x_3)</f>
        <v>2050</v>
      </c>
      <c r="I60" s="1">
        <f>SUM(OSRRefE21_11x_4)</f>
        <v>250</v>
      </c>
      <c r="J60" s="1">
        <f>SUM(OSRRefE21_11x_5)</f>
        <v>250</v>
      </c>
      <c r="K60" s="1">
        <f>SUM(OSRRefE21_11x_6)</f>
        <v>2050</v>
      </c>
      <c r="L60" s="1">
        <f>SUM(OSRRefE21_11x_7)</f>
        <v>250</v>
      </c>
      <c r="M60" s="1">
        <f>SUM(OSRRefE21_11x_8)</f>
        <v>250</v>
      </c>
      <c r="N60" s="1">
        <f>SUM(OSRRefE21_11x_9)</f>
        <v>2050</v>
      </c>
      <c r="O60" s="1">
        <f>SUM(OSRRefE21_11x_10)</f>
        <v>250</v>
      </c>
      <c r="Q60" s="2">
        <f>SUM(OSRRefD20_11x)+IFERROR(SUM(OSRRefE20_11x),0)</f>
        <v>9950</v>
      </c>
    </row>
    <row r="61" spans="1:17" s="34" customFormat="1" hidden="1" outlineLevel="1" x14ac:dyDescent="0.3">
      <c r="A61" s="35"/>
      <c r="B61" s="10" t="str">
        <f>CONCATENATE("          ","6371", " - ","COMPUTER SOFTWARE MAINTENANCE")</f>
        <v xml:space="preserve">          6371 - COMPUTER SOFTWARE MAINTENANCE</v>
      </c>
      <c r="C61" s="14"/>
      <c r="D61" s="2"/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9"/>
      <c r="Q61" s="2">
        <f>SUM(OSRRefD21_11_0x)+IFERROR(SUM(OSRRefE21_11_0x),0)</f>
        <v>0</v>
      </c>
    </row>
    <row r="62" spans="1:17" s="34" customFormat="1" hidden="1" outlineLevel="1" x14ac:dyDescent="0.3">
      <c r="A62" s="35"/>
      <c r="B62" s="10" t="str">
        <f>CONCATENATE("          ","6373", " - ","MAINTENANCE CONTRACTS")</f>
        <v xml:space="preserve">          6373 - MAINTENANCE CONTRACTS</v>
      </c>
      <c r="C62" s="14"/>
      <c r="D62" s="2"/>
      <c r="E62" s="2">
        <v>1800</v>
      </c>
      <c r="F62" s="2"/>
      <c r="G62" s="2"/>
      <c r="H62" s="2">
        <v>1800</v>
      </c>
      <c r="I62" s="2"/>
      <c r="J62" s="2"/>
      <c r="K62" s="2">
        <v>1800</v>
      </c>
      <c r="L62" s="2"/>
      <c r="M62" s="2"/>
      <c r="N62" s="2">
        <v>1800</v>
      </c>
      <c r="O62" s="2"/>
      <c r="P62" s="9"/>
      <c r="Q62" s="2">
        <f>SUM(OSRRefD21_11_1x)+IFERROR(SUM(OSRRefE21_11_1x),0)</f>
        <v>7200</v>
      </c>
    </row>
    <row r="63" spans="1:17" s="34" customFormat="1" hidden="1" outlineLevel="1" x14ac:dyDescent="0.3">
      <c r="A63" s="35"/>
      <c r="B63" s="10" t="str">
        <f>CONCATENATE("          ","6375", " - ","OUTSIDE REPAIRS &amp; MAINTENANCE")</f>
        <v xml:space="preserve">          6375 - OUTSIDE REPAIRS &amp; MAINTENANCE</v>
      </c>
      <c r="C63" s="14"/>
      <c r="D63" s="2"/>
      <c r="E63" s="2">
        <v>250</v>
      </c>
      <c r="F63" s="2">
        <v>250</v>
      </c>
      <c r="G63" s="2">
        <v>250</v>
      </c>
      <c r="H63" s="2">
        <v>250</v>
      </c>
      <c r="I63" s="2">
        <v>250</v>
      </c>
      <c r="J63" s="2">
        <v>250</v>
      </c>
      <c r="K63" s="2">
        <v>250</v>
      </c>
      <c r="L63" s="2">
        <v>250</v>
      </c>
      <c r="M63" s="2">
        <v>250</v>
      </c>
      <c r="N63" s="2">
        <v>250</v>
      </c>
      <c r="O63" s="2">
        <v>250</v>
      </c>
      <c r="P63" s="9"/>
      <c r="Q63" s="2">
        <f>SUM(OSRRefD21_11_2x)+IFERROR(SUM(OSRRefE21_11_2x),0)</f>
        <v>2750</v>
      </c>
    </row>
    <row r="64" spans="1:17" s="34" customFormat="1" collapsed="1" x14ac:dyDescent="0.3">
      <c r="A64" s="35"/>
      <c r="B64" s="14" t="str">
        <f>CONCATENATE("     ","Services                                          ")</f>
        <v xml:space="preserve">     Services                                          </v>
      </c>
      <c r="C64" s="14"/>
      <c r="D64" s="1">
        <f>SUM(OSRRefD21_12x_0)</f>
        <v>4846.3799999999992</v>
      </c>
      <c r="E64" s="1">
        <f>SUM(OSRRefE21_12x_0)</f>
        <v>7150</v>
      </c>
      <c r="F64" s="1">
        <f>SUM(OSRRefE21_12x_1)</f>
        <v>7150</v>
      </c>
      <c r="G64" s="1">
        <f>SUM(OSRRefE21_12x_2)</f>
        <v>7150</v>
      </c>
      <c r="H64" s="1">
        <f>SUM(OSRRefE21_12x_3)</f>
        <v>7150</v>
      </c>
      <c r="I64" s="1">
        <f>SUM(OSRRefE21_12x_4)</f>
        <v>7150</v>
      </c>
      <c r="J64" s="1">
        <f>SUM(OSRRefE21_12x_5)</f>
        <v>7150</v>
      </c>
      <c r="K64" s="1">
        <f>SUM(OSRRefE21_12x_6)</f>
        <v>7150</v>
      </c>
      <c r="L64" s="1">
        <f>SUM(OSRRefE21_12x_7)</f>
        <v>7150</v>
      </c>
      <c r="M64" s="1">
        <f>SUM(OSRRefE21_12x_8)</f>
        <v>7150</v>
      </c>
      <c r="N64" s="1">
        <f>SUM(OSRRefE21_12x_9)</f>
        <v>7150</v>
      </c>
      <c r="O64" s="1">
        <f>SUM(OSRRefE21_12x_10)</f>
        <v>7150</v>
      </c>
      <c r="Q64" s="2">
        <f>SUM(OSRRefD20_12x)+IFERROR(SUM(OSRRefE20_12x),0)</f>
        <v>83496.38</v>
      </c>
    </row>
    <row r="65" spans="1:17" s="34" customFormat="1" hidden="1" outlineLevel="1" x14ac:dyDescent="0.3">
      <c r="A65" s="35"/>
      <c r="B65" s="10" t="str">
        <f>CONCATENATE("          ","6282", " - ","JANITORIAL/EXTERMINATOR EXPENS")</f>
        <v xml:space="preserve">          6282 - JANITORIAL/EXTERMINATOR EXPENS</v>
      </c>
      <c r="C65" s="14"/>
      <c r="D65" s="2">
        <v>417.52</v>
      </c>
      <c r="E65" s="2">
        <v>450</v>
      </c>
      <c r="F65" s="2">
        <v>450</v>
      </c>
      <c r="G65" s="2">
        <v>450</v>
      </c>
      <c r="H65" s="2">
        <v>450</v>
      </c>
      <c r="I65" s="2">
        <v>450</v>
      </c>
      <c r="J65" s="2">
        <v>450</v>
      </c>
      <c r="K65" s="2">
        <v>450</v>
      </c>
      <c r="L65" s="2">
        <v>450</v>
      </c>
      <c r="M65" s="2">
        <v>450</v>
      </c>
      <c r="N65" s="2">
        <v>450</v>
      </c>
      <c r="O65" s="2">
        <v>450</v>
      </c>
      <c r="P65" s="9"/>
      <c r="Q65" s="2">
        <f>SUM(OSRRefD21_12_0x)+IFERROR(SUM(OSRRefE21_12_0x),0)</f>
        <v>5367.52</v>
      </c>
    </row>
    <row r="66" spans="1:17" s="34" customFormat="1" hidden="1" outlineLevel="1" x14ac:dyDescent="0.3">
      <c r="A66" s="35"/>
      <c r="B66" s="10" t="str">
        <f>CONCATENATE("          ","6284", " - ","TRASH REMOVAL EXPENSE")</f>
        <v xml:space="preserve">          6284 - TRASH REMOVAL EXPENSE</v>
      </c>
      <c r="C66" s="14"/>
      <c r="D66" s="2"/>
      <c r="E66" s="2">
        <v>500</v>
      </c>
      <c r="F66" s="2">
        <v>500</v>
      </c>
      <c r="G66" s="2">
        <v>500</v>
      </c>
      <c r="H66" s="2">
        <v>500</v>
      </c>
      <c r="I66" s="2">
        <v>500</v>
      </c>
      <c r="J66" s="2">
        <v>500</v>
      </c>
      <c r="K66" s="2">
        <v>500</v>
      </c>
      <c r="L66" s="2">
        <v>500</v>
      </c>
      <c r="M66" s="2">
        <v>500</v>
      </c>
      <c r="N66" s="2">
        <v>500</v>
      </c>
      <c r="O66" s="2">
        <v>500</v>
      </c>
      <c r="P66" s="9"/>
      <c r="Q66" s="2">
        <f>SUM(OSRRefD21_12_1x)+IFERROR(SUM(OSRRefE21_12_1x),0)</f>
        <v>5500</v>
      </c>
    </row>
    <row r="67" spans="1:17" s="34" customFormat="1" hidden="1" outlineLevel="1" x14ac:dyDescent="0.3">
      <c r="A67" s="35"/>
      <c r="B67" s="10" t="str">
        <f>CONCATENATE("          ","6285", " - ","JANITORIAL SERVICES")</f>
        <v xml:space="preserve">          6285 - JANITORIAL SERVICES</v>
      </c>
      <c r="C67" s="14"/>
      <c r="D67" s="2">
        <v>4428.8599999999997</v>
      </c>
      <c r="E67" s="2">
        <v>4700</v>
      </c>
      <c r="F67" s="2">
        <v>4700</v>
      </c>
      <c r="G67" s="2">
        <v>4700</v>
      </c>
      <c r="H67" s="2">
        <v>4700</v>
      </c>
      <c r="I67" s="2">
        <v>4700</v>
      </c>
      <c r="J67" s="2">
        <v>4700</v>
      </c>
      <c r="K67" s="2">
        <v>4700</v>
      </c>
      <c r="L67" s="2">
        <v>4700</v>
      </c>
      <c r="M67" s="2">
        <v>4700</v>
      </c>
      <c r="N67" s="2">
        <v>4700</v>
      </c>
      <c r="O67" s="2">
        <v>4700</v>
      </c>
      <c r="P67" s="9"/>
      <c r="Q67" s="2">
        <f>SUM(OSRRefD21_12_2x)+IFERROR(SUM(OSRRefE21_12_2x),0)</f>
        <v>56128.86</v>
      </c>
    </row>
    <row r="68" spans="1:17" s="34" customFormat="1" hidden="1" outlineLevel="1" x14ac:dyDescent="0.3">
      <c r="A68" s="35"/>
      <c r="B68" s="10" t="str">
        <f>CONCATENATE("          ","6286", " - ","LAUNDRY EXPENSE")</f>
        <v xml:space="preserve">          6286 - LAUNDRY EXPENSE</v>
      </c>
      <c r="C68" s="14"/>
      <c r="D68" s="2"/>
      <c r="E68" s="2">
        <v>1500</v>
      </c>
      <c r="F68" s="2">
        <v>1500</v>
      </c>
      <c r="G68" s="2">
        <v>1500</v>
      </c>
      <c r="H68" s="2">
        <v>1500</v>
      </c>
      <c r="I68" s="2">
        <v>1500</v>
      </c>
      <c r="J68" s="2">
        <v>1500</v>
      </c>
      <c r="K68" s="2">
        <v>1500</v>
      </c>
      <c r="L68" s="2">
        <v>1500</v>
      </c>
      <c r="M68" s="2">
        <v>1500</v>
      </c>
      <c r="N68" s="2">
        <v>1500</v>
      </c>
      <c r="O68" s="2">
        <v>1500</v>
      </c>
      <c r="P68" s="9"/>
      <c r="Q68" s="2">
        <f>SUM(OSRRefD21_12_3x)+IFERROR(SUM(OSRRefE21_12_3x),0)</f>
        <v>16500</v>
      </c>
    </row>
    <row r="69" spans="1:17" s="34" customFormat="1" collapsed="1" x14ac:dyDescent="0.3">
      <c r="A69" s="35"/>
      <c r="B69" s="14" t="str">
        <f>CONCATENATE("     ","Supplies                                          ")</f>
        <v xml:space="preserve">     Supplies                                          </v>
      </c>
      <c r="C69" s="14"/>
      <c r="D69" s="1">
        <f>SUM(OSRRefD21_13x_0)</f>
        <v>4.5</v>
      </c>
      <c r="E69" s="1">
        <f>SUM(OSRRefE21_13x_0)</f>
        <v>11396</v>
      </c>
      <c r="F69" s="1">
        <f>SUM(OSRRefE21_13x_1)</f>
        <v>11396</v>
      </c>
      <c r="G69" s="1">
        <f>SUM(OSRRefE21_13x_2)</f>
        <v>11396</v>
      </c>
      <c r="H69" s="1">
        <f>SUM(OSRRefE21_13x_3)</f>
        <v>11396</v>
      </c>
      <c r="I69" s="1">
        <f>SUM(OSRRefE21_13x_4)</f>
        <v>11396</v>
      </c>
      <c r="J69" s="1">
        <f>SUM(OSRRefE21_13x_5)</f>
        <v>11396</v>
      </c>
      <c r="K69" s="1">
        <f>SUM(OSRRefE21_13x_6)</f>
        <v>11396</v>
      </c>
      <c r="L69" s="1">
        <f>SUM(OSRRefE21_13x_7)</f>
        <v>11396</v>
      </c>
      <c r="M69" s="1">
        <f>SUM(OSRRefE21_13x_8)</f>
        <v>11396</v>
      </c>
      <c r="N69" s="1">
        <f>SUM(OSRRefE21_13x_9)</f>
        <v>11396</v>
      </c>
      <c r="O69" s="1">
        <f>SUM(OSRRefE21_13x_10)</f>
        <v>11394</v>
      </c>
      <c r="Q69" s="2">
        <f>SUM(OSRRefD20_13x)+IFERROR(SUM(OSRRefE20_13x),0)</f>
        <v>125358.5</v>
      </c>
    </row>
    <row r="70" spans="1:17" s="34" customFormat="1" hidden="1" outlineLevel="1" x14ac:dyDescent="0.3">
      <c r="A70" s="35"/>
      <c r="B70" s="10" t="str">
        <f>CONCATENATE("          ","6237", " - ","JANITORIAL SUPPLIES")</f>
        <v xml:space="preserve">          6237 - JANITORIAL SUPPLIES</v>
      </c>
      <c r="C70" s="14"/>
      <c r="D70" s="2"/>
      <c r="E70" s="2">
        <v>4000</v>
      </c>
      <c r="F70" s="2">
        <v>4000</v>
      </c>
      <c r="G70" s="2">
        <v>4000</v>
      </c>
      <c r="H70" s="2">
        <v>4000</v>
      </c>
      <c r="I70" s="2">
        <v>4000</v>
      </c>
      <c r="J70" s="2">
        <v>4000</v>
      </c>
      <c r="K70" s="2">
        <v>4000</v>
      </c>
      <c r="L70" s="2">
        <v>4000</v>
      </c>
      <c r="M70" s="2">
        <v>4000</v>
      </c>
      <c r="N70" s="2">
        <v>4000</v>
      </c>
      <c r="O70" s="2">
        <v>4000</v>
      </c>
      <c r="P70" s="9"/>
      <c r="Q70" s="2">
        <f>SUM(OSRRefD21_13_0x)+IFERROR(SUM(OSRRefE21_13_0x),0)</f>
        <v>44000</v>
      </c>
    </row>
    <row r="71" spans="1:17" s="34" customFormat="1" hidden="1" outlineLevel="1" x14ac:dyDescent="0.3">
      <c r="A71" s="35"/>
      <c r="B71" s="10" t="str">
        <f>CONCATENATE("          ","6239", " - ","KITCHEN SUPPLIES")</f>
        <v xml:space="preserve">          6239 - KITCHEN SUPPLIES</v>
      </c>
      <c r="C71" s="14"/>
      <c r="D71" s="2"/>
      <c r="E71" s="2">
        <v>1500</v>
      </c>
      <c r="F71" s="2">
        <v>1500</v>
      </c>
      <c r="G71" s="2">
        <v>1500</v>
      </c>
      <c r="H71" s="2">
        <v>1500</v>
      </c>
      <c r="I71" s="2">
        <v>1500</v>
      </c>
      <c r="J71" s="2">
        <v>1500</v>
      </c>
      <c r="K71" s="2">
        <v>1500</v>
      </c>
      <c r="L71" s="2">
        <v>1500</v>
      </c>
      <c r="M71" s="2">
        <v>1500</v>
      </c>
      <c r="N71" s="2">
        <v>1500</v>
      </c>
      <c r="O71" s="2">
        <v>1500</v>
      </c>
      <c r="P71" s="9"/>
      <c r="Q71" s="2">
        <f>SUM(OSRRefD21_13_1x)+IFERROR(SUM(OSRRefE21_13_1x),0)</f>
        <v>16500</v>
      </c>
    </row>
    <row r="72" spans="1:17" s="34" customFormat="1" hidden="1" outlineLevel="1" x14ac:dyDescent="0.3">
      <c r="A72" s="35"/>
      <c r="B72" s="10" t="str">
        <f>CONCATENATE("          ","6241", " - ","OFFICE EXPENSE")</f>
        <v xml:space="preserve">          6241 - OFFICE EXPENSE</v>
      </c>
      <c r="C72" s="14"/>
      <c r="D72" s="2">
        <v>4.5</v>
      </c>
      <c r="E72" s="2">
        <v>500</v>
      </c>
      <c r="F72" s="2">
        <v>500</v>
      </c>
      <c r="G72" s="2">
        <v>500</v>
      </c>
      <c r="H72" s="2">
        <v>500</v>
      </c>
      <c r="I72" s="2">
        <v>500</v>
      </c>
      <c r="J72" s="2">
        <v>500</v>
      </c>
      <c r="K72" s="2">
        <v>500</v>
      </c>
      <c r="L72" s="2">
        <v>500</v>
      </c>
      <c r="M72" s="2">
        <v>500</v>
      </c>
      <c r="N72" s="2">
        <v>500</v>
      </c>
      <c r="O72" s="2">
        <v>500</v>
      </c>
      <c r="P72" s="9"/>
      <c r="Q72" s="2">
        <f>SUM(OSRRefD21_13_2x)+IFERROR(SUM(OSRRefE21_13_2x),0)</f>
        <v>5504.5</v>
      </c>
    </row>
    <row r="73" spans="1:17" s="34" customFormat="1" hidden="1" outlineLevel="1" x14ac:dyDescent="0.3">
      <c r="A73" s="35"/>
      <c r="B73" s="10" t="str">
        <f>CONCATENATE("          ","6243", " - ","PAPER SUPPLIES")</f>
        <v xml:space="preserve">          6243 - PAPER SUPPLIES</v>
      </c>
      <c r="C73" s="14"/>
      <c r="D73" s="2"/>
      <c r="E73" s="2">
        <v>5000</v>
      </c>
      <c r="F73" s="2">
        <v>5000</v>
      </c>
      <c r="G73" s="2">
        <v>5000</v>
      </c>
      <c r="H73" s="2">
        <v>5000</v>
      </c>
      <c r="I73" s="2">
        <v>5000</v>
      </c>
      <c r="J73" s="2">
        <v>5000</v>
      </c>
      <c r="K73" s="2">
        <v>5000</v>
      </c>
      <c r="L73" s="2">
        <v>5000</v>
      </c>
      <c r="M73" s="2">
        <v>5000</v>
      </c>
      <c r="N73" s="2">
        <v>5000</v>
      </c>
      <c r="O73" s="2">
        <v>5000</v>
      </c>
      <c r="P73" s="9"/>
      <c r="Q73" s="2">
        <f>SUM(OSRRefD21_13_3x)+IFERROR(SUM(OSRRefE21_13_3x),0)</f>
        <v>55000</v>
      </c>
    </row>
    <row r="74" spans="1:17" s="34" customFormat="1" hidden="1" outlineLevel="1" x14ac:dyDescent="0.3">
      <c r="A74" s="35"/>
      <c r="B74" s="10" t="str">
        <f>CONCATENATE("          ","6244", " - ","SAFETY SUPPLY EXPENSE")</f>
        <v xml:space="preserve">          6244 - SAFETY SUPPLY EXPENSE</v>
      </c>
      <c r="C74" s="14"/>
      <c r="D74" s="2"/>
      <c r="E74" s="2">
        <v>200</v>
      </c>
      <c r="F74" s="2">
        <v>200</v>
      </c>
      <c r="G74" s="2">
        <v>200</v>
      </c>
      <c r="H74" s="2">
        <v>200</v>
      </c>
      <c r="I74" s="2">
        <v>200</v>
      </c>
      <c r="J74" s="2">
        <v>200</v>
      </c>
      <c r="K74" s="2">
        <v>200</v>
      </c>
      <c r="L74" s="2">
        <v>200</v>
      </c>
      <c r="M74" s="2">
        <v>200</v>
      </c>
      <c r="N74" s="2">
        <v>200</v>
      </c>
      <c r="O74" s="2">
        <v>200</v>
      </c>
      <c r="P74" s="9"/>
      <c r="Q74" s="2">
        <f>SUM(OSRRefD21_13_4x)+IFERROR(SUM(OSRRefE21_13_4x),0)</f>
        <v>2200</v>
      </c>
    </row>
    <row r="75" spans="1:17" s="34" customFormat="1" hidden="1" outlineLevel="1" x14ac:dyDescent="0.3">
      <c r="A75" s="35"/>
      <c r="B75" s="10" t="str">
        <f>CONCATENATE("          ","6248", " - ","UNIFORMS")</f>
        <v xml:space="preserve">          6248 - UNIFORMS</v>
      </c>
      <c r="C75" s="14"/>
      <c r="D75" s="2"/>
      <c r="E75" s="2">
        <v>196</v>
      </c>
      <c r="F75" s="2">
        <v>196</v>
      </c>
      <c r="G75" s="2">
        <v>196</v>
      </c>
      <c r="H75" s="2">
        <v>196</v>
      </c>
      <c r="I75" s="2">
        <v>196</v>
      </c>
      <c r="J75" s="2">
        <v>196</v>
      </c>
      <c r="K75" s="2">
        <v>196</v>
      </c>
      <c r="L75" s="2">
        <v>196</v>
      </c>
      <c r="M75" s="2">
        <v>196</v>
      </c>
      <c r="N75" s="2">
        <v>196</v>
      </c>
      <c r="O75" s="2">
        <v>194</v>
      </c>
      <c r="P75" s="9"/>
      <c r="Q75" s="2">
        <f>SUM(OSRRefD21_13_5x)+IFERROR(SUM(OSRRefE21_13_5x),0)</f>
        <v>2154</v>
      </c>
    </row>
    <row r="76" spans="1:17" s="34" customFormat="1" collapsed="1" x14ac:dyDescent="0.3">
      <c r="A76" s="35"/>
      <c r="B76" s="14" t="str">
        <f>CONCATENATE("     ","Telephone/Data Lines                              ")</f>
        <v xml:space="preserve">     Telephone/Data Lines                              </v>
      </c>
      <c r="C76" s="14"/>
      <c r="D76" s="1">
        <f>SUM(OSRRefD21_14x_0)</f>
        <v>164</v>
      </c>
      <c r="E76" s="1">
        <f>SUM(OSRRefE21_14x_0)</f>
        <v>175</v>
      </c>
      <c r="F76" s="1">
        <f>SUM(OSRRefE21_14x_1)</f>
        <v>175</v>
      </c>
      <c r="G76" s="1">
        <f>SUM(OSRRefE21_14x_2)</f>
        <v>175</v>
      </c>
      <c r="H76" s="1">
        <f>SUM(OSRRefE21_14x_3)</f>
        <v>175</v>
      </c>
      <c r="I76" s="1">
        <f>SUM(OSRRefE21_14x_4)</f>
        <v>175</v>
      </c>
      <c r="J76" s="1">
        <f>SUM(OSRRefE21_14x_5)</f>
        <v>175</v>
      </c>
      <c r="K76" s="1">
        <f>SUM(OSRRefE21_14x_6)</f>
        <v>175</v>
      </c>
      <c r="L76" s="1">
        <f>SUM(OSRRefE21_14x_7)</f>
        <v>175</v>
      </c>
      <c r="M76" s="1">
        <f>SUM(OSRRefE21_14x_8)</f>
        <v>175</v>
      </c>
      <c r="N76" s="1">
        <f>SUM(OSRRefE21_14x_9)</f>
        <v>175</v>
      </c>
      <c r="O76" s="1">
        <f>SUM(OSRRefE21_14x_10)</f>
        <v>175</v>
      </c>
      <c r="Q76" s="2">
        <f>SUM(OSRRefD20_14x)+IFERROR(SUM(OSRRefE20_14x),0)</f>
        <v>2089</v>
      </c>
    </row>
    <row r="77" spans="1:17" s="34" customFormat="1" hidden="1" outlineLevel="1" x14ac:dyDescent="0.3">
      <c r="A77" s="35"/>
      <c r="B77" s="10" t="str">
        <f>CONCATENATE("          ","6309", " - ","TELEPHONE")</f>
        <v xml:space="preserve">          6309 - TELEPHONE</v>
      </c>
      <c r="C77" s="14"/>
      <c r="D77" s="2">
        <v>164</v>
      </c>
      <c r="E77" s="2">
        <v>175</v>
      </c>
      <c r="F77" s="2">
        <v>175</v>
      </c>
      <c r="G77" s="2">
        <v>175</v>
      </c>
      <c r="H77" s="2">
        <v>175</v>
      </c>
      <c r="I77" s="2">
        <v>175</v>
      </c>
      <c r="J77" s="2">
        <v>175</v>
      </c>
      <c r="K77" s="2">
        <v>175</v>
      </c>
      <c r="L77" s="2">
        <v>175</v>
      </c>
      <c r="M77" s="2">
        <v>175</v>
      </c>
      <c r="N77" s="2">
        <v>175</v>
      </c>
      <c r="O77" s="2">
        <v>175</v>
      </c>
      <c r="P77" s="9"/>
      <c r="Q77" s="2">
        <f>SUM(OSRRefD21_14_0x)+IFERROR(SUM(OSRRefE21_14_0x),0)</f>
        <v>2089</v>
      </c>
    </row>
    <row r="78" spans="1:17" s="34" customFormat="1" collapsed="1" x14ac:dyDescent="0.3">
      <c r="A78" s="35"/>
      <c r="B78" s="14" t="str">
        <f>CONCATENATE("     ","Training                                          ")</f>
        <v xml:space="preserve">     Training                                          </v>
      </c>
      <c r="C78" s="14"/>
      <c r="D78" s="1">
        <f>SUM(OSRRefD21_15x_0)</f>
        <v>0</v>
      </c>
      <c r="E78" s="1">
        <f>SUM(OSRRefE21_15x_0)</f>
        <v>0</v>
      </c>
      <c r="F78" s="1">
        <f>SUM(OSRRefE21_15x_1)</f>
        <v>0</v>
      </c>
      <c r="G78" s="1">
        <f>SUM(OSRRefE21_15x_2)</f>
        <v>0</v>
      </c>
      <c r="H78" s="1">
        <f>SUM(OSRRefE21_15x_3)</f>
        <v>0</v>
      </c>
      <c r="I78" s="1">
        <f>SUM(OSRRefE21_15x_4)</f>
        <v>0</v>
      </c>
      <c r="J78" s="1">
        <f>SUM(OSRRefE21_15x_5)</f>
        <v>1000</v>
      </c>
      <c r="K78" s="1">
        <f>SUM(OSRRefE21_15x_6)</f>
        <v>0</v>
      </c>
      <c r="L78" s="1">
        <f>SUM(OSRRefE21_15x_7)</f>
        <v>0</v>
      </c>
      <c r="M78" s="1">
        <f>SUM(OSRRefE21_15x_8)</f>
        <v>0</v>
      </c>
      <c r="N78" s="1">
        <f>SUM(OSRRefE21_15x_9)</f>
        <v>0</v>
      </c>
      <c r="O78" s="1">
        <f>SUM(OSRRefE21_15x_10)</f>
        <v>1000</v>
      </c>
      <c r="Q78" s="2">
        <f>SUM(OSRRefD20_15x)+IFERROR(SUM(OSRRefE20_15x),0)</f>
        <v>2000</v>
      </c>
    </row>
    <row r="79" spans="1:17" s="34" customFormat="1" hidden="1" outlineLevel="1" x14ac:dyDescent="0.3">
      <c r="A79" s="35"/>
      <c r="B79" s="10" t="str">
        <f>CONCATENATE("          ","6376", " - ","TRAINING")</f>
        <v xml:space="preserve">          6376 - TRAINING</v>
      </c>
      <c r="C79" s="14"/>
      <c r="D79" s="2"/>
      <c r="E79" s="2"/>
      <c r="F79" s="2"/>
      <c r="G79" s="2"/>
      <c r="H79" s="2"/>
      <c r="I79" s="2"/>
      <c r="J79" s="2">
        <v>1000</v>
      </c>
      <c r="K79" s="2"/>
      <c r="L79" s="2"/>
      <c r="M79" s="2"/>
      <c r="N79" s="2"/>
      <c r="O79" s="2">
        <v>1000</v>
      </c>
      <c r="P79" s="9"/>
      <c r="Q79" s="2">
        <f>SUM(OSRRefD21_15_0x)+IFERROR(SUM(OSRRefE21_15_0x),0)</f>
        <v>2000</v>
      </c>
    </row>
    <row r="80" spans="1:17" s="28" customFormat="1" x14ac:dyDescent="0.3">
      <c r="A80" s="21"/>
      <c r="B80" s="21"/>
      <c r="C80" s="2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1"/>
    </row>
    <row r="81" spans="1:17" s="9" customFormat="1" x14ac:dyDescent="0.3">
      <c r="A81" s="22"/>
      <c r="B81" s="16" t="s">
        <v>293</v>
      </c>
      <c r="C81" s="23"/>
      <c r="D81" s="3">
        <f>0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2">
        <f>SUM(OSRRefD23_0x)+IFERROR(SUM(OSRRefE23_0x),0)</f>
        <v>0</v>
      </c>
    </row>
    <row r="82" spans="1:17" x14ac:dyDescent="0.3">
      <c r="A82" s="5"/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</row>
    <row r="83" spans="1:17" s="15" customFormat="1" x14ac:dyDescent="0.3">
      <c r="A83" s="6"/>
      <c r="B83" s="17" t="s">
        <v>276</v>
      </c>
      <c r="C83" s="17"/>
      <c r="D83" s="8">
        <f t="shared" ref="D83:O83" si="2">IFERROR(+D16-D19+D81, 0)</f>
        <v>-41498.81</v>
      </c>
      <c r="E83" s="8">
        <f t="shared" si="2"/>
        <v>-75641.815896923013</v>
      </c>
      <c r="F83" s="8">
        <f t="shared" si="2"/>
        <v>153194.57810307699</v>
      </c>
      <c r="G83" s="8">
        <f t="shared" si="2"/>
        <v>210198.72262884615</v>
      </c>
      <c r="H83" s="8">
        <f t="shared" si="2"/>
        <v>68650.578103076987</v>
      </c>
      <c r="I83" s="8">
        <f t="shared" si="2"/>
        <v>90886.578103076987</v>
      </c>
      <c r="J83" s="8">
        <f t="shared" si="2"/>
        <v>-53742.027371153876</v>
      </c>
      <c r="K83" s="8">
        <f t="shared" si="2"/>
        <v>159355.82810307699</v>
      </c>
      <c r="L83" s="8">
        <f t="shared" si="2"/>
        <v>150463.82810307699</v>
      </c>
      <c r="M83" s="8">
        <f t="shared" si="2"/>
        <v>129021.97262884612</v>
      </c>
      <c r="N83" s="8">
        <f t="shared" si="2"/>
        <v>29786.584103076981</v>
      </c>
      <c r="O83" s="8">
        <f t="shared" si="2"/>
        <v>-89793.209896923028</v>
      </c>
      <c r="Q83" s="8">
        <f>IFERROR(+Q16-Q19+Q81, 0)</f>
        <v>730882.80671115406</v>
      </c>
    </row>
    <row r="84" spans="1:17" s="6" customFormat="1" x14ac:dyDescent="0.3">
      <c r="B84" s="16"/>
      <c r="C84" s="16"/>
      <c r="D84" s="4">
        <f t="shared" ref="D84:O84" si="3">IFERROR(D83/D10, 0)</f>
        <v>0</v>
      </c>
      <c r="E84" s="4">
        <f t="shared" si="3"/>
        <v>-0.66703541355311302</v>
      </c>
      <c r="F84" s="4">
        <f t="shared" si="3"/>
        <v>0.33773055137362651</v>
      </c>
      <c r="G84" s="4">
        <f t="shared" si="3"/>
        <v>0.3707208511972595</v>
      </c>
      <c r="H84" s="4">
        <f t="shared" si="3"/>
        <v>0.21188450031813885</v>
      </c>
      <c r="I84" s="4">
        <f t="shared" si="3"/>
        <v>0.25501284540706226</v>
      </c>
      <c r="J84" s="4">
        <f t="shared" si="3"/>
        <v>-0.30158264518043704</v>
      </c>
      <c r="K84" s="4">
        <f t="shared" si="3"/>
        <v>0.35131355401912917</v>
      </c>
      <c r="L84" s="4">
        <f t="shared" si="3"/>
        <v>0.34399594902395286</v>
      </c>
      <c r="M84" s="4">
        <f t="shared" si="3"/>
        <v>0.29497478881766376</v>
      </c>
      <c r="N84" s="4">
        <f t="shared" si="3"/>
        <v>0.12257853540360897</v>
      </c>
      <c r="O84" s="4">
        <f t="shared" si="3"/>
        <v>0</v>
      </c>
      <c r="P84" s="18"/>
      <c r="Q84" s="4">
        <f>IFERROR(Q83/Q10, 0)</f>
        <v>0.20507373925677724</v>
      </c>
    </row>
    <row r="85" spans="1:17" x14ac:dyDescent="0.3">
      <c r="A85" s="5"/>
      <c r="B85" s="6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</row>
    <row r="86" spans="1:17" s="15" customFormat="1" x14ac:dyDescent="0.3">
      <c r="A86" s="25"/>
      <c r="B86" s="6" t="s">
        <v>125</v>
      </c>
      <c r="C86" s="6"/>
      <c r="D86" s="3"/>
      <c r="E86" s="3">
        <v>12700</v>
      </c>
      <c r="F86" s="3">
        <v>48867</v>
      </c>
      <c r="G86" s="3">
        <v>68832</v>
      </c>
      <c r="H86" s="3">
        <v>51869</v>
      </c>
      <c r="I86" s="3">
        <v>52644</v>
      </c>
      <c r="J86" s="3">
        <v>14753</v>
      </c>
      <c r="K86" s="3">
        <v>49377</v>
      </c>
      <c r="L86" s="3">
        <v>52127</v>
      </c>
      <c r="M86" s="3">
        <v>57362</v>
      </c>
      <c r="N86" s="3">
        <v>33270</v>
      </c>
      <c r="O86" s="3">
        <v>-37665</v>
      </c>
      <c r="Q86" s="2">
        <f>SUM(OSRRefD28_0x)+IFERROR(SUM(OSRRefE28_0x),0)</f>
        <v>404136</v>
      </c>
    </row>
    <row r="87" spans="1:17" x14ac:dyDescent="0.3">
      <c r="A87" s="5"/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</row>
    <row r="88" spans="1:17" s="15" customFormat="1" ht="15" thickBot="1" x14ac:dyDescent="0.35">
      <c r="A88" s="6"/>
      <c r="B88" s="17" t="s">
        <v>124</v>
      </c>
      <c r="C88" s="17"/>
      <c r="D88" s="7">
        <f t="shared" ref="D88:O88" si="4">IFERROR(+D83-D86, 0)</f>
        <v>-41498.81</v>
      </c>
      <c r="E88" s="7">
        <f t="shared" si="4"/>
        <v>-88341.815896923013</v>
      </c>
      <c r="F88" s="7">
        <f t="shared" si="4"/>
        <v>104327.57810307699</v>
      </c>
      <c r="G88" s="7">
        <f t="shared" si="4"/>
        <v>141366.72262884615</v>
      </c>
      <c r="H88" s="7">
        <f t="shared" si="4"/>
        <v>16781.578103076987</v>
      </c>
      <c r="I88" s="7">
        <f t="shared" si="4"/>
        <v>38242.578103076987</v>
      </c>
      <c r="J88" s="7">
        <f t="shared" si="4"/>
        <v>-68495.027371153876</v>
      </c>
      <c r="K88" s="7">
        <f t="shared" si="4"/>
        <v>109978.82810307699</v>
      </c>
      <c r="L88" s="7">
        <f t="shared" si="4"/>
        <v>98336.828103076987</v>
      </c>
      <c r="M88" s="7">
        <f t="shared" si="4"/>
        <v>71659.972628846124</v>
      </c>
      <c r="N88" s="7">
        <f t="shared" si="4"/>
        <v>-3483.4158969230193</v>
      </c>
      <c r="O88" s="7">
        <f t="shared" si="4"/>
        <v>-52128.209896923028</v>
      </c>
      <c r="Q88" s="7">
        <f>IFERROR(+Q83-Q86, 0)</f>
        <v>326746.80671115406</v>
      </c>
    </row>
    <row r="89" spans="1:17" ht="15" thickTop="1" x14ac:dyDescent="0.3">
      <c r="A89" s="5"/>
      <c r="B89" s="5"/>
      <c r="C89" s="5"/>
      <c r="D89" s="4">
        <f t="shared" ref="D89:O89" si="5">IFERROR(D88/D10, 0)</f>
        <v>0</v>
      </c>
      <c r="E89" s="4">
        <f t="shared" si="5"/>
        <v>-0.7790283588793917</v>
      </c>
      <c r="F89" s="4">
        <f t="shared" si="5"/>
        <v>0.22999906989214502</v>
      </c>
      <c r="G89" s="4">
        <f t="shared" si="5"/>
        <v>0.24932402580043414</v>
      </c>
      <c r="H89" s="4">
        <f t="shared" si="5"/>
        <v>5.1794994145299339E-2</v>
      </c>
      <c r="I89" s="4">
        <f t="shared" si="5"/>
        <v>0.10730240769662454</v>
      </c>
      <c r="J89" s="4">
        <f t="shared" si="5"/>
        <v>-0.38437164630277149</v>
      </c>
      <c r="K89" s="4">
        <f t="shared" si="5"/>
        <v>0.24245773391330905</v>
      </c>
      <c r="L89" s="4">
        <f t="shared" si="5"/>
        <v>0.22482128052829672</v>
      </c>
      <c r="M89" s="4">
        <f t="shared" si="5"/>
        <v>0.16383167039059471</v>
      </c>
      <c r="N89" s="4">
        <f t="shared" si="5"/>
        <v>-1.4335044843304607E-2</v>
      </c>
      <c r="O89" s="4">
        <f t="shared" si="5"/>
        <v>0</v>
      </c>
      <c r="P89" s="18"/>
      <c r="Q89" s="4">
        <f>IFERROR(Q88/Q10, 0)</f>
        <v>9.1679799862837835E-2</v>
      </c>
    </row>
    <row r="90" spans="1:17" x14ac:dyDescent="0.3">
      <c r="A90" s="5"/>
      <c r="B90" s="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</row>
    <row r="91" spans="1:17" x14ac:dyDescent="0.3">
      <c r="A91" s="5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s="15" customFormat="1" ht="15" thickBot="1" x14ac:dyDescent="0.35">
      <c r="A92" s="6"/>
      <c r="B92" s="17" t="s">
        <v>294</v>
      </c>
      <c r="C92" s="17"/>
      <c r="D92" s="7">
        <f t="shared" ref="D92:O92" si="6">IFERROR(SUM(D88:D91), 0)</f>
        <v>-41498.81</v>
      </c>
      <c r="E92" s="7">
        <f t="shared" si="6"/>
        <v>-88342.594925281897</v>
      </c>
      <c r="F92" s="7">
        <f t="shared" si="6"/>
        <v>104327.80810214688</v>
      </c>
      <c r="G92" s="7">
        <f t="shared" si="6"/>
        <v>141366.97195287194</v>
      </c>
      <c r="H92" s="7">
        <f t="shared" si="6"/>
        <v>16781.629898071133</v>
      </c>
      <c r="I92" s="7">
        <f t="shared" si="6"/>
        <v>38242.685405484684</v>
      </c>
      <c r="J92" s="7">
        <f t="shared" si="6"/>
        <v>-68495.411742800177</v>
      </c>
      <c r="K92" s="7">
        <f t="shared" si="6"/>
        <v>109979.0705608109</v>
      </c>
      <c r="L92" s="7">
        <f t="shared" si="6"/>
        <v>98337.052924357515</v>
      </c>
      <c r="M92" s="7">
        <f t="shared" si="6"/>
        <v>71660.136460516514</v>
      </c>
      <c r="N92" s="7">
        <f t="shared" si="6"/>
        <v>-3483.4302319678627</v>
      </c>
      <c r="O92" s="7">
        <f t="shared" si="6"/>
        <v>-52128.209896923028</v>
      </c>
      <c r="Q92" s="7">
        <f>IFERROR(SUM(Q88:Q91), 0)</f>
        <v>326746.89839095389</v>
      </c>
    </row>
    <row r="93" spans="1:17" ht="15" thickTop="1" x14ac:dyDescent="0.3">
      <c r="A93" s="5"/>
      <c r="C93" s="5"/>
      <c r="D93" s="4">
        <f t="shared" ref="D93:O93" si="7">IFERROR(D92/D10, 0)</f>
        <v>0</v>
      </c>
      <c r="E93" s="4">
        <f t="shared" si="7"/>
        <v>-0.77903522861800611</v>
      </c>
      <c r="F93" s="4">
        <f t="shared" si="7"/>
        <v>0.22999957694476825</v>
      </c>
      <c r="G93" s="4">
        <f t="shared" si="7"/>
        <v>0.24932446552534734</v>
      </c>
      <c r="H93" s="4">
        <f t="shared" si="7"/>
        <v>5.1795154006392383E-2</v>
      </c>
      <c r="I93" s="4">
        <f t="shared" si="7"/>
        <v>0.10730270876959788</v>
      </c>
      <c r="J93" s="4">
        <f t="shared" si="7"/>
        <v>-0.38437380327048359</v>
      </c>
      <c r="K93" s="4">
        <f t="shared" si="7"/>
        <v>0.24245826843212279</v>
      </c>
      <c r="L93" s="4">
        <f t="shared" si="7"/>
        <v>0.22482179452299386</v>
      </c>
      <c r="M93" s="4">
        <f t="shared" si="7"/>
        <v>0.16383204494859743</v>
      </c>
      <c r="N93" s="4">
        <f t="shared" si="7"/>
        <v>-1.4335103835258694E-2</v>
      </c>
      <c r="O93" s="4">
        <f t="shared" si="7"/>
        <v>0</v>
      </c>
      <c r="P93" s="18"/>
      <c r="Q93" s="4">
        <f>IFERROR(Q92/Q10, 0)</f>
        <v>9.16798255866874E-2</v>
      </c>
    </row>
    <row r="94" spans="1:17" x14ac:dyDescent="0.3">
      <c r="A94" s="5"/>
      <c r="B94" s="30">
        <v>44462.678423958336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1"/>
    </row>
    <row r="95" spans="1:17" x14ac:dyDescent="0.3">
      <c r="A95" s="5"/>
      <c r="B95" s="31" t="s">
        <v>54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</row>
    <row r="96" spans="1:17" x14ac:dyDescent="0.3">
      <c r="A96" s="5"/>
      <c r="B96" s="2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  <row r="97" spans="4:17" x14ac:dyDescent="0.3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rgb="FF92D050"/>
    <outlinePr summaryBelow="0" summaryRight="0"/>
    <pageSetUpPr fitToPage="1"/>
  </sheetPr>
  <dimension ref="A2:R103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","444", " - ", "Parkside Dining Hall")</f>
        <v>Department 444 - Parkside Dining Hall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22987.35</v>
      </c>
      <c r="E10" s="3">
        <f>SUM(OSRRefE11x_0)</f>
        <v>138600</v>
      </c>
      <c r="F10" s="3">
        <f>SUM(OSRRefE11x_1)</f>
        <v>554400</v>
      </c>
      <c r="G10" s="3">
        <f>SUM(OSRRefE11x_2)</f>
        <v>693000</v>
      </c>
      <c r="H10" s="3">
        <f>SUM(OSRRefE11x_3)</f>
        <v>396000</v>
      </c>
      <c r="I10" s="3">
        <f>SUM(OSRRefE11x_4)</f>
        <v>435600</v>
      </c>
      <c r="J10" s="3">
        <f>SUM(OSRRefE11x_5)</f>
        <v>217800</v>
      </c>
      <c r="K10" s="3">
        <f>SUM(OSRRefE11x_6)</f>
        <v>554400</v>
      </c>
      <c r="L10" s="3">
        <f>SUM(OSRRefE11x_7)</f>
        <v>534600</v>
      </c>
      <c r="M10" s="3">
        <f>SUM(OSRRefE11x_8)</f>
        <v>534600</v>
      </c>
      <c r="N10" s="3">
        <f>SUM(OSRRefE11x_9)</f>
        <v>297000</v>
      </c>
      <c r="O10" s="3">
        <f>SUM(OSRRefE11x_10)</f>
        <v>0</v>
      </c>
      <c r="P10" s="24"/>
      <c r="Q10" s="3">
        <f>SUM(OSRRefG11x)</f>
        <v>4378987.3499999996</v>
      </c>
      <c r="R10" s="24"/>
    </row>
    <row r="11" spans="1:18" s="9" customFormat="1" hidden="1" outlineLevel="1" x14ac:dyDescent="0.3">
      <c r="A11" s="22"/>
      <c r="B11" s="10" t="str">
        <f>CONCATENATE("          ","4053", " - ","TAXABLE SALES-FOOD")</f>
        <v xml:space="preserve">          4053 - TAXABLE SALES-FOOD</v>
      </c>
      <c r="C11" s="23"/>
      <c r="D11" s="2">
        <f>--106.64</f>
        <v>106.64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2">
        <f>SUM(OSRRefD11_0x)+IFERROR(SUM(OSRRefE11_0x),0)</f>
        <v>106.64</v>
      </c>
    </row>
    <row r="12" spans="1:18" s="9" customFormat="1" hidden="1" outlineLevel="1" x14ac:dyDescent="0.3">
      <c r="A12" s="22"/>
      <c r="B12" s="10" t="str">
        <f>CONCATENATE("          ","4100", " - ","NON-TAXABLE SALES")</f>
        <v xml:space="preserve">          4100 - NON-TAXABLE SALES</v>
      </c>
      <c r="C12" s="23"/>
      <c r="D12" s="2">
        <f>0</f>
        <v>0</v>
      </c>
      <c r="E12" s="2">
        <v>138600</v>
      </c>
      <c r="F12" s="2">
        <v>554400</v>
      </c>
      <c r="G12" s="2">
        <v>693000</v>
      </c>
      <c r="H12" s="2">
        <v>396000</v>
      </c>
      <c r="I12" s="2">
        <v>435600</v>
      </c>
      <c r="J12" s="2">
        <v>217800</v>
      </c>
      <c r="K12" s="2">
        <v>554400</v>
      </c>
      <c r="L12" s="2">
        <v>534600</v>
      </c>
      <c r="M12" s="2">
        <v>534600</v>
      </c>
      <c r="N12" s="2">
        <v>297000</v>
      </c>
      <c r="O12" s="2"/>
      <c r="Q12" s="2">
        <f>SUM(OSRRefD11_1x)+IFERROR(SUM(OSRRefE11_1x),0)</f>
        <v>4356000</v>
      </c>
    </row>
    <row r="13" spans="1:18" s="9" customFormat="1" hidden="1" outlineLevel="1" x14ac:dyDescent="0.3">
      <c r="A13" s="22"/>
      <c r="B13" s="10" t="str">
        <f>CONCATENATE("          ","4151", " - ","NON-TAXABLE SALES-FOOD")</f>
        <v xml:space="preserve">          4151 - NON-TAXABLE SALES-FOOD</v>
      </c>
      <c r="C13" s="23"/>
      <c r="D13" s="2">
        <f>--19600</f>
        <v>19600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Q13" s="2">
        <f>SUM(OSRRefD11_2x)+IFERROR(SUM(OSRRefE11_2x),0)</f>
        <v>19600</v>
      </c>
    </row>
    <row r="14" spans="1:18" s="9" customFormat="1" hidden="1" outlineLevel="1" x14ac:dyDescent="0.3">
      <c r="A14" s="22"/>
      <c r="B14" s="10" t="str">
        <f>CONCATENATE("          ","4153", " - ","NON-TAXABLE SALES-FOOD")</f>
        <v xml:space="preserve">          4153 - NON-TAXABLE SALES-FOOD</v>
      </c>
      <c r="C14" s="23"/>
      <c r="D14" s="2">
        <f>--3280.71</f>
        <v>3280.71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Q14" s="2">
        <f>SUM(OSRRefD11_3x)+IFERROR(SUM(OSRRefE11_3x),0)</f>
        <v>3280.71</v>
      </c>
    </row>
    <row r="15" spans="1:18" x14ac:dyDescent="0.3">
      <c r="A15" s="5"/>
      <c r="B15" s="6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9" customFormat="1" collapsed="1" x14ac:dyDescent="0.3">
      <c r="A16" s="22"/>
      <c r="B16" s="16" t="s">
        <v>218</v>
      </c>
      <c r="C16" s="23"/>
      <c r="D16" s="3">
        <f>SUM(OSRRefD14x_0)</f>
        <v>17128.84</v>
      </c>
      <c r="E16" s="3">
        <f>SUM(OSRRefE14x_0)</f>
        <v>69300</v>
      </c>
      <c r="F16" s="3">
        <f>SUM(OSRRefE14x_1)</f>
        <v>144144</v>
      </c>
      <c r="G16" s="3">
        <f>SUM(OSRRefE14x_2)</f>
        <v>180180</v>
      </c>
      <c r="H16" s="3">
        <f>SUM(OSRRefE14x_3)</f>
        <v>102960</v>
      </c>
      <c r="I16" s="3">
        <f>SUM(OSRRefE14x_4)</f>
        <v>130680</v>
      </c>
      <c r="J16" s="3">
        <f>SUM(OSRRefE14x_5)</f>
        <v>60984</v>
      </c>
      <c r="K16" s="3">
        <f>SUM(OSRRefE14x_6)</f>
        <v>144144</v>
      </c>
      <c r="L16" s="3">
        <f>SUM(OSRRefE14x_7)</f>
        <v>149688</v>
      </c>
      <c r="M16" s="3">
        <f>SUM(OSRRefE14x_8)</f>
        <v>149688</v>
      </c>
      <c r="N16" s="3">
        <f>SUM(OSRRefE14x_9)</f>
        <v>89100</v>
      </c>
      <c r="O16" s="3">
        <f>SUM(OSRRefE14x_10)</f>
        <v>0</v>
      </c>
      <c r="Q16" s="3">
        <f>SUM(OSRRefG14x)</f>
        <v>1237996.8400000001</v>
      </c>
    </row>
    <row r="17" spans="1:17" s="9" customFormat="1" hidden="1" outlineLevel="1" x14ac:dyDescent="0.3">
      <c r="A17" s="22"/>
      <c r="B17" s="10" t="str">
        <f>CONCATENATE("          ","5000", " - ","PURCHASES @ COST")</f>
        <v xml:space="preserve">          5000 - PURCHASES @ COST</v>
      </c>
      <c r="C17" s="23"/>
      <c r="D17" s="2"/>
      <c r="E17" s="2">
        <v>69300</v>
      </c>
      <c r="F17" s="2">
        <v>144144</v>
      </c>
      <c r="G17" s="2">
        <v>180180</v>
      </c>
      <c r="H17" s="2">
        <v>102960</v>
      </c>
      <c r="I17" s="2">
        <v>130680</v>
      </c>
      <c r="J17" s="2">
        <v>60984</v>
      </c>
      <c r="K17" s="2">
        <v>144144</v>
      </c>
      <c r="L17" s="2">
        <v>149688</v>
      </c>
      <c r="M17" s="2">
        <v>149688</v>
      </c>
      <c r="N17" s="2">
        <v>89100</v>
      </c>
      <c r="O17" s="2"/>
      <c r="Q17" s="2">
        <f>SUM(OSRRefD14_0x)+IFERROR(SUM(OSRRefE14_0x),0)</f>
        <v>1220868</v>
      </c>
    </row>
    <row r="18" spans="1:17" s="9" customFormat="1" hidden="1" outlineLevel="1" x14ac:dyDescent="0.3">
      <c r="A18" s="22"/>
      <c r="B18" s="10" t="str">
        <f>CONCATENATE("          ","5053", " - ","PURCHASES @ COST-FOOD")</f>
        <v xml:space="preserve">          5053 - PURCHASES @ COST-FOOD</v>
      </c>
      <c r="C18" s="23"/>
      <c r="D18" s="2">
        <v>17968.84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>
        <f>SUM(OSRRefD14_1x)+IFERROR(SUM(OSRRefE14_1x),0)</f>
        <v>17968.84</v>
      </c>
    </row>
    <row r="19" spans="1:17" s="9" customFormat="1" hidden="1" outlineLevel="1" x14ac:dyDescent="0.3">
      <c r="A19" s="22"/>
      <c r="B19" s="10" t="str">
        <f>CONCATENATE("          ","5059", " - ","PURCHASES @ COST-FOOD")</f>
        <v xml:space="preserve">          5059 - PURCHASES @ COST-FOOD</v>
      </c>
      <c r="C19" s="23"/>
      <c r="D19" s="2">
        <v>-840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">
        <f>SUM(OSRRefD14_2x)+IFERROR(SUM(OSRRefE14_2x),0)</f>
        <v>-840</v>
      </c>
    </row>
    <row r="20" spans="1:17" x14ac:dyDescent="0.3">
      <c r="A20" s="5"/>
      <c r="B20" s="6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3"/>
    </row>
    <row r="21" spans="1:17" s="15" customFormat="1" x14ac:dyDescent="0.3">
      <c r="A21" s="6"/>
      <c r="B21" s="17" t="s">
        <v>105</v>
      </c>
      <c r="C21" s="17"/>
      <c r="D21" s="8">
        <f t="shared" ref="D21:O21" si="0">IFERROR(+D10-D16, 0)</f>
        <v>5858.5099999999984</v>
      </c>
      <c r="E21" s="8">
        <f t="shared" si="0"/>
        <v>69300</v>
      </c>
      <c r="F21" s="8">
        <f t="shared" si="0"/>
        <v>410256</v>
      </c>
      <c r="G21" s="8">
        <f t="shared" si="0"/>
        <v>512820</v>
      </c>
      <c r="H21" s="8">
        <f t="shared" si="0"/>
        <v>293040</v>
      </c>
      <c r="I21" s="8">
        <f t="shared" si="0"/>
        <v>304920</v>
      </c>
      <c r="J21" s="8">
        <f t="shared" si="0"/>
        <v>156816</v>
      </c>
      <c r="K21" s="8">
        <f t="shared" si="0"/>
        <v>410256</v>
      </c>
      <c r="L21" s="8">
        <f t="shared" si="0"/>
        <v>384912</v>
      </c>
      <c r="M21" s="8">
        <f t="shared" si="0"/>
        <v>384912</v>
      </c>
      <c r="N21" s="8">
        <f t="shared" si="0"/>
        <v>207900</v>
      </c>
      <c r="O21" s="8">
        <f t="shared" si="0"/>
        <v>0</v>
      </c>
      <c r="Q21" s="8">
        <f>IFERROR(+Q10-Q16, 0)</f>
        <v>3140990.51</v>
      </c>
    </row>
    <row r="22" spans="1:17" s="6" customFormat="1" x14ac:dyDescent="0.3">
      <c r="B22" s="16"/>
      <c r="C22" s="16"/>
      <c r="D22" s="4">
        <f t="shared" ref="D22:O22" si="1">IFERROR(D21/D10, 0)</f>
        <v>0.25485799798584868</v>
      </c>
      <c r="E22" s="4">
        <f t="shared" si="1"/>
        <v>0.5</v>
      </c>
      <c r="F22" s="4">
        <f t="shared" si="1"/>
        <v>0.74</v>
      </c>
      <c r="G22" s="4">
        <f t="shared" si="1"/>
        <v>0.74</v>
      </c>
      <c r="H22" s="4">
        <f t="shared" si="1"/>
        <v>0.74</v>
      </c>
      <c r="I22" s="4">
        <f t="shared" si="1"/>
        <v>0.7</v>
      </c>
      <c r="J22" s="4">
        <f t="shared" si="1"/>
        <v>0.72</v>
      </c>
      <c r="K22" s="4">
        <f t="shared" si="1"/>
        <v>0.74</v>
      </c>
      <c r="L22" s="4">
        <f t="shared" si="1"/>
        <v>0.72</v>
      </c>
      <c r="M22" s="4">
        <f t="shared" si="1"/>
        <v>0.72</v>
      </c>
      <c r="N22" s="4">
        <f t="shared" si="1"/>
        <v>0.7</v>
      </c>
      <c r="O22" s="4">
        <f t="shared" si="1"/>
        <v>0</v>
      </c>
      <c r="P22" s="18"/>
      <c r="Q22" s="4">
        <f>IFERROR(Q21/Q10, 0)</f>
        <v>0.71728695676638576</v>
      </c>
    </row>
    <row r="23" spans="1:17" x14ac:dyDescent="0.3">
      <c r="A23" s="5"/>
      <c r="B23" s="6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Q23" s="1"/>
    </row>
    <row r="24" spans="1:17" s="15" customFormat="1" x14ac:dyDescent="0.3">
      <c r="A24" s="6"/>
      <c r="B24" s="16" t="s">
        <v>255</v>
      </c>
      <c r="C24" s="6"/>
      <c r="D24" s="13">
        <f>SUM(OSRRefD20x_0)</f>
        <v>91690.75</v>
      </c>
      <c r="E24" s="13">
        <f>SUM(OSRRefE20x_0)</f>
        <v>161612.79569121992</v>
      </c>
      <c r="F24" s="13">
        <f>SUM(OSRRefE20x_1)</f>
        <v>237896.41969121993</v>
      </c>
      <c r="G24" s="13">
        <f>SUM(OSRRefE20x_2)</f>
        <v>285910.27461402491</v>
      </c>
      <c r="H24" s="13">
        <f>SUM(OSRRefE20x_3)</f>
        <v>210890.37969121995</v>
      </c>
      <c r="I24" s="13">
        <f>SUM(OSRRefE20x_4)</f>
        <v>204588.65969121995</v>
      </c>
      <c r="J24" s="13">
        <f>SUM(OSRRefE20x_5)</f>
        <v>190696.89061402495</v>
      </c>
      <c r="K24" s="13">
        <f>SUM(OSRRefE20x_6)</f>
        <v>240141.37169121995</v>
      </c>
      <c r="L24" s="13">
        <f>SUM(OSRRefE20x_7)</f>
        <v>238542.37169121995</v>
      </c>
      <c r="M24" s="13">
        <f>SUM(OSRRefE20x_8)</f>
        <v>257994.46661402495</v>
      </c>
      <c r="N24" s="13">
        <f>SUM(OSRRefE20x_9)</f>
        <v>169867.87569121993</v>
      </c>
      <c r="O24" s="13">
        <f>SUM(OSRRefE20x_10)</f>
        <v>103302.49969121994</v>
      </c>
      <c r="Q24" s="13">
        <f>SUM(OSRRefG20x)</f>
        <v>2393134.7553718342</v>
      </c>
    </row>
    <row r="25" spans="1:17" s="34" customFormat="1" collapsed="1" x14ac:dyDescent="0.3">
      <c r="A25" s="35"/>
      <c r="B25" s="14" t="str">
        <f>CONCATENATE("     ","*Benefits                                         ")</f>
        <v xml:space="preserve">     *Benefits                                         </v>
      </c>
      <c r="C25" s="14"/>
      <c r="D25" s="1">
        <f>SUM(OSRRefD21_0x_0)</f>
        <v>26752.260000000002</v>
      </c>
      <c r="E25" s="1">
        <f>SUM(OSRRefE21_0x_0)</f>
        <v>39298.850660450735</v>
      </c>
      <c r="F25" s="1">
        <f>SUM(OSRRefE21_0x_1)</f>
        <v>39846.494660450735</v>
      </c>
      <c r="G25" s="1">
        <f>SUM(OSRRefE21_0x_2)</f>
        <v>48233.868325563431</v>
      </c>
      <c r="H25" s="1">
        <f>SUM(OSRRefE21_0x_3)</f>
        <v>39119.299660450735</v>
      </c>
      <c r="I25" s="1">
        <f>SUM(OSRRefE21_0x_4)</f>
        <v>38390.039660450733</v>
      </c>
      <c r="J25" s="1">
        <f>SUM(OSRRefE21_0x_5)</f>
        <v>44231.121325563421</v>
      </c>
      <c r="K25" s="1">
        <f>SUM(OSRRefE21_0x_6)</f>
        <v>40125.010660450738</v>
      </c>
      <c r="L25" s="1">
        <f>SUM(OSRRefE21_0x_7)</f>
        <v>40125.010660450738</v>
      </c>
      <c r="M25" s="1">
        <f>SUM(OSRRefE21_0x_8)</f>
        <v>47055.929325563433</v>
      </c>
      <c r="N25" s="1">
        <f>SUM(OSRRefE21_0x_9)</f>
        <v>37072.84266045074</v>
      </c>
      <c r="O25" s="1">
        <f>SUM(OSRRefE21_0x_10)</f>
        <v>34339.384660450742</v>
      </c>
      <c r="Q25" s="2">
        <f>SUM(OSRRefD20_0x)+IFERROR(SUM(OSRRefE20_0x),0)</f>
        <v>474590.11226029618</v>
      </c>
    </row>
    <row r="26" spans="1:17" s="34" customFormat="1" hidden="1" outlineLevel="1" x14ac:dyDescent="0.3">
      <c r="A26" s="35"/>
      <c r="B26" s="10" t="str">
        <f>CONCATENATE("          ","6111", " - ","F.I.C.A.")</f>
        <v xml:space="preserve">          6111 - F.I.C.A.</v>
      </c>
      <c r="C26" s="14"/>
      <c r="D26" s="2">
        <v>3197.69</v>
      </c>
      <c r="E26" s="2">
        <v>5900.61465891231</v>
      </c>
      <c r="F26" s="2">
        <v>3512.8786589123101</v>
      </c>
      <c r="G26" s="2">
        <v>4391.0983236403799</v>
      </c>
      <c r="H26" s="2">
        <v>3512.8786589123101</v>
      </c>
      <c r="I26" s="2">
        <v>3512.8786589123101</v>
      </c>
      <c r="J26" s="2">
        <v>4391.0983236403799</v>
      </c>
      <c r="K26" s="2">
        <v>3512.8786589123101</v>
      </c>
      <c r="L26" s="2">
        <v>3512.8786589123101</v>
      </c>
      <c r="M26" s="2">
        <v>4391.0983236403799</v>
      </c>
      <c r="N26" s="2">
        <v>3512.8786589123101</v>
      </c>
      <c r="O26" s="2">
        <v>3512.8786589123101</v>
      </c>
      <c r="P26" s="9"/>
      <c r="Q26" s="2">
        <f>SUM(OSRRefD21_0_0x)+IFERROR(SUM(OSRRefE21_0_0x),0)</f>
        <v>46861.750242219627</v>
      </c>
    </row>
    <row r="27" spans="1:17" s="34" customFormat="1" hidden="1" outlineLevel="1" x14ac:dyDescent="0.3">
      <c r="A27" s="35"/>
      <c r="B27" s="10" t="str">
        <f>CONCATENATE("          ","6112", " - ","COMPENSATION INSURANCE")</f>
        <v xml:space="preserve">          6112 - COMPENSATION INSURANCE</v>
      </c>
      <c r="C27" s="14"/>
      <c r="D27" s="2">
        <v>1499.97</v>
      </c>
      <c r="E27" s="2">
        <v>3304.6519061384602</v>
      </c>
      <c r="F27" s="2">
        <v>4893.9505061384598</v>
      </c>
      <c r="G27" s="2">
        <v>6117.43813267308</v>
      </c>
      <c r="H27" s="2">
        <v>4500.2263561384598</v>
      </c>
      <c r="I27" s="2">
        <v>4105.3841561384597</v>
      </c>
      <c r="J27" s="2">
        <v>3950.2365426730798</v>
      </c>
      <c r="K27" s="2">
        <v>5044.7470261384597</v>
      </c>
      <c r="L27" s="2">
        <v>5044.7470261384597</v>
      </c>
      <c r="M27" s="2">
        <v>5479.6683026730798</v>
      </c>
      <c r="N27" s="2">
        <v>3392.2160661384601</v>
      </c>
      <c r="O27" s="2">
        <v>1912.2438061384601</v>
      </c>
      <c r="P27" s="9"/>
      <c r="Q27" s="2">
        <f>SUM(OSRRefD21_0_1x)+IFERROR(SUM(OSRRefE21_0_1x),0)</f>
        <v>49245.479827126925</v>
      </c>
    </row>
    <row r="28" spans="1:17" s="34" customFormat="1" hidden="1" outlineLevel="1" x14ac:dyDescent="0.3">
      <c r="A28" s="35"/>
      <c r="B28" s="10" t="str">
        <f>CONCATENATE("          ","6113", " - ","GROUP INSURANCE")</f>
        <v xml:space="preserve">          6113 - GROUP INSURANCE</v>
      </c>
      <c r="C28" s="14"/>
      <c r="D28" s="2">
        <v>15037.24</v>
      </c>
      <c r="E28" s="2">
        <v>21172.769230769201</v>
      </c>
      <c r="F28" s="2">
        <v>21172.769230769201</v>
      </c>
      <c r="G28" s="2">
        <v>25460.461538461499</v>
      </c>
      <c r="H28" s="2">
        <v>21172.769230769201</v>
      </c>
      <c r="I28" s="2">
        <v>21172.769230769201</v>
      </c>
      <c r="J28" s="2">
        <v>25460.461538461499</v>
      </c>
      <c r="K28" s="2">
        <v>21172.769230769201</v>
      </c>
      <c r="L28" s="2">
        <v>21172.769230769201</v>
      </c>
      <c r="M28" s="2">
        <v>25460.461538461499</v>
      </c>
      <c r="N28" s="2">
        <v>21172.769230769201</v>
      </c>
      <c r="O28" s="2">
        <v>21172.769230769201</v>
      </c>
      <c r="P28" s="9"/>
      <c r="Q28" s="2">
        <f>SUM(OSRRefD21_0_2x)+IFERROR(SUM(OSRRefE21_0_2x),0)</f>
        <v>260800.77846153805</v>
      </c>
    </row>
    <row r="29" spans="1:17" s="34" customFormat="1" hidden="1" outlineLevel="1" x14ac:dyDescent="0.3">
      <c r="A29" s="35"/>
      <c r="B29" s="10" t="str">
        <f>CONCATENATE("          ","6114", " - ","STATE UNEMPLOYMENT INSURANCE")</f>
        <v xml:space="preserve">          6114 - STATE UNEMPLOYMENT INSURANCE</v>
      </c>
      <c r="C29" s="14"/>
      <c r="D29" s="2">
        <v>108.33</v>
      </c>
      <c r="E29" s="2">
        <v>183.107361553846</v>
      </c>
      <c r="F29" s="2">
        <v>271.16876155384602</v>
      </c>
      <c r="G29" s="2">
        <v>338.96095194230799</v>
      </c>
      <c r="H29" s="2">
        <v>249.35291155384601</v>
      </c>
      <c r="I29" s="2">
        <v>227.47511155384601</v>
      </c>
      <c r="J29" s="2">
        <v>218.878541942308</v>
      </c>
      <c r="K29" s="2">
        <v>279.52424155384602</v>
      </c>
      <c r="L29" s="2">
        <v>279.52424155384602</v>
      </c>
      <c r="M29" s="2">
        <v>303.62278194230799</v>
      </c>
      <c r="N29" s="2">
        <v>187.95920155384599</v>
      </c>
      <c r="O29" s="2">
        <v>105.95546155384601</v>
      </c>
      <c r="P29" s="9"/>
      <c r="Q29" s="2">
        <f>SUM(OSRRefD21_0_3x)+IFERROR(SUM(OSRRefE21_0_3x),0)</f>
        <v>2753.859568257692</v>
      </c>
    </row>
    <row r="30" spans="1:17" s="34" customFormat="1" hidden="1" outlineLevel="1" x14ac:dyDescent="0.3">
      <c r="A30" s="35"/>
      <c r="B30" s="10" t="str">
        <f>CONCATENATE("          ","6115", " - ","P.E.R.S.")</f>
        <v xml:space="preserve">          6115 - P.E.R.S.</v>
      </c>
      <c r="C30" s="14"/>
      <c r="D30" s="2">
        <v>1434.5</v>
      </c>
      <c r="E30" s="2">
        <v>1406.6708415384601</v>
      </c>
      <c r="F30" s="2">
        <v>1406.6708415384601</v>
      </c>
      <c r="G30" s="2">
        <v>1758.3385519230801</v>
      </c>
      <c r="H30" s="2">
        <v>1406.6708415384601</v>
      </c>
      <c r="I30" s="2">
        <v>1406.6708415384601</v>
      </c>
      <c r="J30" s="2">
        <v>1758.3385519230801</v>
      </c>
      <c r="K30" s="2">
        <v>1406.6708415384601</v>
      </c>
      <c r="L30" s="2">
        <v>1406.6708415384601</v>
      </c>
      <c r="M30" s="2">
        <v>1758.3385519230801</v>
      </c>
      <c r="N30" s="2">
        <v>1406.6708415384601</v>
      </c>
      <c r="O30" s="2">
        <v>1406.6708415384601</v>
      </c>
      <c r="P30" s="9"/>
      <c r="Q30" s="2">
        <f>SUM(OSRRefD21_0_4x)+IFERROR(SUM(OSRRefE21_0_4x),0)</f>
        <v>17962.88238807692</v>
      </c>
    </row>
    <row r="31" spans="1:17" s="34" customFormat="1" hidden="1" outlineLevel="1" x14ac:dyDescent="0.3">
      <c r="A31" s="35"/>
      <c r="B31" s="10" t="str">
        <f>CONCATENATE("          ","6116", " - ","EDUCATIONAL BENEFITS")</f>
        <v xml:space="preserve">          6116 - EDUCATIONAL BENEFITS</v>
      </c>
      <c r="C31" s="14"/>
      <c r="D31" s="2"/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9"/>
      <c r="Q31" s="2">
        <f>SUM(OSRRefD21_0_5x)+IFERROR(SUM(OSRRefE21_0_5x),0)</f>
        <v>0</v>
      </c>
    </row>
    <row r="32" spans="1:17" s="34" customFormat="1" hidden="1" outlineLevel="1" x14ac:dyDescent="0.3">
      <c r="A32" s="35"/>
      <c r="B32" s="10" t="str">
        <f>CONCATENATE("          ","6117", " - ","RETIREMENT STAFF HOURLY")</f>
        <v xml:space="preserve">          6117 - RETIREMENT STAFF HOURLY</v>
      </c>
      <c r="C32" s="14"/>
      <c r="D32" s="2">
        <v>423.03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2">
        <f>SUM(OSRRefD21_0_6x)+IFERROR(SUM(OSRRefE21_0_6x),0)</f>
        <v>423.03</v>
      </c>
    </row>
    <row r="33" spans="1:17" s="34" customFormat="1" hidden="1" outlineLevel="1" x14ac:dyDescent="0.3">
      <c r="A33" s="35"/>
      <c r="B33" s="10" t="str">
        <f>CONCATENATE("          ","6118", " - ","VACATION")</f>
        <v xml:space="preserve">          6118 - VACATION</v>
      </c>
      <c r="C33" s="14"/>
      <c r="D33" s="2">
        <v>2494.04</v>
      </c>
      <c r="E33" s="2">
        <v>1967.9663307692299</v>
      </c>
      <c r="F33" s="2">
        <v>1967.9663307692299</v>
      </c>
      <c r="G33" s="2">
        <v>2459.9579134615401</v>
      </c>
      <c r="H33" s="2">
        <v>1967.9663307692299</v>
      </c>
      <c r="I33" s="2">
        <v>1967.9663307692299</v>
      </c>
      <c r="J33" s="2">
        <v>2459.9579134615401</v>
      </c>
      <c r="K33" s="2">
        <v>1967.9663307692299</v>
      </c>
      <c r="L33" s="2">
        <v>1967.9663307692299</v>
      </c>
      <c r="M33" s="2">
        <v>2459.9579134615401</v>
      </c>
      <c r="N33" s="2">
        <v>1967.9663307692299</v>
      </c>
      <c r="O33" s="2">
        <v>1967.9663307692299</v>
      </c>
      <c r="P33" s="9"/>
      <c r="Q33" s="2">
        <f>SUM(OSRRefD21_0_7x)+IFERROR(SUM(OSRRefE21_0_7x),0)</f>
        <v>25617.644386538464</v>
      </c>
    </row>
    <row r="34" spans="1:17" s="34" customFormat="1" hidden="1" outlineLevel="1" x14ac:dyDescent="0.3">
      <c r="A34" s="35"/>
      <c r="B34" s="10" t="str">
        <f>CONCATENATE("          ","6119", " - ","SICK LEAVE")</f>
        <v xml:space="preserve">          6119 - SICK LEAVE</v>
      </c>
      <c r="C34" s="14"/>
      <c r="D34" s="2">
        <v>1724</v>
      </c>
      <c r="E34" s="2">
        <v>3088.0703307692302</v>
      </c>
      <c r="F34" s="2">
        <v>4346.0903307692297</v>
      </c>
      <c r="G34" s="2">
        <v>5432.6129134615403</v>
      </c>
      <c r="H34" s="2">
        <v>4034.4353307692299</v>
      </c>
      <c r="I34" s="2">
        <v>3721.89533076923</v>
      </c>
      <c r="J34" s="2">
        <v>3717.1499134615401</v>
      </c>
      <c r="K34" s="2">
        <v>4465.4543307692302</v>
      </c>
      <c r="L34" s="2">
        <v>4465.4543307692302</v>
      </c>
      <c r="M34" s="2">
        <v>4927.7819134615402</v>
      </c>
      <c r="N34" s="2">
        <v>3157.3823307692301</v>
      </c>
      <c r="O34" s="2">
        <v>1985.9003307692301</v>
      </c>
      <c r="P34" s="9"/>
      <c r="Q34" s="2">
        <f>SUM(OSRRefD21_0_8x)+IFERROR(SUM(OSRRefE21_0_8x),0)</f>
        <v>45066.227386538463</v>
      </c>
    </row>
    <row r="35" spans="1:17" s="34" customFormat="1" hidden="1" outlineLevel="1" x14ac:dyDescent="0.3">
      <c r="A35" s="35"/>
      <c r="B35" s="10" t="str">
        <f>CONCATENATE("          ","6156", " - ","EMPLOYEE MEALS")</f>
        <v xml:space="preserve">          6156 - EMPLOYEE MEALS</v>
      </c>
      <c r="C35" s="14"/>
      <c r="D35" s="2">
        <v>833.46</v>
      </c>
      <c r="E35" s="2">
        <v>2275</v>
      </c>
      <c r="F35" s="2">
        <v>2275</v>
      </c>
      <c r="G35" s="2">
        <v>2275</v>
      </c>
      <c r="H35" s="2">
        <v>2275</v>
      </c>
      <c r="I35" s="2">
        <v>2275</v>
      </c>
      <c r="J35" s="2">
        <v>2275</v>
      </c>
      <c r="K35" s="2">
        <v>2275</v>
      </c>
      <c r="L35" s="2">
        <v>2275</v>
      </c>
      <c r="M35" s="2">
        <v>2275</v>
      </c>
      <c r="N35" s="2">
        <v>2275</v>
      </c>
      <c r="O35" s="2">
        <v>2275</v>
      </c>
      <c r="P35" s="9"/>
      <c r="Q35" s="2">
        <f>SUM(OSRRefD21_0_9x)+IFERROR(SUM(OSRRefE21_0_9x),0)</f>
        <v>25858.46</v>
      </c>
    </row>
    <row r="36" spans="1:17" s="34" customFormat="1" collapsed="1" x14ac:dyDescent="0.3">
      <c r="A36" s="35"/>
      <c r="B36" s="14" t="str">
        <f>CONCATENATE("     ","*Payroll                                          ")</f>
        <v xml:space="preserve">     *Payroll                                          </v>
      </c>
      <c r="C36" s="14"/>
      <c r="D36" s="1">
        <f>SUM(OSRRefD21_1x_0)</f>
        <v>50603.56</v>
      </c>
      <c r="E36" s="1">
        <f>SUM(OSRRefE21_1x_0)</f>
        <v>82137.945030769188</v>
      </c>
      <c r="F36" s="1">
        <f>SUM(OSRRefE21_1x_1)</f>
        <v>122813.9250307692</v>
      </c>
      <c r="G36" s="1">
        <f>SUM(OSRRefE21_1x_2)</f>
        <v>153517.4062884615</v>
      </c>
      <c r="H36" s="1">
        <f>SUM(OSRRefE21_1x_3)</f>
        <v>112737.0800307692</v>
      </c>
      <c r="I36" s="1">
        <f>SUM(OSRRefE21_1x_4)</f>
        <v>102631.62003076921</v>
      </c>
      <c r="J36" s="1">
        <f>SUM(OSRRefE21_1x_5)</f>
        <v>98050.76928846151</v>
      </c>
      <c r="K36" s="1">
        <f>SUM(OSRRefE21_1x_6)</f>
        <v>126673.3610307692</v>
      </c>
      <c r="L36" s="1">
        <f>SUM(OSRRefE21_1x_7)</f>
        <v>126673.3610307692</v>
      </c>
      <c r="M36" s="1">
        <f>SUM(OSRRefE21_1x_8)</f>
        <v>137194.53728846152</v>
      </c>
      <c r="N36" s="1">
        <f>SUM(OSRRefE21_1x_9)</f>
        <v>84379.033030769206</v>
      </c>
      <c r="O36" s="1">
        <f>SUM(OSRRefE21_1x_10)</f>
        <v>46501.115030769201</v>
      </c>
      <c r="Q36" s="2">
        <f>SUM(OSRRefD20_1x)+IFERROR(SUM(OSRRefE20_1x),0)</f>
        <v>1243913.713111538</v>
      </c>
    </row>
    <row r="37" spans="1:17" s="34" customFormat="1" hidden="1" outlineLevel="1" x14ac:dyDescent="0.3">
      <c r="A37" s="35"/>
      <c r="B37" s="10" t="str">
        <f>CONCATENATE("          ","6001", " - ","ADMINISTRATIVE SALARIES")</f>
        <v xml:space="preserve">          6001 - ADMINISTRATIVE SALARIES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SUM(OSRRefD21_1_0x)+IFERROR(SUM(OSRRefE21_1_0x),0)</f>
        <v>0</v>
      </c>
    </row>
    <row r="38" spans="1:17" s="34" customFormat="1" hidden="1" outlineLevel="1" x14ac:dyDescent="0.3">
      <c r="A38" s="35"/>
      <c r="B38" s="10" t="str">
        <f>CONCATENATE("          ","6002", " - ","STAFF SALARIES")</f>
        <v xml:space="preserve">          6002 - STAFF SALARIES</v>
      </c>
      <c r="C38" s="14"/>
      <c r="D38" s="2">
        <v>19293.919999999998</v>
      </c>
      <c r="E38" s="2">
        <v>15375.239430769199</v>
      </c>
      <c r="F38" s="2">
        <v>15375.239430769199</v>
      </c>
      <c r="G38" s="2">
        <v>19219.049288461501</v>
      </c>
      <c r="H38" s="2">
        <v>15375.239430769199</v>
      </c>
      <c r="I38" s="2">
        <v>15375.239430769199</v>
      </c>
      <c r="J38" s="2">
        <v>19219.049288461501</v>
      </c>
      <c r="K38" s="2">
        <v>15375.239430769199</v>
      </c>
      <c r="L38" s="2">
        <v>15375.239430769199</v>
      </c>
      <c r="M38" s="2">
        <v>19219.049288461501</v>
      </c>
      <c r="N38" s="2">
        <v>15375.239430769199</v>
      </c>
      <c r="O38" s="2">
        <v>15375.239430769199</v>
      </c>
      <c r="P38" s="9"/>
      <c r="Q38" s="2">
        <f>SUM(OSRRefD21_1_1x)+IFERROR(SUM(OSRRefE21_1_1x),0)</f>
        <v>199952.98331153812</v>
      </c>
    </row>
    <row r="39" spans="1:17" s="34" customFormat="1" hidden="1" outlineLevel="1" x14ac:dyDescent="0.3">
      <c r="A39" s="35"/>
      <c r="B39" s="10" t="str">
        <f>CONCATENATE("          ","6003", " - ","STAFF HOURLY-9 MONTH")</f>
        <v xml:space="preserve">          6003 - STAFF HOURLY-9 MONTH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SUM(OSRRefD21_1_2x)+IFERROR(SUM(OSRRefE21_1_2x),0)</f>
        <v>0</v>
      </c>
    </row>
    <row r="40" spans="1:17" s="34" customFormat="1" hidden="1" outlineLevel="1" x14ac:dyDescent="0.3">
      <c r="A40" s="35"/>
      <c r="B40" s="10" t="str">
        <f>CONCATENATE("          ","6004", " - ","STAFF HOURLY")</f>
        <v xml:space="preserve">          6004 - STAFF HOURLY</v>
      </c>
      <c r="C40" s="14"/>
      <c r="D40" s="2">
        <v>19405.97</v>
      </c>
      <c r="E40" s="2">
        <v>26709.4656</v>
      </c>
      <c r="F40" s="2">
        <v>26709.4656</v>
      </c>
      <c r="G40" s="2">
        <v>33386.832000000002</v>
      </c>
      <c r="H40" s="2">
        <v>26709.4656</v>
      </c>
      <c r="I40" s="2">
        <v>26709.4656</v>
      </c>
      <c r="J40" s="2">
        <v>33386.832000000002</v>
      </c>
      <c r="K40" s="2">
        <v>26709.4656</v>
      </c>
      <c r="L40" s="2">
        <v>26709.4656</v>
      </c>
      <c r="M40" s="2">
        <v>33386.832000000002</v>
      </c>
      <c r="N40" s="2">
        <v>26709.4656</v>
      </c>
      <c r="O40" s="2">
        <v>26709.4656</v>
      </c>
      <c r="P40" s="9"/>
      <c r="Q40" s="2">
        <f>SUM(OSRRefD21_1_3x)+IFERROR(SUM(OSRRefE21_1_3x),0)</f>
        <v>333242.19079999998</v>
      </c>
    </row>
    <row r="41" spans="1:17" s="34" customFormat="1" hidden="1" outlineLevel="1" x14ac:dyDescent="0.3">
      <c r="A41" s="35"/>
      <c r="B41" s="10" t="str">
        <f>CONCATENATE("          ","6005", " - ","TEMPORARY WAGES-HOURLY")</f>
        <v xml:space="preserve">          6005 - TEMPORARY WAGES-HOURLY</v>
      </c>
      <c r="C41" s="14"/>
      <c r="D41" s="2">
        <v>4625.88</v>
      </c>
      <c r="E41" s="2">
        <v>9789.24</v>
      </c>
      <c r="F41" s="2">
        <v>17834.419999999998</v>
      </c>
      <c r="G41" s="2">
        <v>22293.025000000001</v>
      </c>
      <c r="H41" s="2">
        <v>15620.395</v>
      </c>
      <c r="I41" s="2">
        <v>13375.815000000001</v>
      </c>
      <c r="J41" s="2">
        <v>12067.77</v>
      </c>
      <c r="K41" s="2">
        <v>17834.419999999998</v>
      </c>
      <c r="L41" s="2">
        <v>17834.419999999998</v>
      </c>
      <c r="M41" s="2">
        <v>17834.419999999998</v>
      </c>
      <c r="N41" s="2">
        <v>8917.2099999999991</v>
      </c>
      <c r="O41" s="2">
        <v>4416.41</v>
      </c>
      <c r="P41" s="9"/>
      <c r="Q41" s="2">
        <f>SUM(OSRRefD21_1_4x)+IFERROR(SUM(OSRRefE21_1_4x),0)</f>
        <v>162443.42499999999</v>
      </c>
    </row>
    <row r="42" spans="1:17" s="34" customFormat="1" hidden="1" outlineLevel="1" x14ac:dyDescent="0.3">
      <c r="A42" s="35"/>
      <c r="B42" s="10" t="str">
        <f>CONCATENATE("          ","6006", " - ","TEMPORARY PART TIME")</f>
        <v xml:space="preserve">          6006 - TEMPORARY PART TIME</v>
      </c>
      <c r="C42" s="14"/>
      <c r="D42" s="2"/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9"/>
      <c r="Q42" s="2">
        <f>SUM(OSRRefD21_1_5x)+IFERROR(SUM(OSRRefE21_1_5x),0)</f>
        <v>0</v>
      </c>
    </row>
    <row r="43" spans="1:17" s="34" customFormat="1" hidden="1" outlineLevel="1" x14ac:dyDescent="0.3">
      <c r="A43" s="35"/>
      <c r="B43" s="10" t="str">
        <f>CONCATENATE("          ","6007", " - ","STUDENT HOURLY")</f>
        <v xml:space="preserve">          6007 - STUDENT HOURLY</v>
      </c>
      <c r="C43" s="14"/>
      <c r="D43" s="2">
        <v>7277.79</v>
      </c>
      <c r="E43" s="2">
        <v>30264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9"/>
      <c r="Q43" s="2">
        <f>SUM(OSRRefD21_1_6x)+IFERROR(SUM(OSRRefE21_1_6x),0)</f>
        <v>37541.79</v>
      </c>
    </row>
    <row r="44" spans="1:17" s="34" customFormat="1" hidden="1" outlineLevel="1" x14ac:dyDescent="0.3">
      <c r="A44" s="35"/>
      <c r="B44" s="10" t="str">
        <f>CONCATENATE("          ","6008", " - ","STUDENT HOURLY-FICA EXEMPT")</f>
        <v xml:space="preserve">          6008 - STUDENT HOURLY-FICA EXEMPT</v>
      </c>
      <c r="C44" s="14"/>
      <c r="D44" s="2"/>
      <c r="E44" s="2">
        <v>0</v>
      </c>
      <c r="F44" s="2">
        <v>62894.8</v>
      </c>
      <c r="G44" s="2">
        <v>78618.5</v>
      </c>
      <c r="H44" s="2">
        <v>55031.98</v>
      </c>
      <c r="I44" s="2">
        <v>47171.1</v>
      </c>
      <c r="J44" s="2">
        <v>33377.118000000002</v>
      </c>
      <c r="K44" s="2">
        <v>66754.236000000004</v>
      </c>
      <c r="L44" s="2">
        <v>66754.236000000004</v>
      </c>
      <c r="M44" s="2">
        <v>66754.236000000004</v>
      </c>
      <c r="N44" s="2">
        <v>33377.118000000002</v>
      </c>
      <c r="O44" s="2">
        <v>0</v>
      </c>
      <c r="P44" s="9"/>
      <c r="Q44" s="2">
        <f>SUM(OSRRefD21_1_7x)+IFERROR(SUM(OSRRefE21_1_7x),0)</f>
        <v>510733.32400000014</v>
      </c>
    </row>
    <row r="45" spans="1:17" s="34" customFormat="1" hidden="1" outlineLevel="1" x14ac:dyDescent="0.3">
      <c r="A45" s="35"/>
      <c r="B45" s="10" t="str">
        <f>CONCATENATE("          ","6009", " - ","TEMPORARY-SEASONAL")</f>
        <v xml:space="preserve">          6009 - TEMPORARY-SEASONAL</v>
      </c>
      <c r="C45" s="14"/>
      <c r="D45" s="2"/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9"/>
      <c r="Q45" s="2">
        <f>SUM(OSRRefD21_1_8x)+IFERROR(SUM(OSRRefE21_1_8x),0)</f>
        <v>0</v>
      </c>
    </row>
    <row r="46" spans="1:17" s="34" customFormat="1" hidden="1" outlineLevel="1" x14ac:dyDescent="0.3">
      <c r="A46" s="35"/>
      <c r="B46" s="10" t="str">
        <f>CONCATENATE("          ","6010", " - ","GRATUITY")</f>
        <v xml:space="preserve">          6010 - GRATUITY</v>
      </c>
      <c r="C46" s="14"/>
      <c r="D46" s="2"/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9"/>
      <c r="Q46" s="2">
        <f>SUM(OSRRefD21_1_9x)+IFERROR(SUM(OSRRefE21_1_9x),0)</f>
        <v>0</v>
      </c>
    </row>
    <row r="47" spans="1:17" s="34" customFormat="1" collapsed="1" x14ac:dyDescent="0.3">
      <c r="A47" s="35"/>
      <c r="B47" s="14" t="str">
        <f>CONCATENATE("     ","Advertising/Promo                                 ")</f>
        <v xml:space="preserve">     Advertising/Promo                                 </v>
      </c>
      <c r="C47" s="14"/>
      <c r="D47" s="1">
        <f>SUM(OSRRefD21_2x_0)</f>
        <v>40.31</v>
      </c>
      <c r="E47" s="1">
        <f>SUM(OSRRefE21_2x_0)</f>
        <v>738</v>
      </c>
      <c r="F47" s="1">
        <f>SUM(OSRRefE21_2x_1)</f>
        <v>369</v>
      </c>
      <c r="G47" s="1">
        <f>SUM(OSRRefE21_2x_2)</f>
        <v>369</v>
      </c>
      <c r="H47" s="1">
        <f>SUM(OSRRefE21_2x_3)</f>
        <v>369</v>
      </c>
      <c r="I47" s="1">
        <f>SUM(OSRRefE21_2x_4)</f>
        <v>369</v>
      </c>
      <c r="J47" s="1">
        <f>SUM(OSRRefE21_2x_5)</f>
        <v>369</v>
      </c>
      <c r="K47" s="1">
        <f>SUM(OSRRefE21_2x_6)</f>
        <v>369</v>
      </c>
      <c r="L47" s="1">
        <f>SUM(OSRRefE21_2x_7)</f>
        <v>369</v>
      </c>
      <c r="M47" s="1">
        <f>SUM(OSRRefE21_2x_8)</f>
        <v>369</v>
      </c>
      <c r="N47" s="1">
        <f>SUM(OSRRefE21_2x_9)</f>
        <v>369</v>
      </c>
      <c r="O47" s="1">
        <f>SUM(OSRRefE21_2x_10)</f>
        <v>369</v>
      </c>
      <c r="Q47" s="2">
        <f>SUM(OSRRefD20_2x)+IFERROR(SUM(OSRRefE20_2x),0)</f>
        <v>4468.3100000000004</v>
      </c>
    </row>
    <row r="48" spans="1:17" s="34" customFormat="1" hidden="1" outlineLevel="1" x14ac:dyDescent="0.3">
      <c r="A48" s="35"/>
      <c r="B48" s="10" t="str">
        <f>CONCATENATE("          ","6362", " - ","ADVERTISING EXPENSE")</f>
        <v xml:space="preserve">          6362 - ADVERTISING EXPENSE</v>
      </c>
      <c r="C48" s="14"/>
      <c r="D48" s="2">
        <v>40.31</v>
      </c>
      <c r="E48" s="2">
        <v>738</v>
      </c>
      <c r="F48" s="2">
        <v>369</v>
      </c>
      <c r="G48" s="2">
        <v>369</v>
      </c>
      <c r="H48" s="2">
        <v>369</v>
      </c>
      <c r="I48" s="2">
        <v>369</v>
      </c>
      <c r="J48" s="2">
        <v>369</v>
      </c>
      <c r="K48" s="2">
        <v>369</v>
      </c>
      <c r="L48" s="2">
        <v>369</v>
      </c>
      <c r="M48" s="2">
        <v>369</v>
      </c>
      <c r="N48" s="2">
        <v>369</v>
      </c>
      <c r="O48" s="2">
        <v>369</v>
      </c>
      <c r="P48" s="9"/>
      <c r="Q48" s="2">
        <f>SUM(OSRRefD21_2_0x)+IFERROR(SUM(OSRRefE21_2_0x),0)</f>
        <v>4468.3100000000004</v>
      </c>
    </row>
    <row r="49" spans="1:17" s="34" customFormat="1" collapsed="1" x14ac:dyDescent="0.3">
      <c r="A49" s="35"/>
      <c r="B49" s="14" t="str">
        <f>CONCATENATE("     ","Bad Debts/Over/Short                              ")</f>
        <v xml:space="preserve">     Bad Debts/Over/Short                              </v>
      </c>
      <c r="C49" s="14"/>
      <c r="D49" s="1">
        <f>SUM(OSRRefD21_3x_0)</f>
        <v>0</v>
      </c>
      <c r="E49" s="1">
        <f>SUM(OSRRefE21_3x_0)</f>
        <v>8</v>
      </c>
      <c r="F49" s="1">
        <f>SUM(OSRRefE21_3x_1)</f>
        <v>8</v>
      </c>
      <c r="G49" s="1">
        <f>SUM(OSRRefE21_3x_2)</f>
        <v>8</v>
      </c>
      <c r="H49" s="1">
        <f>SUM(OSRRefE21_3x_3)</f>
        <v>8</v>
      </c>
      <c r="I49" s="1">
        <f>SUM(OSRRefE21_3x_4)</f>
        <v>8</v>
      </c>
      <c r="J49" s="1">
        <f>SUM(OSRRefE21_3x_5)</f>
        <v>8</v>
      </c>
      <c r="K49" s="1">
        <f>SUM(OSRRefE21_3x_6)</f>
        <v>8</v>
      </c>
      <c r="L49" s="1">
        <f>SUM(OSRRefE21_3x_7)</f>
        <v>8</v>
      </c>
      <c r="M49" s="1">
        <f>SUM(OSRRefE21_3x_8)</f>
        <v>8</v>
      </c>
      <c r="N49" s="1">
        <f>SUM(OSRRefE21_3x_9)</f>
        <v>8</v>
      </c>
      <c r="O49" s="1">
        <f>SUM(OSRRefE21_3x_10)</f>
        <v>0</v>
      </c>
      <c r="Q49" s="2">
        <f>SUM(OSRRefD20_3x)+IFERROR(SUM(OSRRefE20_3x),0)</f>
        <v>80</v>
      </c>
    </row>
    <row r="50" spans="1:17" s="34" customFormat="1" hidden="1" outlineLevel="1" x14ac:dyDescent="0.3">
      <c r="A50" s="35"/>
      <c r="B50" s="10" t="str">
        <f>CONCATENATE("          ","6272", " - ","CASH (OVER/SHORT)")</f>
        <v xml:space="preserve">          6272 - CASH (OVER/SHORT)</v>
      </c>
      <c r="C50" s="14"/>
      <c r="D50" s="2"/>
      <c r="E50" s="2">
        <v>8</v>
      </c>
      <c r="F50" s="2">
        <v>8</v>
      </c>
      <c r="G50" s="2">
        <v>8</v>
      </c>
      <c r="H50" s="2">
        <v>8</v>
      </c>
      <c r="I50" s="2">
        <v>8</v>
      </c>
      <c r="J50" s="2">
        <v>8</v>
      </c>
      <c r="K50" s="2">
        <v>8</v>
      </c>
      <c r="L50" s="2">
        <v>8</v>
      </c>
      <c r="M50" s="2">
        <v>8</v>
      </c>
      <c r="N50" s="2">
        <v>8</v>
      </c>
      <c r="O50" s="2"/>
      <c r="P50" s="9"/>
      <c r="Q50" s="2">
        <f>SUM(OSRRefD21_3_0x)+IFERROR(SUM(OSRRefE21_3_0x),0)</f>
        <v>80</v>
      </c>
    </row>
    <row r="51" spans="1:17" s="34" customFormat="1" collapsed="1" x14ac:dyDescent="0.3">
      <c r="A51" s="35"/>
      <c r="B51" s="14" t="str">
        <f>CONCATENATE("     ","Bank/card Fees                                    ")</f>
        <v xml:space="preserve">     Bank/card Fees                                    </v>
      </c>
      <c r="C51" s="14"/>
      <c r="D51" s="1">
        <f>SUM(OSRRefD21_4x_0)</f>
        <v>77.05</v>
      </c>
      <c r="E51" s="1">
        <f>SUM(OSRRefE21_4x_0)</f>
        <v>135</v>
      </c>
      <c r="F51" s="1">
        <f>SUM(OSRRefE21_4x_1)</f>
        <v>270</v>
      </c>
      <c r="G51" s="1">
        <f>SUM(OSRRefE21_4x_2)</f>
        <v>135</v>
      </c>
      <c r="H51" s="1">
        <f>SUM(OSRRefE21_4x_3)</f>
        <v>135</v>
      </c>
      <c r="I51" s="1">
        <f>SUM(OSRRefE21_4x_4)</f>
        <v>135</v>
      </c>
      <c r="J51" s="1">
        <f>SUM(OSRRefE21_4x_5)</f>
        <v>135</v>
      </c>
      <c r="K51" s="1">
        <f>SUM(OSRRefE21_4x_6)</f>
        <v>135</v>
      </c>
      <c r="L51" s="1">
        <f>SUM(OSRRefE21_4x_7)</f>
        <v>135</v>
      </c>
      <c r="M51" s="1">
        <f>SUM(OSRRefE21_4x_8)</f>
        <v>135</v>
      </c>
      <c r="N51" s="1">
        <f>SUM(OSRRefE21_4x_9)</f>
        <v>135</v>
      </c>
      <c r="O51" s="1">
        <f>SUM(OSRRefE21_4x_10)</f>
        <v>135</v>
      </c>
      <c r="Q51" s="2">
        <f>SUM(OSRRefD20_4x)+IFERROR(SUM(OSRRefE20_4x),0)</f>
        <v>1697.05</v>
      </c>
    </row>
    <row r="52" spans="1:17" s="34" customFormat="1" hidden="1" outlineLevel="1" x14ac:dyDescent="0.3">
      <c r="A52" s="35"/>
      <c r="B52" s="10" t="str">
        <f>CONCATENATE("          ","6381", " - ","BANK/CREDIT CARD FEES")</f>
        <v xml:space="preserve">          6381 - BANK/CREDIT CARD FEES</v>
      </c>
      <c r="C52" s="14"/>
      <c r="D52" s="2">
        <v>77.05</v>
      </c>
      <c r="E52" s="2">
        <v>135</v>
      </c>
      <c r="F52" s="2">
        <v>270</v>
      </c>
      <c r="G52" s="2">
        <v>135</v>
      </c>
      <c r="H52" s="2">
        <v>135</v>
      </c>
      <c r="I52" s="2">
        <v>135</v>
      </c>
      <c r="J52" s="2">
        <v>135</v>
      </c>
      <c r="K52" s="2">
        <v>135</v>
      </c>
      <c r="L52" s="2">
        <v>135</v>
      </c>
      <c r="M52" s="2">
        <v>135</v>
      </c>
      <c r="N52" s="2">
        <v>135</v>
      </c>
      <c r="O52" s="2">
        <v>135</v>
      </c>
      <c r="P52" s="9"/>
      <c r="Q52" s="2">
        <f>SUM(OSRRefD21_4_0x)+IFERROR(SUM(OSRRefE21_4_0x),0)</f>
        <v>1697.05</v>
      </c>
    </row>
    <row r="53" spans="1:17" s="34" customFormat="1" collapsed="1" x14ac:dyDescent="0.3">
      <c r="A53" s="35"/>
      <c r="B53" s="14" t="str">
        <f>CONCATENATE("     ","Depreciation                                      ")</f>
        <v xml:space="preserve">     Depreciation                                      </v>
      </c>
      <c r="C53" s="14"/>
      <c r="D53" s="1">
        <f>SUM(OSRRefD21_5x_0)</f>
        <v>273.51</v>
      </c>
      <c r="E53" s="1">
        <f>SUM(OSRRefE21_5x_0)</f>
        <v>273</v>
      </c>
      <c r="F53" s="1">
        <f>SUM(OSRRefE21_5x_1)</f>
        <v>273</v>
      </c>
      <c r="G53" s="1">
        <f>SUM(OSRRefE21_5x_2)</f>
        <v>273</v>
      </c>
      <c r="H53" s="1">
        <f>SUM(OSRRefE21_5x_3)</f>
        <v>273</v>
      </c>
      <c r="I53" s="1">
        <f>SUM(OSRRefE21_5x_4)</f>
        <v>273</v>
      </c>
      <c r="J53" s="1">
        <f>SUM(OSRRefE21_5x_5)</f>
        <v>273</v>
      </c>
      <c r="K53" s="1">
        <f>SUM(OSRRefE21_5x_6)</f>
        <v>273</v>
      </c>
      <c r="L53" s="1">
        <f>SUM(OSRRefE21_5x_7)</f>
        <v>273</v>
      </c>
      <c r="M53" s="1">
        <f>SUM(OSRRefE21_5x_8)</f>
        <v>273</v>
      </c>
      <c r="N53" s="1">
        <f>SUM(OSRRefE21_5x_9)</f>
        <v>273</v>
      </c>
      <c r="O53" s="1">
        <f>SUM(OSRRefE21_5x_10)</f>
        <v>273</v>
      </c>
      <c r="Q53" s="2">
        <f>SUM(OSRRefD20_5x)+IFERROR(SUM(OSRRefE20_5x),0)</f>
        <v>3276.51</v>
      </c>
    </row>
    <row r="54" spans="1:17" s="34" customFormat="1" hidden="1" outlineLevel="1" x14ac:dyDescent="0.3">
      <c r="A54" s="35"/>
      <c r="B54" s="10" t="str">
        <f>CONCATENATE("          ","6322", " - ","EQUIPMENT DEPRECIATION EXPENSE")</f>
        <v xml:space="preserve">          6322 - EQUIPMENT DEPRECIATION EXPENSE</v>
      </c>
      <c r="C54" s="14"/>
      <c r="D54" s="2">
        <v>273.51</v>
      </c>
      <c r="E54" s="2">
        <v>273</v>
      </c>
      <c r="F54" s="2">
        <v>273</v>
      </c>
      <c r="G54" s="2">
        <v>273</v>
      </c>
      <c r="H54" s="2">
        <v>273</v>
      </c>
      <c r="I54" s="2">
        <v>273</v>
      </c>
      <c r="J54" s="2">
        <v>273</v>
      </c>
      <c r="K54" s="2">
        <v>273</v>
      </c>
      <c r="L54" s="2">
        <v>273</v>
      </c>
      <c r="M54" s="2">
        <v>273</v>
      </c>
      <c r="N54" s="2">
        <v>273</v>
      </c>
      <c r="O54" s="2">
        <v>273</v>
      </c>
      <c r="P54" s="9"/>
      <c r="Q54" s="2">
        <f>SUM(OSRRefD21_5_0x)+IFERROR(SUM(OSRRefE21_5_0x),0)</f>
        <v>3276.51</v>
      </c>
    </row>
    <row r="55" spans="1:17" s="34" customFormat="1" collapsed="1" x14ac:dyDescent="0.3">
      <c r="A55" s="35"/>
      <c r="B55" s="14" t="str">
        <f>CONCATENATE("     ","Donations                                         ")</f>
        <v xml:space="preserve">     Donations                                         </v>
      </c>
      <c r="C55" s="14"/>
      <c r="D55" s="1">
        <f>SUM(OSRRefD21_6x_0)</f>
        <v>0</v>
      </c>
      <c r="E55" s="1">
        <f>SUM(OSRRefE21_6x_0)</f>
        <v>6500</v>
      </c>
      <c r="F55" s="1">
        <f>SUM(OSRRefE21_6x_1)</f>
        <v>6500</v>
      </c>
      <c r="G55" s="1">
        <f>SUM(OSRRefE21_6x_2)</f>
        <v>6500</v>
      </c>
      <c r="H55" s="1">
        <f>SUM(OSRRefE21_6x_3)</f>
        <v>6500</v>
      </c>
      <c r="I55" s="1">
        <f>SUM(OSRRefE21_6x_4)</f>
        <v>6500</v>
      </c>
      <c r="J55" s="1">
        <f>SUM(OSRRefE21_6x_5)</f>
        <v>6500</v>
      </c>
      <c r="K55" s="1">
        <f>SUM(OSRRefE21_6x_6)</f>
        <v>6500</v>
      </c>
      <c r="L55" s="1">
        <f>SUM(OSRRefE21_6x_7)</f>
        <v>6500</v>
      </c>
      <c r="M55" s="1">
        <f>SUM(OSRRefE21_6x_8)</f>
        <v>6500</v>
      </c>
      <c r="N55" s="1">
        <f>SUM(OSRRefE21_6x_9)</f>
        <v>6500</v>
      </c>
      <c r="O55" s="1">
        <f>SUM(OSRRefE21_6x_10)</f>
        <v>0</v>
      </c>
      <c r="Q55" s="2">
        <f>SUM(OSRRefD20_6x)+IFERROR(SUM(OSRRefE20_6x),0)</f>
        <v>65000</v>
      </c>
    </row>
    <row r="56" spans="1:17" s="34" customFormat="1" hidden="1" outlineLevel="1" x14ac:dyDescent="0.3">
      <c r="A56" s="35"/>
      <c r="B56" s="10" t="str">
        <f>CONCATENATE("          ","6399", " - ","DONATION-ON CAMPUS")</f>
        <v xml:space="preserve">          6399 - DONATION-ON CAMPUS</v>
      </c>
      <c r="C56" s="14"/>
      <c r="D56" s="2"/>
      <c r="E56" s="2">
        <v>6500</v>
      </c>
      <c r="F56" s="2">
        <v>6500</v>
      </c>
      <c r="G56" s="2">
        <v>6500</v>
      </c>
      <c r="H56" s="2">
        <v>6500</v>
      </c>
      <c r="I56" s="2">
        <v>6500</v>
      </c>
      <c r="J56" s="2">
        <v>6500</v>
      </c>
      <c r="K56" s="2">
        <v>6500</v>
      </c>
      <c r="L56" s="2">
        <v>6500</v>
      </c>
      <c r="M56" s="2">
        <v>6500</v>
      </c>
      <c r="N56" s="2">
        <v>6500</v>
      </c>
      <c r="O56" s="2"/>
      <c r="P56" s="9"/>
      <c r="Q56" s="2">
        <f>SUM(OSRRefD21_6_0x)+IFERROR(SUM(OSRRefE21_6_0x),0)</f>
        <v>65000</v>
      </c>
    </row>
    <row r="57" spans="1:17" s="34" customFormat="1" collapsed="1" x14ac:dyDescent="0.3">
      <c r="A57" s="35"/>
      <c r="B57" s="14" t="str">
        <f>CONCATENATE("     ","Employees' Appreciation                           ")</f>
        <v xml:space="preserve">     Employees' Appreciation                           </v>
      </c>
      <c r="C57" s="14"/>
      <c r="D57" s="1">
        <f>SUM(OSRRefD21_7x_0)</f>
        <v>0</v>
      </c>
      <c r="E57" s="1">
        <f>SUM(OSRRefE21_7x_0)</f>
        <v>150</v>
      </c>
      <c r="F57" s="1">
        <f>SUM(OSRRefE21_7x_1)</f>
        <v>150</v>
      </c>
      <c r="G57" s="1">
        <f>SUM(OSRRefE21_7x_2)</f>
        <v>150</v>
      </c>
      <c r="H57" s="1">
        <f>SUM(OSRRefE21_7x_3)</f>
        <v>150</v>
      </c>
      <c r="I57" s="1">
        <f>SUM(OSRRefE21_7x_4)</f>
        <v>150</v>
      </c>
      <c r="J57" s="1">
        <f>SUM(OSRRefE21_7x_5)</f>
        <v>150</v>
      </c>
      <c r="K57" s="1">
        <f>SUM(OSRRefE21_7x_6)</f>
        <v>150</v>
      </c>
      <c r="L57" s="1">
        <f>SUM(OSRRefE21_7x_7)</f>
        <v>150</v>
      </c>
      <c r="M57" s="1">
        <f>SUM(OSRRefE21_7x_8)</f>
        <v>150</v>
      </c>
      <c r="N57" s="1">
        <f>SUM(OSRRefE21_7x_9)</f>
        <v>150</v>
      </c>
      <c r="O57" s="1">
        <f>SUM(OSRRefE21_7x_10)</f>
        <v>150</v>
      </c>
      <c r="Q57" s="2">
        <f>SUM(OSRRefD20_7x)+IFERROR(SUM(OSRRefE20_7x),0)</f>
        <v>1650</v>
      </c>
    </row>
    <row r="58" spans="1:17" s="34" customFormat="1" hidden="1" outlineLevel="1" x14ac:dyDescent="0.3">
      <c r="A58" s="35"/>
      <c r="B58" s="10" t="str">
        <f>CONCATENATE("          ","6277", " - ","EMPLOYEE APPRECIATION")</f>
        <v xml:space="preserve">          6277 - EMPLOYEE APPRECIATION</v>
      </c>
      <c r="C58" s="14"/>
      <c r="D58" s="2"/>
      <c r="E58" s="2">
        <v>150</v>
      </c>
      <c r="F58" s="2">
        <v>150</v>
      </c>
      <c r="G58" s="2">
        <v>150</v>
      </c>
      <c r="H58" s="2">
        <v>150</v>
      </c>
      <c r="I58" s="2">
        <v>150</v>
      </c>
      <c r="J58" s="2">
        <v>150</v>
      </c>
      <c r="K58" s="2">
        <v>150</v>
      </c>
      <c r="L58" s="2">
        <v>150</v>
      </c>
      <c r="M58" s="2">
        <v>150</v>
      </c>
      <c r="N58" s="2">
        <v>150</v>
      </c>
      <c r="O58" s="2">
        <v>150</v>
      </c>
      <c r="P58" s="9"/>
      <c r="Q58" s="2">
        <f>SUM(OSRRefD21_7_0x)+IFERROR(SUM(OSRRefE21_7_0x),0)</f>
        <v>1650</v>
      </c>
    </row>
    <row r="59" spans="1:17" s="34" customFormat="1" collapsed="1" x14ac:dyDescent="0.3">
      <c r="A59" s="35"/>
      <c r="B59" s="14" t="str">
        <f>CONCATENATE("     ","Equipment Rental                                  ")</f>
        <v xml:space="preserve">     Equipment Rental                                  </v>
      </c>
      <c r="C59" s="14"/>
      <c r="D59" s="1">
        <f>SUM(OSRRefD21_8x_0)</f>
        <v>427.1</v>
      </c>
      <c r="E59" s="1">
        <f>SUM(OSRRefE21_8x_0)</f>
        <v>295</v>
      </c>
      <c r="F59" s="1">
        <f>SUM(OSRRefE21_8x_1)</f>
        <v>295</v>
      </c>
      <c r="G59" s="1">
        <f>SUM(OSRRefE21_8x_2)</f>
        <v>295</v>
      </c>
      <c r="H59" s="1">
        <f>SUM(OSRRefE21_8x_3)</f>
        <v>295</v>
      </c>
      <c r="I59" s="1">
        <f>SUM(OSRRefE21_8x_4)</f>
        <v>295</v>
      </c>
      <c r="J59" s="1">
        <f>SUM(OSRRefE21_8x_5)</f>
        <v>295</v>
      </c>
      <c r="K59" s="1">
        <f>SUM(OSRRefE21_8x_6)</f>
        <v>295</v>
      </c>
      <c r="L59" s="1">
        <f>SUM(OSRRefE21_8x_7)</f>
        <v>295</v>
      </c>
      <c r="M59" s="1">
        <f>SUM(OSRRefE21_8x_8)</f>
        <v>295</v>
      </c>
      <c r="N59" s="1">
        <f>SUM(OSRRefE21_8x_9)</f>
        <v>295</v>
      </c>
      <c r="O59" s="1">
        <f>SUM(OSRRefE21_8x_10)</f>
        <v>295</v>
      </c>
      <c r="Q59" s="2">
        <f>SUM(OSRRefD20_8x)+IFERROR(SUM(OSRRefE20_8x),0)</f>
        <v>3672.1</v>
      </c>
    </row>
    <row r="60" spans="1:17" s="34" customFormat="1" hidden="1" outlineLevel="1" x14ac:dyDescent="0.3">
      <c r="A60" s="35"/>
      <c r="B60" s="10" t="str">
        <f>CONCATENATE("          ","6351", " - ","EQUIPMENT RENTAL")</f>
        <v xml:space="preserve">          6351 - EQUIPMENT RENTAL</v>
      </c>
      <c r="C60" s="14"/>
      <c r="D60" s="2">
        <v>427.1</v>
      </c>
      <c r="E60" s="2">
        <v>295</v>
      </c>
      <c r="F60" s="2">
        <v>295</v>
      </c>
      <c r="G60" s="2">
        <v>295</v>
      </c>
      <c r="H60" s="2">
        <v>295</v>
      </c>
      <c r="I60" s="2">
        <v>295</v>
      </c>
      <c r="J60" s="2">
        <v>295</v>
      </c>
      <c r="K60" s="2">
        <v>295</v>
      </c>
      <c r="L60" s="2">
        <v>295</v>
      </c>
      <c r="M60" s="2">
        <v>295</v>
      </c>
      <c r="N60" s="2">
        <v>295</v>
      </c>
      <c r="O60" s="2">
        <v>295</v>
      </c>
      <c r="P60" s="9"/>
      <c r="Q60" s="2">
        <f>SUM(OSRRefD21_8_0x)+IFERROR(SUM(OSRRefE21_8_0x),0)</f>
        <v>3672.1</v>
      </c>
    </row>
    <row r="61" spans="1:17" s="34" customFormat="1" collapsed="1" x14ac:dyDescent="0.3">
      <c r="A61" s="35"/>
      <c r="B61" s="14" t="str">
        <f>CONCATENATE("     ","General                                           ")</f>
        <v xml:space="preserve">     General                                           </v>
      </c>
      <c r="C61" s="14"/>
      <c r="D61" s="1">
        <f>SUM(OSRRefD21_9x_0)</f>
        <v>88.38</v>
      </c>
      <c r="E61" s="1">
        <f>SUM(OSRRefE21_9x_0)</f>
        <v>180</v>
      </c>
      <c r="F61" s="1">
        <f>SUM(OSRRefE21_9x_1)</f>
        <v>210</v>
      </c>
      <c r="G61" s="1">
        <f>SUM(OSRRefE21_9x_2)</f>
        <v>180</v>
      </c>
      <c r="H61" s="1">
        <f>SUM(OSRRefE21_9x_3)</f>
        <v>180</v>
      </c>
      <c r="I61" s="1">
        <f>SUM(OSRRefE21_9x_4)</f>
        <v>180</v>
      </c>
      <c r="J61" s="1">
        <f>SUM(OSRRefE21_9x_5)</f>
        <v>180</v>
      </c>
      <c r="K61" s="1">
        <f>SUM(OSRRefE21_9x_6)</f>
        <v>180</v>
      </c>
      <c r="L61" s="1">
        <f>SUM(OSRRefE21_9x_7)</f>
        <v>190</v>
      </c>
      <c r="M61" s="1">
        <f>SUM(OSRRefE21_9x_8)</f>
        <v>190</v>
      </c>
      <c r="N61" s="1">
        <f>SUM(OSRRefE21_9x_9)</f>
        <v>190</v>
      </c>
      <c r="O61" s="1">
        <f>SUM(OSRRefE21_9x_10)</f>
        <v>190</v>
      </c>
      <c r="Q61" s="2">
        <f>SUM(OSRRefD20_9x)+IFERROR(SUM(OSRRefE20_9x),0)</f>
        <v>2138.38</v>
      </c>
    </row>
    <row r="62" spans="1:17" s="34" customFormat="1" hidden="1" outlineLevel="1" x14ac:dyDescent="0.3">
      <c r="A62" s="35"/>
      <c r="B62" s="10" t="str">
        <f>CONCATENATE("          ","6279", " - ","GENERAL EXPENSE")</f>
        <v xml:space="preserve">          6279 - GENERAL EXPENSE</v>
      </c>
      <c r="C62" s="14"/>
      <c r="D62" s="2">
        <v>88.38</v>
      </c>
      <c r="E62" s="2">
        <v>180</v>
      </c>
      <c r="F62" s="2">
        <v>210</v>
      </c>
      <c r="G62" s="2">
        <v>180</v>
      </c>
      <c r="H62" s="2">
        <v>180</v>
      </c>
      <c r="I62" s="2">
        <v>180</v>
      </c>
      <c r="J62" s="2">
        <v>180</v>
      </c>
      <c r="K62" s="2">
        <v>180</v>
      </c>
      <c r="L62" s="2">
        <v>190</v>
      </c>
      <c r="M62" s="2">
        <v>190</v>
      </c>
      <c r="N62" s="2">
        <v>190</v>
      </c>
      <c r="O62" s="2">
        <v>190</v>
      </c>
      <c r="P62" s="9"/>
      <c r="Q62" s="2">
        <f>SUM(OSRRefD21_9_0x)+IFERROR(SUM(OSRRefE21_9_0x),0)</f>
        <v>2138.38</v>
      </c>
    </row>
    <row r="63" spans="1:17" s="34" customFormat="1" collapsed="1" x14ac:dyDescent="0.3">
      <c r="A63" s="35"/>
      <c r="B63" s="14" t="str">
        <f>CONCATENATE("     ","R/H Commissions                                   ")</f>
        <v xml:space="preserve">     R/H Commissions                                   </v>
      </c>
      <c r="C63" s="14"/>
      <c r="D63" s="1">
        <f>SUM(OSRRefD21_10x_0)</f>
        <v>1568</v>
      </c>
      <c r="E63" s="1">
        <f>SUM(OSRRefE21_10x_0)</f>
        <v>11088</v>
      </c>
      <c r="F63" s="1">
        <f>SUM(OSRRefE21_10x_1)</f>
        <v>44352</v>
      </c>
      <c r="G63" s="1">
        <f>SUM(OSRRefE21_10x_2)</f>
        <v>55440</v>
      </c>
      <c r="H63" s="1">
        <f>SUM(OSRRefE21_10x_3)</f>
        <v>29520</v>
      </c>
      <c r="I63" s="1">
        <f>SUM(OSRRefE21_10x_4)</f>
        <v>34848</v>
      </c>
      <c r="J63" s="1">
        <f>SUM(OSRRefE21_10x_5)</f>
        <v>17424</v>
      </c>
      <c r="K63" s="1">
        <f>SUM(OSRRefE21_10x_6)</f>
        <v>44352</v>
      </c>
      <c r="L63" s="1">
        <f>SUM(OSRRefE21_10x_7)</f>
        <v>42768</v>
      </c>
      <c r="M63" s="1">
        <f>SUM(OSRRefE21_10x_8)</f>
        <v>42768</v>
      </c>
      <c r="N63" s="1">
        <f>SUM(OSRRefE21_10x_9)</f>
        <v>19440</v>
      </c>
      <c r="O63" s="1">
        <f>SUM(OSRRefE21_10x_10)</f>
        <v>0</v>
      </c>
      <c r="Q63" s="2">
        <f>SUM(OSRRefD20_10x)+IFERROR(SUM(OSRRefE20_10x),0)</f>
        <v>343568</v>
      </c>
    </row>
    <row r="64" spans="1:17" s="34" customFormat="1" hidden="1" outlineLevel="1" x14ac:dyDescent="0.3">
      <c r="A64" s="35"/>
      <c r="B64" s="10" t="str">
        <f>CONCATENATE("          ","6387", " - ","COMMISSION DUE HOUSING")</f>
        <v xml:space="preserve">          6387 - COMMISSION DUE HOUSING</v>
      </c>
      <c r="C64" s="14"/>
      <c r="D64" s="2">
        <v>1568</v>
      </c>
      <c r="E64" s="2">
        <v>11088</v>
      </c>
      <c r="F64" s="2">
        <v>44352</v>
      </c>
      <c r="G64" s="2">
        <v>55440</v>
      </c>
      <c r="H64" s="2">
        <v>29520</v>
      </c>
      <c r="I64" s="2">
        <v>34848</v>
      </c>
      <c r="J64" s="2">
        <v>17424</v>
      </c>
      <c r="K64" s="2">
        <v>44352</v>
      </c>
      <c r="L64" s="2">
        <v>42768</v>
      </c>
      <c r="M64" s="2">
        <v>42768</v>
      </c>
      <c r="N64" s="2">
        <v>19440</v>
      </c>
      <c r="O64" s="2"/>
      <c r="P64" s="9"/>
      <c r="Q64" s="2">
        <f>SUM(OSRRefD21_10_0x)+IFERROR(SUM(OSRRefE21_10_0x),0)</f>
        <v>343568</v>
      </c>
    </row>
    <row r="65" spans="1:17" s="34" customFormat="1" collapsed="1" x14ac:dyDescent="0.3">
      <c r="A65" s="35"/>
      <c r="B65" s="14" t="str">
        <f>CONCATENATE("     ","Repair and Maintenance                            ")</f>
        <v xml:space="preserve">     Repair and Maintenance                            </v>
      </c>
      <c r="C65" s="14"/>
      <c r="D65" s="1">
        <f>SUM(OSRRefD21_11x_0)</f>
        <v>629</v>
      </c>
      <c r="E65" s="1">
        <f>SUM(OSRRefE21_11x_0)</f>
        <v>200</v>
      </c>
      <c r="F65" s="1">
        <f>SUM(OSRRefE21_11x_1)</f>
        <v>2200</v>
      </c>
      <c r="G65" s="1">
        <f>SUM(OSRRefE21_11x_2)</f>
        <v>200</v>
      </c>
      <c r="H65" s="1">
        <f>SUM(OSRRefE21_11x_3)</f>
        <v>200</v>
      </c>
      <c r="I65" s="1">
        <f>SUM(OSRRefE21_11x_4)</f>
        <v>200</v>
      </c>
      <c r="J65" s="1">
        <f>SUM(OSRRefE21_11x_5)</f>
        <v>2200</v>
      </c>
      <c r="K65" s="1">
        <f>SUM(OSRRefE21_11x_6)</f>
        <v>200</v>
      </c>
      <c r="L65" s="1">
        <f>SUM(OSRRefE21_11x_7)</f>
        <v>200</v>
      </c>
      <c r="M65" s="1">
        <f>SUM(OSRRefE21_11x_8)</f>
        <v>2200</v>
      </c>
      <c r="N65" s="1">
        <f>SUM(OSRRefE21_11x_9)</f>
        <v>200</v>
      </c>
      <c r="O65" s="1">
        <f>SUM(OSRRefE21_11x_10)</f>
        <v>200</v>
      </c>
      <c r="Q65" s="2">
        <f>SUM(OSRRefD20_11x)+IFERROR(SUM(OSRRefE20_11x),0)</f>
        <v>8829</v>
      </c>
    </row>
    <row r="66" spans="1:17" s="34" customFormat="1" hidden="1" outlineLevel="1" x14ac:dyDescent="0.3">
      <c r="A66" s="35"/>
      <c r="B66" s="10" t="str">
        <f>CONCATENATE("          ","6373", " - ","MAINTENANCE CONTRACTS")</f>
        <v xml:space="preserve">          6373 - MAINTENANCE CONTRACTS</v>
      </c>
      <c r="C66" s="14"/>
      <c r="D66" s="2">
        <v>14</v>
      </c>
      <c r="E66" s="2"/>
      <c r="F66" s="2">
        <v>2000</v>
      </c>
      <c r="G66" s="2">
        <v>0</v>
      </c>
      <c r="H66" s="2"/>
      <c r="I66" s="2"/>
      <c r="J66" s="2">
        <v>2000</v>
      </c>
      <c r="K66" s="2"/>
      <c r="L66" s="2"/>
      <c r="M66" s="2">
        <v>2000</v>
      </c>
      <c r="N66" s="2"/>
      <c r="O66" s="2"/>
      <c r="P66" s="9"/>
      <c r="Q66" s="2">
        <f>SUM(OSRRefD21_11_0x)+IFERROR(SUM(OSRRefE21_11_0x),0)</f>
        <v>6014</v>
      </c>
    </row>
    <row r="67" spans="1:17" s="34" customFormat="1" hidden="1" outlineLevel="1" x14ac:dyDescent="0.3">
      <c r="A67" s="35"/>
      <c r="B67" s="10" t="str">
        <f>CONCATENATE("          ","6375", " - ","OUTSIDE REPAIRS &amp; MAINTENANCE")</f>
        <v xml:space="preserve">          6375 - OUTSIDE REPAIRS &amp; MAINTENANCE</v>
      </c>
      <c r="C67" s="14"/>
      <c r="D67" s="2">
        <v>615</v>
      </c>
      <c r="E67" s="2">
        <v>200</v>
      </c>
      <c r="F67" s="2">
        <v>200</v>
      </c>
      <c r="G67" s="2">
        <v>200</v>
      </c>
      <c r="H67" s="2">
        <v>200</v>
      </c>
      <c r="I67" s="2">
        <v>200</v>
      </c>
      <c r="J67" s="2">
        <v>200</v>
      </c>
      <c r="K67" s="2">
        <v>200</v>
      </c>
      <c r="L67" s="2">
        <v>200</v>
      </c>
      <c r="M67" s="2">
        <v>200</v>
      </c>
      <c r="N67" s="2">
        <v>200</v>
      </c>
      <c r="O67" s="2">
        <v>200</v>
      </c>
      <c r="P67" s="9"/>
      <c r="Q67" s="2">
        <f>SUM(OSRRefD21_11_1x)+IFERROR(SUM(OSRRefE21_11_1x),0)</f>
        <v>2815</v>
      </c>
    </row>
    <row r="68" spans="1:17" s="34" customFormat="1" collapsed="1" x14ac:dyDescent="0.3">
      <c r="A68" s="35"/>
      <c r="B68" s="14" t="str">
        <f>CONCATENATE("     ","Services                                          ")</f>
        <v xml:space="preserve">     Services                                          </v>
      </c>
      <c r="C68" s="14"/>
      <c r="D68" s="1">
        <f>SUM(OSRRefD21_12x_0)</f>
        <v>5812.9</v>
      </c>
      <c r="E68" s="1">
        <f>SUM(OSRRefE21_12x_0)</f>
        <v>7150</v>
      </c>
      <c r="F68" s="1">
        <f>SUM(OSRRefE21_12x_1)</f>
        <v>7150</v>
      </c>
      <c r="G68" s="1">
        <f>SUM(OSRRefE21_12x_2)</f>
        <v>7150</v>
      </c>
      <c r="H68" s="1">
        <f>SUM(OSRRefE21_12x_3)</f>
        <v>7150</v>
      </c>
      <c r="I68" s="1">
        <f>SUM(OSRRefE21_12x_4)</f>
        <v>7150</v>
      </c>
      <c r="J68" s="1">
        <f>SUM(OSRRefE21_12x_5)</f>
        <v>7422</v>
      </c>
      <c r="K68" s="1">
        <f>SUM(OSRRefE21_12x_6)</f>
        <v>7422</v>
      </c>
      <c r="L68" s="1">
        <f>SUM(OSRRefE21_12x_7)</f>
        <v>7422</v>
      </c>
      <c r="M68" s="1">
        <f>SUM(OSRRefE21_12x_8)</f>
        <v>7422</v>
      </c>
      <c r="N68" s="1">
        <f>SUM(OSRRefE21_12x_9)</f>
        <v>7422</v>
      </c>
      <c r="O68" s="1">
        <f>SUM(OSRRefE21_12x_10)</f>
        <v>7418</v>
      </c>
      <c r="Q68" s="2">
        <f>SUM(OSRRefD20_12x)+IFERROR(SUM(OSRRefE20_12x),0)</f>
        <v>86090.9</v>
      </c>
    </row>
    <row r="69" spans="1:17" s="34" customFormat="1" hidden="1" outlineLevel="1" x14ac:dyDescent="0.3">
      <c r="A69" s="35"/>
      <c r="B69" s="10" t="str">
        <f>CONCATENATE("          ","6282", " - ","JANITORIAL/EXTERMINATOR EXPENS")</f>
        <v xml:space="preserve">          6282 - JANITORIAL/EXTERMINATOR EXPENS</v>
      </c>
      <c r="C69" s="14"/>
      <c r="D69" s="2">
        <v>421.34</v>
      </c>
      <c r="E69" s="2">
        <v>450</v>
      </c>
      <c r="F69" s="2">
        <v>450</v>
      </c>
      <c r="G69" s="2">
        <v>450</v>
      </c>
      <c r="H69" s="2">
        <v>450</v>
      </c>
      <c r="I69" s="2">
        <v>450</v>
      </c>
      <c r="J69" s="2">
        <v>450</v>
      </c>
      <c r="K69" s="2">
        <v>450</v>
      </c>
      <c r="L69" s="2">
        <v>450</v>
      </c>
      <c r="M69" s="2">
        <v>450</v>
      </c>
      <c r="N69" s="2">
        <v>450</v>
      </c>
      <c r="O69" s="2">
        <v>450</v>
      </c>
      <c r="P69" s="9"/>
      <c r="Q69" s="2">
        <f>SUM(OSRRefD21_12_0x)+IFERROR(SUM(OSRRefE21_12_0x),0)</f>
        <v>5371.34</v>
      </c>
    </row>
    <row r="70" spans="1:17" s="34" customFormat="1" hidden="1" outlineLevel="1" x14ac:dyDescent="0.3">
      <c r="A70" s="35"/>
      <c r="B70" s="10" t="str">
        <f>CONCATENATE("          ","6284", " - ","TRASH REMOVAL EXPENSE")</f>
        <v xml:space="preserve">          6284 - TRASH REMOVAL EXPENSE</v>
      </c>
      <c r="C70" s="14"/>
      <c r="D70" s="2"/>
      <c r="E70" s="2">
        <v>50</v>
      </c>
      <c r="F70" s="2">
        <v>50</v>
      </c>
      <c r="G70" s="2">
        <v>50</v>
      </c>
      <c r="H70" s="2">
        <v>50</v>
      </c>
      <c r="I70" s="2">
        <v>50</v>
      </c>
      <c r="J70" s="2">
        <v>50</v>
      </c>
      <c r="K70" s="2">
        <v>50</v>
      </c>
      <c r="L70" s="2">
        <v>50</v>
      </c>
      <c r="M70" s="2">
        <v>50</v>
      </c>
      <c r="N70" s="2">
        <v>50</v>
      </c>
      <c r="O70" s="2">
        <v>50</v>
      </c>
      <c r="P70" s="9"/>
      <c r="Q70" s="2">
        <f>SUM(OSRRefD21_12_1x)+IFERROR(SUM(OSRRefE21_12_1x),0)</f>
        <v>550</v>
      </c>
    </row>
    <row r="71" spans="1:17" s="34" customFormat="1" hidden="1" outlineLevel="1" x14ac:dyDescent="0.3">
      <c r="A71" s="35"/>
      <c r="B71" s="10" t="str">
        <f>CONCATENATE("          ","6285", " - ","JANITORIAL SERVICES")</f>
        <v xml:space="preserve">          6285 - JANITORIAL SERVICES</v>
      </c>
      <c r="C71" s="14"/>
      <c r="D71" s="2">
        <v>4468.33</v>
      </c>
      <c r="E71" s="2">
        <v>4983</v>
      </c>
      <c r="F71" s="2">
        <v>4983</v>
      </c>
      <c r="G71" s="2">
        <v>4983</v>
      </c>
      <c r="H71" s="2">
        <v>4983</v>
      </c>
      <c r="I71" s="2">
        <v>4983</v>
      </c>
      <c r="J71" s="2">
        <v>5255</v>
      </c>
      <c r="K71" s="2">
        <v>5255</v>
      </c>
      <c r="L71" s="2">
        <v>5255</v>
      </c>
      <c r="M71" s="2">
        <v>5255</v>
      </c>
      <c r="N71" s="2">
        <v>5255</v>
      </c>
      <c r="O71" s="2">
        <v>5255</v>
      </c>
      <c r="P71" s="9"/>
      <c r="Q71" s="2">
        <f>SUM(OSRRefD21_12_2x)+IFERROR(SUM(OSRRefE21_12_2x),0)</f>
        <v>60913.33</v>
      </c>
    </row>
    <row r="72" spans="1:17" s="34" customFormat="1" hidden="1" outlineLevel="1" x14ac:dyDescent="0.3">
      <c r="A72" s="35"/>
      <c r="B72" s="10" t="str">
        <f>CONCATENATE("          ","6286", " - ","LAUNDRY EXPENSE")</f>
        <v xml:space="preserve">          6286 - LAUNDRY EXPENSE</v>
      </c>
      <c r="C72" s="14"/>
      <c r="D72" s="2">
        <v>923.23</v>
      </c>
      <c r="E72" s="2">
        <v>1667</v>
      </c>
      <c r="F72" s="2">
        <v>1667</v>
      </c>
      <c r="G72" s="2">
        <v>1667</v>
      </c>
      <c r="H72" s="2">
        <v>1667</v>
      </c>
      <c r="I72" s="2">
        <v>1667</v>
      </c>
      <c r="J72" s="2">
        <v>1667</v>
      </c>
      <c r="K72" s="2">
        <v>1667</v>
      </c>
      <c r="L72" s="2">
        <v>1667</v>
      </c>
      <c r="M72" s="2">
        <v>1667</v>
      </c>
      <c r="N72" s="2">
        <v>1667</v>
      </c>
      <c r="O72" s="2">
        <v>1663</v>
      </c>
      <c r="P72" s="9"/>
      <c r="Q72" s="2">
        <f>SUM(OSRRefD21_12_3x)+IFERROR(SUM(OSRRefE21_12_3x),0)</f>
        <v>19256.23</v>
      </c>
    </row>
    <row r="73" spans="1:17" s="34" customFormat="1" collapsed="1" x14ac:dyDescent="0.3">
      <c r="A73" s="35"/>
      <c r="B73" s="14" t="str">
        <f>CONCATENATE("     ","Subscriptions &amp; Dues                              ")</f>
        <v xml:space="preserve">     Subscriptions &amp; Dues                              </v>
      </c>
      <c r="C73" s="14"/>
      <c r="D73" s="1">
        <f>SUM(OSRRefD21_13x_0)</f>
        <v>0</v>
      </c>
      <c r="E73" s="1">
        <f>SUM(OSRRefE21_13x_0)</f>
        <v>0</v>
      </c>
      <c r="F73" s="1">
        <f>SUM(OSRRefE21_13x_1)</f>
        <v>0</v>
      </c>
      <c r="G73" s="1">
        <f>SUM(OSRRefE21_13x_2)</f>
        <v>0</v>
      </c>
      <c r="H73" s="1">
        <f>SUM(OSRRefE21_13x_3)</f>
        <v>795</v>
      </c>
      <c r="I73" s="1">
        <f>SUM(OSRRefE21_13x_4)</f>
        <v>0</v>
      </c>
      <c r="J73" s="1">
        <f>SUM(OSRRefE21_13x_5)</f>
        <v>0</v>
      </c>
      <c r="K73" s="1">
        <f>SUM(OSRRefE21_13x_6)</f>
        <v>0</v>
      </c>
      <c r="L73" s="1">
        <f>SUM(OSRRefE21_13x_7)</f>
        <v>0</v>
      </c>
      <c r="M73" s="1">
        <f>SUM(OSRRefE21_13x_8)</f>
        <v>0</v>
      </c>
      <c r="N73" s="1">
        <f>SUM(OSRRefE21_13x_9)</f>
        <v>0</v>
      </c>
      <c r="O73" s="1">
        <f>SUM(OSRRefE21_13x_10)</f>
        <v>0</v>
      </c>
      <c r="Q73" s="2">
        <f>SUM(OSRRefD20_13x)+IFERROR(SUM(OSRRefE20_13x),0)</f>
        <v>795</v>
      </c>
    </row>
    <row r="74" spans="1:17" s="34" customFormat="1" hidden="1" outlineLevel="1" x14ac:dyDescent="0.3">
      <c r="A74" s="35"/>
      <c r="B74" s="10" t="str">
        <f>CONCATENATE("          ","6258", " - ","MEMBERSHIP DUES")</f>
        <v xml:space="preserve">          6258 - MEMBERSHIP DUES</v>
      </c>
      <c r="C74" s="14"/>
      <c r="D74" s="2"/>
      <c r="E74" s="2"/>
      <c r="F74" s="2"/>
      <c r="G74" s="2"/>
      <c r="H74" s="2">
        <v>795</v>
      </c>
      <c r="I74" s="2"/>
      <c r="J74" s="2"/>
      <c r="K74" s="2"/>
      <c r="L74" s="2"/>
      <c r="M74" s="2"/>
      <c r="N74" s="2"/>
      <c r="O74" s="2"/>
      <c r="P74" s="9"/>
      <c r="Q74" s="2">
        <f>SUM(OSRRefD21_13_0x)+IFERROR(SUM(OSRRefE21_13_0x),0)</f>
        <v>795</v>
      </c>
    </row>
    <row r="75" spans="1:17" s="34" customFormat="1" collapsed="1" x14ac:dyDescent="0.3">
      <c r="A75" s="35"/>
      <c r="B75" s="14" t="str">
        <f>CONCATENATE("     ","Supplies                                          ")</f>
        <v xml:space="preserve">     Supplies                                          </v>
      </c>
      <c r="C75" s="14"/>
      <c r="D75" s="1">
        <f>SUM(OSRRefD21_14x_0)</f>
        <v>5201.6799999999994</v>
      </c>
      <c r="E75" s="1">
        <f>SUM(OSRRefE21_14x_0)</f>
        <v>13066</v>
      </c>
      <c r="F75" s="1">
        <f>SUM(OSRRefE21_14x_1)</f>
        <v>13066</v>
      </c>
      <c r="G75" s="1">
        <f>SUM(OSRRefE21_14x_2)</f>
        <v>13066</v>
      </c>
      <c r="H75" s="1">
        <f>SUM(OSRRefE21_14x_3)</f>
        <v>13066</v>
      </c>
      <c r="I75" s="1">
        <f>SUM(OSRRefE21_14x_4)</f>
        <v>13066</v>
      </c>
      <c r="J75" s="1">
        <f>SUM(OSRRefE21_14x_5)</f>
        <v>13066</v>
      </c>
      <c r="K75" s="1">
        <f>SUM(OSRRefE21_14x_6)</f>
        <v>13066</v>
      </c>
      <c r="L75" s="1">
        <f>SUM(OSRRefE21_14x_7)</f>
        <v>13066</v>
      </c>
      <c r="M75" s="1">
        <f>SUM(OSRRefE21_14x_8)</f>
        <v>13066</v>
      </c>
      <c r="N75" s="1">
        <f>SUM(OSRRefE21_14x_9)</f>
        <v>13066</v>
      </c>
      <c r="O75" s="1">
        <f>SUM(OSRRefE21_14x_10)</f>
        <v>13064</v>
      </c>
      <c r="Q75" s="2">
        <f>SUM(OSRRefD20_14x)+IFERROR(SUM(OSRRefE20_14x),0)</f>
        <v>148925.68</v>
      </c>
    </row>
    <row r="76" spans="1:17" s="34" customFormat="1" hidden="1" outlineLevel="1" x14ac:dyDescent="0.3">
      <c r="A76" s="35"/>
      <c r="B76" s="10" t="str">
        <f>CONCATENATE("          ","6237", " - ","JANITORIAL SUPPLIES")</f>
        <v xml:space="preserve">          6237 - JANITORIAL SUPPLIES</v>
      </c>
      <c r="C76" s="14"/>
      <c r="D76" s="2">
        <v>3701.95</v>
      </c>
      <c r="E76" s="2">
        <v>3750</v>
      </c>
      <c r="F76" s="2">
        <v>3750</v>
      </c>
      <c r="G76" s="2">
        <v>3750</v>
      </c>
      <c r="H76" s="2">
        <v>3750</v>
      </c>
      <c r="I76" s="2">
        <v>3750</v>
      </c>
      <c r="J76" s="2">
        <v>3750</v>
      </c>
      <c r="K76" s="2">
        <v>3750</v>
      </c>
      <c r="L76" s="2">
        <v>3750</v>
      </c>
      <c r="M76" s="2">
        <v>3750</v>
      </c>
      <c r="N76" s="2">
        <v>3750</v>
      </c>
      <c r="O76" s="2">
        <v>3750</v>
      </c>
      <c r="P76" s="9"/>
      <c r="Q76" s="2">
        <f>SUM(OSRRefD21_14_0x)+IFERROR(SUM(OSRRefE21_14_0x),0)</f>
        <v>44951.95</v>
      </c>
    </row>
    <row r="77" spans="1:17" s="34" customFormat="1" hidden="1" outlineLevel="1" x14ac:dyDescent="0.3">
      <c r="A77" s="35"/>
      <c r="B77" s="10" t="str">
        <f>CONCATENATE("          ","6239", " - ","KITCHEN SUPPLIES")</f>
        <v xml:space="preserve">          6239 - KITCHEN SUPPLIES</v>
      </c>
      <c r="C77" s="14"/>
      <c r="D77" s="2"/>
      <c r="E77" s="2">
        <v>1800</v>
      </c>
      <c r="F77" s="2">
        <v>1800</v>
      </c>
      <c r="G77" s="2">
        <v>1800</v>
      </c>
      <c r="H77" s="2">
        <v>1800</v>
      </c>
      <c r="I77" s="2">
        <v>1800</v>
      </c>
      <c r="J77" s="2">
        <v>1800</v>
      </c>
      <c r="K77" s="2">
        <v>1800</v>
      </c>
      <c r="L77" s="2">
        <v>1800</v>
      </c>
      <c r="M77" s="2">
        <v>1800</v>
      </c>
      <c r="N77" s="2">
        <v>1800</v>
      </c>
      <c r="O77" s="2">
        <v>1800</v>
      </c>
      <c r="P77" s="9"/>
      <c r="Q77" s="2">
        <f>SUM(OSRRefD21_14_1x)+IFERROR(SUM(OSRRefE21_14_1x),0)</f>
        <v>19800</v>
      </c>
    </row>
    <row r="78" spans="1:17" s="34" customFormat="1" hidden="1" outlineLevel="1" x14ac:dyDescent="0.3">
      <c r="A78" s="35"/>
      <c r="B78" s="10" t="str">
        <f>CONCATENATE("          ","6241", " - ","OFFICE EXPENSE")</f>
        <v xml:space="preserve">          6241 - OFFICE EXPENSE</v>
      </c>
      <c r="C78" s="14"/>
      <c r="D78" s="2">
        <v>436.66</v>
      </c>
      <c r="E78" s="2">
        <v>820</v>
      </c>
      <c r="F78" s="2">
        <v>820</v>
      </c>
      <c r="G78" s="2">
        <v>820</v>
      </c>
      <c r="H78" s="2">
        <v>820</v>
      </c>
      <c r="I78" s="2">
        <v>820</v>
      </c>
      <c r="J78" s="2">
        <v>820</v>
      </c>
      <c r="K78" s="2">
        <v>820</v>
      </c>
      <c r="L78" s="2">
        <v>820</v>
      </c>
      <c r="M78" s="2">
        <v>820</v>
      </c>
      <c r="N78" s="2">
        <v>820</v>
      </c>
      <c r="O78" s="2">
        <v>820</v>
      </c>
      <c r="P78" s="9"/>
      <c r="Q78" s="2">
        <f>SUM(OSRRefD21_14_2x)+IFERROR(SUM(OSRRefE21_14_2x),0)</f>
        <v>9456.66</v>
      </c>
    </row>
    <row r="79" spans="1:17" s="34" customFormat="1" hidden="1" outlineLevel="1" x14ac:dyDescent="0.3">
      <c r="A79" s="35"/>
      <c r="B79" s="10" t="str">
        <f>CONCATENATE("          ","6243", " - ","PAPER SUPPLIES")</f>
        <v xml:space="preserve">          6243 - PAPER SUPPLIES</v>
      </c>
      <c r="C79" s="14"/>
      <c r="D79" s="2">
        <v>1063.07</v>
      </c>
      <c r="E79" s="2">
        <v>6300</v>
      </c>
      <c r="F79" s="2">
        <v>6300</v>
      </c>
      <c r="G79" s="2">
        <v>6300</v>
      </c>
      <c r="H79" s="2">
        <v>6300</v>
      </c>
      <c r="I79" s="2">
        <v>6300</v>
      </c>
      <c r="J79" s="2">
        <v>6300</v>
      </c>
      <c r="K79" s="2">
        <v>6300</v>
      </c>
      <c r="L79" s="2">
        <v>6300</v>
      </c>
      <c r="M79" s="2">
        <v>6300</v>
      </c>
      <c r="N79" s="2">
        <v>6300</v>
      </c>
      <c r="O79" s="2">
        <v>6300</v>
      </c>
      <c r="P79" s="9"/>
      <c r="Q79" s="2">
        <f>SUM(OSRRefD21_14_3x)+IFERROR(SUM(OSRRefE21_14_3x),0)</f>
        <v>70363.070000000007</v>
      </c>
    </row>
    <row r="80" spans="1:17" s="34" customFormat="1" hidden="1" outlineLevel="1" x14ac:dyDescent="0.3">
      <c r="A80" s="35"/>
      <c r="B80" s="10" t="str">
        <f>CONCATENATE("          ","6244", " - ","SAFETY SUPPLY EXPENSE")</f>
        <v xml:space="preserve">          6244 - SAFETY SUPPLY EXPENSE</v>
      </c>
      <c r="C80" s="14"/>
      <c r="D80" s="2"/>
      <c r="E80" s="2">
        <v>200</v>
      </c>
      <c r="F80" s="2">
        <v>200</v>
      </c>
      <c r="G80" s="2">
        <v>200</v>
      </c>
      <c r="H80" s="2">
        <v>200</v>
      </c>
      <c r="I80" s="2">
        <v>200</v>
      </c>
      <c r="J80" s="2">
        <v>200</v>
      </c>
      <c r="K80" s="2">
        <v>200</v>
      </c>
      <c r="L80" s="2">
        <v>200</v>
      </c>
      <c r="M80" s="2">
        <v>200</v>
      </c>
      <c r="N80" s="2">
        <v>200</v>
      </c>
      <c r="O80" s="2">
        <v>200</v>
      </c>
      <c r="P80" s="9"/>
      <c r="Q80" s="2">
        <f>SUM(OSRRefD21_14_4x)+IFERROR(SUM(OSRRefE21_14_4x),0)</f>
        <v>2200</v>
      </c>
    </row>
    <row r="81" spans="1:17" s="34" customFormat="1" hidden="1" outlineLevel="1" x14ac:dyDescent="0.3">
      <c r="A81" s="35"/>
      <c r="B81" s="10" t="str">
        <f>CONCATENATE("          ","6248", " - ","UNIFORMS")</f>
        <v xml:space="preserve">          6248 - UNIFORMS</v>
      </c>
      <c r="C81" s="14"/>
      <c r="D81" s="2"/>
      <c r="E81" s="2">
        <v>196</v>
      </c>
      <c r="F81" s="2">
        <v>196</v>
      </c>
      <c r="G81" s="2">
        <v>196</v>
      </c>
      <c r="H81" s="2">
        <v>196</v>
      </c>
      <c r="I81" s="2">
        <v>196</v>
      </c>
      <c r="J81" s="2">
        <v>196</v>
      </c>
      <c r="K81" s="2">
        <v>196</v>
      </c>
      <c r="L81" s="2">
        <v>196</v>
      </c>
      <c r="M81" s="2">
        <v>196</v>
      </c>
      <c r="N81" s="2">
        <v>196</v>
      </c>
      <c r="O81" s="2">
        <v>194</v>
      </c>
      <c r="P81" s="9"/>
      <c r="Q81" s="2">
        <f>SUM(OSRRefD21_14_5x)+IFERROR(SUM(OSRRefE21_14_5x),0)</f>
        <v>2154</v>
      </c>
    </row>
    <row r="82" spans="1:17" s="34" customFormat="1" collapsed="1" x14ac:dyDescent="0.3">
      <c r="A82" s="35"/>
      <c r="B82" s="14" t="str">
        <f>CONCATENATE("     ","Telephone/Data Lines                              ")</f>
        <v xml:space="preserve">     Telephone/Data Lines                              </v>
      </c>
      <c r="C82" s="14"/>
      <c r="D82" s="1">
        <f>SUM(OSRRefD21_15x_0)</f>
        <v>217</v>
      </c>
      <c r="E82" s="1">
        <f>SUM(OSRRefE21_15x_0)</f>
        <v>218</v>
      </c>
      <c r="F82" s="1">
        <f>SUM(OSRRefE21_15x_1)</f>
        <v>218</v>
      </c>
      <c r="G82" s="1">
        <f>SUM(OSRRefE21_15x_2)</f>
        <v>218</v>
      </c>
      <c r="H82" s="1">
        <f>SUM(OSRRefE21_15x_3)</f>
        <v>218</v>
      </c>
      <c r="I82" s="1">
        <f>SUM(OSRRefE21_15x_4)</f>
        <v>218</v>
      </c>
      <c r="J82" s="1">
        <f>SUM(OSRRefE21_15x_5)</f>
        <v>218</v>
      </c>
      <c r="K82" s="1">
        <f>SUM(OSRRefE21_15x_6)</f>
        <v>218</v>
      </c>
      <c r="L82" s="1">
        <f>SUM(OSRRefE21_15x_7)</f>
        <v>218</v>
      </c>
      <c r="M82" s="1">
        <f>SUM(OSRRefE21_15x_8)</f>
        <v>218</v>
      </c>
      <c r="N82" s="1">
        <f>SUM(OSRRefE21_15x_9)</f>
        <v>218</v>
      </c>
      <c r="O82" s="1">
        <f>SUM(OSRRefE21_15x_10)</f>
        <v>218</v>
      </c>
      <c r="Q82" s="2">
        <f>SUM(OSRRefD20_15x)+IFERROR(SUM(OSRRefE20_15x),0)</f>
        <v>2615</v>
      </c>
    </row>
    <row r="83" spans="1:17" s="34" customFormat="1" hidden="1" outlineLevel="1" x14ac:dyDescent="0.3">
      <c r="A83" s="35"/>
      <c r="B83" s="10" t="str">
        <f>CONCATENATE("          ","6309", " - ","TELEPHONE")</f>
        <v xml:space="preserve">          6309 - TELEPHONE</v>
      </c>
      <c r="C83" s="14"/>
      <c r="D83" s="2">
        <v>217</v>
      </c>
      <c r="E83" s="2">
        <v>218</v>
      </c>
      <c r="F83" s="2">
        <v>218</v>
      </c>
      <c r="G83" s="2">
        <v>218</v>
      </c>
      <c r="H83" s="2">
        <v>218</v>
      </c>
      <c r="I83" s="2">
        <v>218</v>
      </c>
      <c r="J83" s="2">
        <v>218</v>
      </c>
      <c r="K83" s="2">
        <v>218</v>
      </c>
      <c r="L83" s="2">
        <v>218</v>
      </c>
      <c r="M83" s="2">
        <v>218</v>
      </c>
      <c r="N83" s="2">
        <v>218</v>
      </c>
      <c r="O83" s="2">
        <v>218</v>
      </c>
      <c r="P83" s="9"/>
      <c r="Q83" s="2">
        <f>SUM(OSRRefD21_15_0x)+IFERROR(SUM(OSRRefE21_15_0x),0)</f>
        <v>2615</v>
      </c>
    </row>
    <row r="84" spans="1:17" s="34" customFormat="1" collapsed="1" x14ac:dyDescent="0.3">
      <c r="A84" s="35"/>
      <c r="B84" s="14" t="str">
        <f>CONCATENATE("     ","Training                                          ")</f>
        <v xml:space="preserve">     Training                                          </v>
      </c>
      <c r="C84" s="14"/>
      <c r="D84" s="1">
        <f>SUM(OSRRefD21_16x_0)</f>
        <v>0</v>
      </c>
      <c r="E84" s="1">
        <f>SUM(OSRRefE21_16x_0)</f>
        <v>175</v>
      </c>
      <c r="F84" s="1">
        <f>SUM(OSRRefE21_16x_1)</f>
        <v>175</v>
      </c>
      <c r="G84" s="1">
        <f>SUM(OSRRefE21_16x_2)</f>
        <v>175</v>
      </c>
      <c r="H84" s="1">
        <f>SUM(OSRRefE21_16x_3)</f>
        <v>175</v>
      </c>
      <c r="I84" s="1">
        <f>SUM(OSRRefE21_16x_4)</f>
        <v>175</v>
      </c>
      <c r="J84" s="1">
        <f>SUM(OSRRefE21_16x_5)</f>
        <v>175</v>
      </c>
      <c r="K84" s="1">
        <f>SUM(OSRRefE21_16x_6)</f>
        <v>175</v>
      </c>
      <c r="L84" s="1">
        <f>SUM(OSRRefE21_16x_7)</f>
        <v>150</v>
      </c>
      <c r="M84" s="1">
        <f>SUM(OSRRefE21_16x_8)</f>
        <v>150</v>
      </c>
      <c r="N84" s="1">
        <f>SUM(OSRRefE21_16x_9)</f>
        <v>150</v>
      </c>
      <c r="O84" s="1">
        <f>SUM(OSRRefE21_16x_10)</f>
        <v>150</v>
      </c>
      <c r="Q84" s="2">
        <f>SUM(OSRRefD20_16x)+IFERROR(SUM(OSRRefE20_16x),0)</f>
        <v>1825</v>
      </c>
    </row>
    <row r="85" spans="1:17" s="34" customFormat="1" hidden="1" outlineLevel="1" x14ac:dyDescent="0.3">
      <c r="A85" s="35"/>
      <c r="B85" s="10" t="str">
        <f>CONCATENATE("          ","6376", " - ","TRAINING")</f>
        <v xml:space="preserve">          6376 - TRAINING</v>
      </c>
      <c r="C85" s="14"/>
      <c r="D85" s="2"/>
      <c r="E85" s="2">
        <v>175</v>
      </c>
      <c r="F85" s="2">
        <v>175</v>
      </c>
      <c r="G85" s="2">
        <v>175</v>
      </c>
      <c r="H85" s="2">
        <v>175</v>
      </c>
      <c r="I85" s="2">
        <v>175</v>
      </c>
      <c r="J85" s="2">
        <v>175</v>
      </c>
      <c r="K85" s="2">
        <v>175</v>
      </c>
      <c r="L85" s="2">
        <v>150</v>
      </c>
      <c r="M85" s="2">
        <v>150</v>
      </c>
      <c r="N85" s="2">
        <v>150</v>
      </c>
      <c r="O85" s="2">
        <v>150</v>
      </c>
      <c r="P85" s="9"/>
      <c r="Q85" s="2">
        <f>SUM(OSRRefD21_16_0x)+IFERROR(SUM(OSRRefE21_16_0x),0)</f>
        <v>1825</v>
      </c>
    </row>
    <row r="86" spans="1:17" s="28" customFormat="1" x14ac:dyDescent="0.3">
      <c r="A86" s="21"/>
      <c r="B86" s="21"/>
      <c r="C86" s="2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Q86" s="1"/>
    </row>
    <row r="87" spans="1:17" s="9" customFormat="1" x14ac:dyDescent="0.3">
      <c r="A87" s="22"/>
      <c r="B87" s="16" t="s">
        <v>293</v>
      </c>
      <c r="C87" s="23"/>
      <c r="D87" s="3">
        <f>0</f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2">
        <f>SUM(OSRRefD23_0x)+IFERROR(SUM(OSRRefE23_0x),0)</f>
        <v>0</v>
      </c>
    </row>
    <row r="88" spans="1:17" x14ac:dyDescent="0.3">
      <c r="A88" s="5"/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</row>
    <row r="89" spans="1:17" s="15" customFormat="1" x14ac:dyDescent="0.3">
      <c r="A89" s="6"/>
      <c r="B89" s="17" t="s">
        <v>276</v>
      </c>
      <c r="C89" s="17"/>
      <c r="D89" s="8">
        <f t="shared" ref="D89:O89" si="2">IFERROR(+D21-D24+D87, 0)</f>
        <v>-85832.24</v>
      </c>
      <c r="E89" s="8">
        <f t="shared" si="2"/>
        <v>-92312.795691219915</v>
      </c>
      <c r="F89" s="8">
        <f t="shared" si="2"/>
        <v>172359.58030878007</v>
      </c>
      <c r="G89" s="8">
        <f t="shared" si="2"/>
        <v>226909.72538597509</v>
      </c>
      <c r="H89" s="8">
        <f t="shared" si="2"/>
        <v>82149.620308780053</v>
      </c>
      <c r="I89" s="8">
        <f t="shared" si="2"/>
        <v>100331.34030878005</v>
      </c>
      <c r="J89" s="8">
        <f t="shared" si="2"/>
        <v>-33880.890614024946</v>
      </c>
      <c r="K89" s="8">
        <f t="shared" si="2"/>
        <v>170114.62830878005</v>
      </c>
      <c r="L89" s="8">
        <f t="shared" si="2"/>
        <v>146369.62830878005</v>
      </c>
      <c r="M89" s="8">
        <f t="shared" si="2"/>
        <v>126917.53338597505</v>
      </c>
      <c r="N89" s="8">
        <f t="shared" si="2"/>
        <v>38032.124308780069</v>
      </c>
      <c r="O89" s="8">
        <f t="shared" si="2"/>
        <v>-103302.49969121994</v>
      </c>
      <c r="Q89" s="8">
        <f>IFERROR(+Q21-Q24+Q87, 0)</f>
        <v>747855.75462816563</v>
      </c>
    </row>
    <row r="90" spans="1:17" s="6" customFormat="1" x14ac:dyDescent="0.3">
      <c r="B90" s="16"/>
      <c r="C90" s="16"/>
      <c r="D90" s="4">
        <f t="shared" ref="D90:O90" si="3">IFERROR(D89/D10, 0)</f>
        <v>-3.733890161327861</v>
      </c>
      <c r="E90" s="4">
        <f t="shared" si="3"/>
        <v>-0.6660374869496386</v>
      </c>
      <c r="F90" s="4">
        <f t="shared" si="3"/>
        <v>0.31089390387586591</v>
      </c>
      <c r="G90" s="4">
        <f t="shared" si="3"/>
        <v>0.32743106116302323</v>
      </c>
      <c r="H90" s="4">
        <f t="shared" si="3"/>
        <v>0.20744853613328296</v>
      </c>
      <c r="I90" s="4">
        <f t="shared" si="3"/>
        <v>0.23032906406974302</v>
      </c>
      <c r="J90" s="4">
        <f t="shared" si="3"/>
        <v>-0.15555964469249287</v>
      </c>
      <c r="K90" s="4">
        <f t="shared" si="3"/>
        <v>0.30684456765652968</v>
      </c>
      <c r="L90" s="4">
        <f t="shared" si="3"/>
        <v>0.27379279519038546</v>
      </c>
      <c r="M90" s="4">
        <f t="shared" si="3"/>
        <v>0.23740653457907793</v>
      </c>
      <c r="N90" s="4">
        <f t="shared" si="3"/>
        <v>0.12805429060195309</v>
      </c>
      <c r="O90" s="4">
        <f t="shared" si="3"/>
        <v>0</v>
      </c>
      <c r="P90" s="18"/>
      <c r="Q90" s="4">
        <f>IFERROR(Q89/Q10, 0)</f>
        <v>0.17078280772566418</v>
      </c>
    </row>
    <row r="91" spans="1:17" x14ac:dyDescent="0.3">
      <c r="A91" s="5"/>
      <c r="B91" s="6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</row>
    <row r="92" spans="1:17" s="15" customFormat="1" x14ac:dyDescent="0.3">
      <c r="A92" s="25"/>
      <c r="B92" s="6" t="s">
        <v>125</v>
      </c>
      <c r="C92" s="6"/>
      <c r="D92" s="3">
        <v>10620.07</v>
      </c>
      <c r="E92" s="3">
        <v>15522</v>
      </c>
      <c r="F92" s="3">
        <v>59727</v>
      </c>
      <c r="G92" s="3">
        <v>84128</v>
      </c>
      <c r="H92" s="3">
        <v>63395</v>
      </c>
      <c r="I92" s="3">
        <v>64343</v>
      </c>
      <c r="J92" s="3">
        <v>18032</v>
      </c>
      <c r="K92" s="3">
        <v>60349</v>
      </c>
      <c r="L92" s="3">
        <v>63711</v>
      </c>
      <c r="M92" s="3">
        <v>70109</v>
      </c>
      <c r="N92" s="3">
        <v>40664</v>
      </c>
      <c r="O92" s="3">
        <v>-46035</v>
      </c>
      <c r="Q92" s="2">
        <f>SUM(OSRRefD28_0x)+IFERROR(SUM(OSRRefE28_0x),0)</f>
        <v>504565.07</v>
      </c>
    </row>
    <row r="93" spans="1:17" x14ac:dyDescent="0.3">
      <c r="A93" s="5"/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</row>
    <row r="94" spans="1:17" s="15" customFormat="1" ht="15" thickBot="1" x14ac:dyDescent="0.35">
      <c r="A94" s="6"/>
      <c r="B94" s="17" t="s">
        <v>124</v>
      </c>
      <c r="C94" s="17"/>
      <c r="D94" s="7">
        <f t="shared" ref="D94:O94" si="4">IFERROR(+D89-D92, 0)</f>
        <v>-96452.31</v>
      </c>
      <c r="E94" s="7">
        <f t="shared" si="4"/>
        <v>-107834.79569121992</v>
      </c>
      <c r="F94" s="7">
        <f t="shared" si="4"/>
        <v>112632.58030878007</v>
      </c>
      <c r="G94" s="7">
        <f t="shared" si="4"/>
        <v>142781.72538597509</v>
      </c>
      <c r="H94" s="7">
        <f t="shared" si="4"/>
        <v>18754.620308780053</v>
      </c>
      <c r="I94" s="7">
        <f t="shared" si="4"/>
        <v>35988.340308780054</v>
      </c>
      <c r="J94" s="7">
        <f t="shared" si="4"/>
        <v>-51912.890614024946</v>
      </c>
      <c r="K94" s="7">
        <f t="shared" si="4"/>
        <v>109765.62830878005</v>
      </c>
      <c r="L94" s="7">
        <f t="shared" si="4"/>
        <v>82658.628308780055</v>
      </c>
      <c r="M94" s="7">
        <f t="shared" si="4"/>
        <v>56808.533385975054</v>
      </c>
      <c r="N94" s="7">
        <f t="shared" si="4"/>
        <v>-2631.8756912199315</v>
      </c>
      <c r="O94" s="7">
        <f t="shared" si="4"/>
        <v>-57267.499691219942</v>
      </c>
      <c r="Q94" s="7">
        <f>IFERROR(+Q89-Q92, 0)</f>
        <v>243290.68462816562</v>
      </c>
    </row>
    <row r="95" spans="1:17" ht="15" thickTop="1" x14ac:dyDescent="0.3">
      <c r="A95" s="5"/>
      <c r="B95" s="5"/>
      <c r="C95" s="5"/>
      <c r="D95" s="4">
        <f t="shared" ref="D95:O95" si="5">IFERROR(D94/D10, 0)</f>
        <v>-4.1958864331904291</v>
      </c>
      <c r="E95" s="4">
        <f t="shared" si="5"/>
        <v>-0.77802882894098058</v>
      </c>
      <c r="F95" s="4">
        <f t="shared" si="5"/>
        <v>0.20316121989318195</v>
      </c>
      <c r="G95" s="4">
        <f t="shared" si="5"/>
        <v>0.20603423576619784</v>
      </c>
      <c r="H95" s="4">
        <f t="shared" si="5"/>
        <v>4.7360152294899122E-2</v>
      </c>
      <c r="I95" s="4">
        <f t="shared" si="5"/>
        <v>8.2617861131267345E-2</v>
      </c>
      <c r="J95" s="4">
        <f t="shared" si="5"/>
        <v>-0.23835119657495385</v>
      </c>
      <c r="K95" s="4">
        <f t="shared" si="5"/>
        <v>0.19798995005191208</v>
      </c>
      <c r="L95" s="4">
        <f t="shared" si="5"/>
        <v>0.15461771101530125</v>
      </c>
      <c r="M95" s="4">
        <f t="shared" si="5"/>
        <v>0.10626362399172289</v>
      </c>
      <c r="N95" s="4">
        <f t="shared" si="5"/>
        <v>-8.8615343138718234E-3</v>
      </c>
      <c r="O95" s="4">
        <f t="shared" si="5"/>
        <v>0</v>
      </c>
      <c r="P95" s="18"/>
      <c r="Q95" s="4">
        <f>IFERROR(Q94/Q10, 0)</f>
        <v>5.5558663495149319E-2</v>
      </c>
    </row>
    <row r="96" spans="1:17" x14ac:dyDescent="0.3">
      <c r="A96" s="5"/>
      <c r="B96" s="5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Q96" s="3"/>
    </row>
    <row r="97" spans="1:17" x14ac:dyDescent="0.3">
      <c r="A97" s="5"/>
      <c r="B97" s="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Q97" s="3"/>
    </row>
    <row r="98" spans="1:17" s="15" customFormat="1" ht="15" thickBot="1" x14ac:dyDescent="0.35">
      <c r="A98" s="6"/>
      <c r="B98" s="17" t="s">
        <v>294</v>
      </c>
      <c r="C98" s="17"/>
      <c r="D98" s="7">
        <f t="shared" ref="D98:O98" si="6">IFERROR(SUM(D94:D97), 0)</f>
        <v>-96456.505886433195</v>
      </c>
      <c r="E98" s="7">
        <f t="shared" si="6"/>
        <v>-107835.57372004885</v>
      </c>
      <c r="F98" s="7">
        <f t="shared" si="6"/>
        <v>112632.78346999997</v>
      </c>
      <c r="G98" s="7">
        <f t="shared" si="6"/>
        <v>142781.93142021087</v>
      </c>
      <c r="H98" s="7">
        <f t="shared" si="6"/>
        <v>18754.667668932347</v>
      </c>
      <c r="I98" s="7">
        <f t="shared" si="6"/>
        <v>35988.422926641186</v>
      </c>
      <c r="J98" s="7">
        <f t="shared" si="6"/>
        <v>-51913.12896522152</v>
      </c>
      <c r="K98" s="7">
        <f t="shared" si="6"/>
        <v>109765.82629873011</v>
      </c>
      <c r="L98" s="7">
        <f t="shared" si="6"/>
        <v>82658.782926491069</v>
      </c>
      <c r="M98" s="7">
        <f t="shared" si="6"/>
        <v>56808.639649599048</v>
      </c>
      <c r="N98" s="7">
        <f t="shared" si="6"/>
        <v>-2631.8845527542453</v>
      </c>
      <c r="O98" s="7">
        <f t="shared" si="6"/>
        <v>-57267.499691219942</v>
      </c>
      <c r="Q98" s="7">
        <f>IFERROR(SUM(Q94:Q97), 0)</f>
        <v>243290.74018682912</v>
      </c>
    </row>
    <row r="99" spans="1:17" ht="15" thickTop="1" x14ac:dyDescent="0.3">
      <c r="A99" s="5"/>
      <c r="C99" s="5"/>
      <c r="D99" s="4">
        <f t="shared" ref="D99:O99" si="7">IFERROR(D98/D10, 0)</f>
        <v>-4.1960689634269803</v>
      </c>
      <c r="E99" s="4">
        <f t="shared" si="7"/>
        <v>-0.77803444242459485</v>
      </c>
      <c r="F99" s="4">
        <f t="shared" si="7"/>
        <v>0.20316158634559878</v>
      </c>
      <c r="G99" s="4">
        <f t="shared" si="7"/>
        <v>0.20603453307389735</v>
      </c>
      <c r="H99" s="4">
        <f t="shared" si="7"/>
        <v>4.7360271891243297E-2</v>
      </c>
      <c r="I99" s="4">
        <f t="shared" si="7"/>
        <v>8.2618050795778664E-2</v>
      </c>
      <c r="J99" s="4">
        <f t="shared" si="7"/>
        <v>-0.23835229093306484</v>
      </c>
      <c r="K99" s="4">
        <f t="shared" si="7"/>
        <v>0.19799030717664162</v>
      </c>
      <c r="L99" s="4">
        <f t="shared" si="7"/>
        <v>0.15461800023660882</v>
      </c>
      <c r="M99" s="4">
        <f t="shared" si="7"/>
        <v>0.10626382276393387</v>
      </c>
      <c r="N99" s="4">
        <f t="shared" si="7"/>
        <v>-8.8615641506876938E-3</v>
      </c>
      <c r="O99" s="4">
        <f t="shared" si="7"/>
        <v>0</v>
      </c>
      <c r="P99" s="18"/>
      <c r="Q99" s="4">
        <f>IFERROR(Q98/Q10, 0)</f>
        <v>5.555867618270903E-2</v>
      </c>
    </row>
    <row r="100" spans="1:17" x14ac:dyDescent="0.3">
      <c r="A100" s="5"/>
      <c r="B100" s="30">
        <v>44462.678423958336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Q100" s="11"/>
    </row>
    <row r="101" spans="1:17" x14ac:dyDescent="0.3">
      <c r="A101" s="5"/>
      <c r="B101" s="31" t="s">
        <v>54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Q101" s="11"/>
    </row>
    <row r="102" spans="1:17" x14ac:dyDescent="0.3">
      <c r="A102" s="5"/>
      <c r="B102" s="2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Q102" s="11"/>
    </row>
    <row r="103" spans="1:17" x14ac:dyDescent="0.3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Q103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92D050"/>
    <outlinePr summaryBelow="0" summaryRight="0"/>
    <pageSetUpPr fitToPage="1"/>
  </sheetPr>
  <dimension ref="A2:R96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","450", " - ", "Beachside Dining Hall")</f>
        <v>Department 450 - Beachside Dining Hall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0</v>
      </c>
      <c r="E10" s="3">
        <f>SUM(OSRRefE11x_0)</f>
        <v>30240</v>
      </c>
      <c r="F10" s="3">
        <f>SUM(OSRRefE11x_1)</f>
        <v>120960</v>
      </c>
      <c r="G10" s="3">
        <f>SUM(OSRRefE11x_2)</f>
        <v>151200</v>
      </c>
      <c r="H10" s="3">
        <f>SUM(OSRRefE11x_3)</f>
        <v>86400</v>
      </c>
      <c r="I10" s="3">
        <f>SUM(OSRRefE11x_4)</f>
        <v>95040</v>
      </c>
      <c r="J10" s="3">
        <f>SUM(OSRRefE11x_5)</f>
        <v>47520</v>
      </c>
      <c r="K10" s="3">
        <f>SUM(OSRRefE11x_6)</f>
        <v>120960</v>
      </c>
      <c r="L10" s="3">
        <f>SUM(OSRRefE11x_7)</f>
        <v>116640</v>
      </c>
      <c r="M10" s="3">
        <f>SUM(OSRRefE11x_8)</f>
        <v>116640</v>
      </c>
      <c r="N10" s="3">
        <f>SUM(OSRRefE11x_9)</f>
        <v>64800</v>
      </c>
      <c r="O10" s="3">
        <f>SUM(OSRRefE11x_10)</f>
        <v>0</v>
      </c>
      <c r="P10" s="24"/>
      <c r="Q10" s="3">
        <f>SUM(OSRRefG11x)</f>
        <v>950400</v>
      </c>
      <c r="R10" s="24"/>
    </row>
    <row r="11" spans="1:18" s="9" customFormat="1" hidden="1" outlineLevel="1" x14ac:dyDescent="0.3">
      <c r="A11" s="22"/>
      <c r="B11" s="10" t="str">
        <f>CONCATENATE("          ","4100", " - ","NON-TAXABLE SALES")</f>
        <v xml:space="preserve">          4100 - NON-TAXABLE SALES</v>
      </c>
      <c r="C11" s="23"/>
      <c r="D11" s="2">
        <f>0</f>
        <v>0</v>
      </c>
      <c r="E11" s="2">
        <v>30240</v>
      </c>
      <c r="F11" s="2">
        <v>120960</v>
      </c>
      <c r="G11" s="2">
        <v>151200</v>
      </c>
      <c r="H11" s="2">
        <v>86400</v>
      </c>
      <c r="I11" s="2">
        <v>95040</v>
      </c>
      <c r="J11" s="2">
        <v>47520</v>
      </c>
      <c r="K11" s="2">
        <v>120960</v>
      </c>
      <c r="L11" s="2">
        <v>116640</v>
      </c>
      <c r="M11" s="2">
        <v>116640</v>
      </c>
      <c r="N11" s="2">
        <v>64800</v>
      </c>
      <c r="O11" s="2"/>
      <c r="Q11" s="2">
        <f>SUM(OSRRefD11_0x)+IFERROR(SUM(OSRRefE11_0x),0)</f>
        <v>950400</v>
      </c>
    </row>
    <row r="12" spans="1:18" x14ac:dyDescent="0.3">
      <c r="A12" s="5"/>
      <c r="B12" s="6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</row>
    <row r="13" spans="1:18" s="9" customFormat="1" collapsed="1" x14ac:dyDescent="0.3">
      <c r="A13" s="22"/>
      <c r="B13" s="16" t="s">
        <v>218</v>
      </c>
      <c r="C13" s="23"/>
      <c r="D13" s="3">
        <f>SUM(OSRRefD14x_0)</f>
        <v>0</v>
      </c>
      <c r="E13" s="3">
        <f>SUM(OSRRefE14x_0)</f>
        <v>18144</v>
      </c>
      <c r="F13" s="3">
        <f>SUM(OSRRefE14x_1)</f>
        <v>34450</v>
      </c>
      <c r="G13" s="3">
        <f>SUM(OSRRefE14x_2)</f>
        <v>36288</v>
      </c>
      <c r="H13" s="3">
        <f>SUM(OSRRefE14x_3)</f>
        <v>20736</v>
      </c>
      <c r="I13" s="3">
        <f>SUM(OSRRefE14x_4)</f>
        <v>22810</v>
      </c>
      <c r="J13" s="3">
        <f>SUM(OSRRefE14x_5)</f>
        <v>12355</v>
      </c>
      <c r="K13" s="3">
        <f>SUM(OSRRefE14x_6)</f>
        <v>29030</v>
      </c>
      <c r="L13" s="3">
        <f>SUM(OSRRefE14x_7)</f>
        <v>27994</v>
      </c>
      <c r="M13" s="3">
        <f>SUM(OSRRefE14x_8)</f>
        <v>27994</v>
      </c>
      <c r="N13" s="3">
        <f>SUM(OSRRefE14x_9)</f>
        <v>14256</v>
      </c>
      <c r="O13" s="3">
        <f>SUM(OSRRefE14x_10)</f>
        <v>0</v>
      </c>
      <c r="Q13" s="3">
        <f>SUM(OSRRefG14x)</f>
        <v>244057</v>
      </c>
    </row>
    <row r="14" spans="1:18" s="9" customFormat="1" hidden="1" outlineLevel="1" x14ac:dyDescent="0.3">
      <c r="A14" s="22"/>
      <c r="B14" s="10" t="str">
        <f>CONCATENATE("          ","5000", " - ","PURCHASES @ COST")</f>
        <v xml:space="preserve">          5000 - PURCHASES @ COST</v>
      </c>
      <c r="C14" s="23"/>
      <c r="D14" s="2"/>
      <c r="E14" s="2">
        <v>18144</v>
      </c>
      <c r="F14" s="2">
        <v>34450</v>
      </c>
      <c r="G14" s="2">
        <v>36288</v>
      </c>
      <c r="H14" s="2">
        <v>20736</v>
      </c>
      <c r="I14" s="2">
        <v>22810</v>
      </c>
      <c r="J14" s="2">
        <v>12355</v>
      </c>
      <c r="K14" s="2">
        <v>29030</v>
      </c>
      <c r="L14" s="2">
        <v>27994</v>
      </c>
      <c r="M14" s="2">
        <v>27994</v>
      </c>
      <c r="N14" s="2">
        <v>14256</v>
      </c>
      <c r="O14" s="2"/>
      <c r="Q14" s="2">
        <f>SUM(OSRRefD14_0x)+IFERROR(SUM(OSRRefE14_0x),0)</f>
        <v>244057</v>
      </c>
    </row>
    <row r="15" spans="1:18" x14ac:dyDescent="0.3">
      <c r="A15" s="5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"/>
    </row>
    <row r="16" spans="1:18" s="15" customFormat="1" x14ac:dyDescent="0.3">
      <c r="A16" s="6"/>
      <c r="B16" s="17" t="s">
        <v>105</v>
      </c>
      <c r="C16" s="17"/>
      <c r="D16" s="8">
        <f t="shared" ref="D16:O16" si="0">IFERROR(+D10-D13, 0)</f>
        <v>0</v>
      </c>
      <c r="E16" s="8">
        <f t="shared" si="0"/>
        <v>12096</v>
      </c>
      <c r="F16" s="8">
        <f t="shared" si="0"/>
        <v>86510</v>
      </c>
      <c r="G16" s="8">
        <f t="shared" si="0"/>
        <v>114912</v>
      </c>
      <c r="H16" s="8">
        <f t="shared" si="0"/>
        <v>65664</v>
      </c>
      <c r="I16" s="8">
        <f t="shared" si="0"/>
        <v>72230</v>
      </c>
      <c r="J16" s="8">
        <f t="shared" si="0"/>
        <v>35165</v>
      </c>
      <c r="K16" s="8">
        <f t="shared" si="0"/>
        <v>91930</v>
      </c>
      <c r="L16" s="8">
        <f t="shared" si="0"/>
        <v>88646</v>
      </c>
      <c r="M16" s="8">
        <f t="shared" si="0"/>
        <v>88646</v>
      </c>
      <c r="N16" s="8">
        <f t="shared" si="0"/>
        <v>50544</v>
      </c>
      <c r="O16" s="8">
        <f t="shared" si="0"/>
        <v>0</v>
      </c>
      <c r="Q16" s="8">
        <f>IFERROR(+Q10-Q13, 0)</f>
        <v>706343</v>
      </c>
    </row>
    <row r="17" spans="1:17" s="6" customFormat="1" x14ac:dyDescent="0.3">
      <c r="B17" s="16"/>
      <c r="C17" s="16"/>
      <c r="D17" s="4">
        <f t="shared" ref="D17:O17" si="1">IFERROR(D16/D10, 0)</f>
        <v>0</v>
      </c>
      <c r="E17" s="4">
        <f t="shared" si="1"/>
        <v>0.4</v>
      </c>
      <c r="F17" s="4">
        <f t="shared" si="1"/>
        <v>0.71519510582010581</v>
      </c>
      <c r="G17" s="4">
        <f t="shared" si="1"/>
        <v>0.76</v>
      </c>
      <c r="H17" s="4">
        <f t="shared" si="1"/>
        <v>0.76</v>
      </c>
      <c r="I17" s="4">
        <f t="shared" si="1"/>
        <v>0.7599957912457912</v>
      </c>
      <c r="J17" s="4">
        <f t="shared" si="1"/>
        <v>0.7400042087542088</v>
      </c>
      <c r="K17" s="4">
        <f t="shared" si="1"/>
        <v>0.76000330687830686</v>
      </c>
      <c r="L17" s="4">
        <f t="shared" si="1"/>
        <v>0.75999657064471882</v>
      </c>
      <c r="M17" s="4">
        <f t="shared" si="1"/>
        <v>0.75999657064471882</v>
      </c>
      <c r="N17" s="4">
        <f t="shared" si="1"/>
        <v>0.78</v>
      </c>
      <c r="O17" s="4">
        <f t="shared" si="1"/>
        <v>0</v>
      </c>
      <c r="P17" s="18"/>
      <c r="Q17" s="4">
        <f>IFERROR(Q16/Q10, 0)</f>
        <v>0.74320601851851853</v>
      </c>
    </row>
    <row r="18" spans="1:17" x14ac:dyDescent="0.3">
      <c r="A18" s="5"/>
      <c r="B18" s="6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Q18" s="1"/>
    </row>
    <row r="19" spans="1:17" s="15" customFormat="1" x14ac:dyDescent="0.3">
      <c r="A19" s="6"/>
      <c r="B19" s="16" t="s">
        <v>255</v>
      </c>
      <c r="C19" s="6"/>
      <c r="D19" s="13">
        <f>SUM(OSRRefD20x_0)</f>
        <v>40764.729999999996</v>
      </c>
      <c r="E19" s="13">
        <f>SUM(OSRRefE20x_0)</f>
        <v>101676.9904969231</v>
      </c>
      <c r="F19" s="13">
        <f>SUM(OSRRefE20x_1)</f>
        <v>128500.7269969231</v>
      </c>
      <c r="G19" s="13">
        <f>SUM(OSRRefE20x_2)</f>
        <v>154506.65874615387</v>
      </c>
      <c r="H19" s="13">
        <f>SUM(OSRRefE20x_3)</f>
        <v>119486.12699692311</v>
      </c>
      <c r="I19" s="13">
        <f>SUM(OSRRefE20x_4)</f>
        <v>115673.92699692311</v>
      </c>
      <c r="J19" s="13">
        <f>SUM(OSRRefE20x_5)</f>
        <v>119023.74674615386</v>
      </c>
      <c r="K19" s="13">
        <f>SUM(OSRRefE20x_6)</f>
        <v>128826.50299692311</v>
      </c>
      <c r="L19" s="13">
        <f>SUM(OSRRefE20x_7)</f>
        <v>128830.50299692311</v>
      </c>
      <c r="M19" s="13">
        <f>SUM(OSRRefE20x_8)</f>
        <v>143590.23474615387</v>
      </c>
      <c r="N19" s="13">
        <f>SUM(OSRRefE20x_9)</f>
        <v>101331.21499692311</v>
      </c>
      <c r="O19" s="13">
        <f>SUM(OSRRefE20x_10)</f>
        <v>67671.92699692311</v>
      </c>
      <c r="Q19" s="13">
        <f>SUM(OSRRefG20x)</f>
        <v>1349883.2897138463</v>
      </c>
    </row>
    <row r="20" spans="1:17" s="34" customFormat="1" collapsed="1" x14ac:dyDescent="0.3">
      <c r="A20" s="35"/>
      <c r="B20" s="14" t="str">
        <f>CONCATENATE("     ","*Benefits                                         ")</f>
        <v xml:space="preserve">     *Benefits                                         </v>
      </c>
      <c r="C20" s="14"/>
      <c r="D20" s="1">
        <f>SUM(OSRRefD21_0x_0)</f>
        <v>18504.859999999997</v>
      </c>
      <c r="E20" s="1">
        <f>SUM(OSRRefE21_0x_0)</f>
        <v>29814.995112307726</v>
      </c>
      <c r="F20" s="1">
        <f>SUM(OSRRefE21_0x_1)</f>
        <v>30375.831612307727</v>
      </c>
      <c r="G20" s="1">
        <f>SUM(OSRRefE21_0x_2)</f>
        <v>37078.289515384633</v>
      </c>
      <c r="H20" s="1">
        <f>SUM(OSRRefE21_0x_3)</f>
        <v>30096.531612307725</v>
      </c>
      <c r="I20" s="1">
        <f>SUM(OSRRefE21_0x_4)</f>
        <v>29793.43161230773</v>
      </c>
      <c r="J20" s="1">
        <f>SUM(OSRRefE21_0x_5)</f>
        <v>35139.093515384637</v>
      </c>
      <c r="K20" s="1">
        <f>SUM(OSRRefE21_0x_6)</f>
        <v>30532.239612307727</v>
      </c>
      <c r="L20" s="1">
        <f>SUM(OSRRefE21_0x_7)</f>
        <v>30532.239612307727</v>
      </c>
      <c r="M20" s="1">
        <f>SUM(OSRRefE21_0x_8)</f>
        <v>36452.097515384638</v>
      </c>
      <c r="N20" s="1">
        <f>SUM(OSRRefE21_0x_9)</f>
        <v>29000.835612307725</v>
      </c>
      <c r="O20" s="1">
        <f>SUM(OSRRefE21_0x_10)</f>
        <v>27581.43161230773</v>
      </c>
      <c r="Q20" s="2">
        <f>SUM(OSRRefD20_0x)+IFERROR(SUM(OSRRefE20_0x),0)</f>
        <v>364901.87694461574</v>
      </c>
    </row>
    <row r="21" spans="1:17" s="34" customFormat="1" hidden="1" outlineLevel="1" x14ac:dyDescent="0.3">
      <c r="A21" s="35"/>
      <c r="B21" s="10" t="str">
        <f>CONCATENATE("          ","6111", " - ","F.I.C.A.")</f>
        <v xml:space="preserve">          6111 - F.I.C.A.</v>
      </c>
      <c r="C21" s="14"/>
      <c r="D21" s="2">
        <v>1377.24</v>
      </c>
      <c r="E21" s="2">
        <v>3625.0612661538498</v>
      </c>
      <c r="F21" s="2">
        <v>2633.9977661538501</v>
      </c>
      <c r="G21" s="2">
        <v>3292.49720769231</v>
      </c>
      <c r="H21" s="2">
        <v>2633.9977661538501</v>
      </c>
      <c r="I21" s="2">
        <v>2633.9977661538501</v>
      </c>
      <c r="J21" s="2">
        <v>3292.49720769231</v>
      </c>
      <c r="K21" s="2">
        <v>2633.9977661538501</v>
      </c>
      <c r="L21" s="2">
        <v>2633.9977661538501</v>
      </c>
      <c r="M21" s="2">
        <v>3292.49720769231</v>
      </c>
      <c r="N21" s="2">
        <v>2633.9977661538501</v>
      </c>
      <c r="O21" s="2">
        <v>2633.9977661538501</v>
      </c>
      <c r="P21" s="9"/>
      <c r="Q21" s="2">
        <f>SUM(OSRRefD21_0_0x)+IFERROR(SUM(OSRRefE21_0_0x),0)</f>
        <v>33317.777252307736</v>
      </c>
    </row>
    <row r="22" spans="1:17" s="34" customFormat="1" hidden="1" outlineLevel="1" x14ac:dyDescent="0.3">
      <c r="A22" s="35"/>
      <c r="B22" s="10" t="str">
        <f>CONCATENATE("          ","6112", " - ","COMPENSATION INSURANCE")</f>
        <v xml:space="preserve">          6112 - COMPENSATION INSURANCE</v>
      </c>
      <c r="C22" s="14"/>
      <c r="D22" s="2">
        <v>646.99</v>
      </c>
      <c r="E22" s="2">
        <v>1977.1613692307701</v>
      </c>
      <c r="F22" s="2">
        <v>2817.40436923077</v>
      </c>
      <c r="G22" s="2">
        <v>3567.2354615384602</v>
      </c>
      <c r="H22" s="2">
        <v>2666.18336923077</v>
      </c>
      <c r="I22" s="2">
        <v>2502.0763692307701</v>
      </c>
      <c r="J22" s="2">
        <v>2517.2993415384599</v>
      </c>
      <c r="K22" s="2">
        <v>2902.0881292307699</v>
      </c>
      <c r="L22" s="2">
        <v>2902.0881292307699</v>
      </c>
      <c r="M22" s="2">
        <v>3228.1972215384599</v>
      </c>
      <c r="N22" s="2">
        <v>2072.9422492307699</v>
      </c>
      <c r="O22" s="2">
        <v>1304.43636923077</v>
      </c>
      <c r="P22" s="9"/>
      <c r="Q22" s="2">
        <f>SUM(OSRRefD21_0_1x)+IFERROR(SUM(OSRRefE21_0_1x),0)</f>
        <v>29104.102378461546</v>
      </c>
    </row>
    <row r="23" spans="1:17" s="34" customFormat="1" hidden="1" outlineLevel="1" x14ac:dyDescent="0.3">
      <c r="A23" s="35"/>
      <c r="B23" s="10" t="str">
        <f>CONCATENATE("          ","6113", " - ","GROUP INSURANCE")</f>
        <v xml:space="preserve">          6113 - GROUP INSURANCE</v>
      </c>
      <c r="C23" s="14"/>
      <c r="D23" s="2">
        <v>12451.67</v>
      </c>
      <c r="E23" s="2">
        <v>18578.538461538501</v>
      </c>
      <c r="F23" s="2">
        <v>18578.538461538501</v>
      </c>
      <c r="G23" s="2">
        <v>22728.9230769231</v>
      </c>
      <c r="H23" s="2">
        <v>18578.538461538501</v>
      </c>
      <c r="I23" s="2">
        <v>18578.538461538501</v>
      </c>
      <c r="J23" s="2">
        <v>22728.9230769231</v>
      </c>
      <c r="K23" s="2">
        <v>18578.538461538501</v>
      </c>
      <c r="L23" s="2">
        <v>18578.538461538501</v>
      </c>
      <c r="M23" s="2">
        <v>22728.9230769231</v>
      </c>
      <c r="N23" s="2">
        <v>18578.538461538501</v>
      </c>
      <c r="O23" s="2">
        <v>18578.538461538501</v>
      </c>
      <c r="P23" s="9"/>
      <c r="Q23" s="2">
        <f>SUM(OSRRefD21_0_2x)+IFERROR(SUM(OSRRefE21_0_2x),0)</f>
        <v>229266.7469230773</v>
      </c>
    </row>
    <row r="24" spans="1:17" s="34" customFormat="1" hidden="1" outlineLevel="1" x14ac:dyDescent="0.3">
      <c r="A24" s="35"/>
      <c r="B24" s="10" t="str">
        <f>CONCATENATE("          ","6114", " - ","STATE UNEMPLOYMENT INSURANCE")</f>
        <v xml:space="preserve">          6114 - STATE UNEMPLOYMENT INSURANCE</v>
      </c>
      <c r="C24" s="14"/>
      <c r="D24" s="2">
        <v>46.73</v>
      </c>
      <c r="E24" s="2">
        <v>109.55247692307699</v>
      </c>
      <c r="F24" s="2">
        <v>156.10947692307701</v>
      </c>
      <c r="G24" s="2">
        <v>197.656846153846</v>
      </c>
      <c r="H24" s="2">
        <v>147.73047692307699</v>
      </c>
      <c r="I24" s="2">
        <v>138.637476923077</v>
      </c>
      <c r="J24" s="2">
        <v>139.480966153846</v>
      </c>
      <c r="K24" s="2">
        <v>160.80171692307701</v>
      </c>
      <c r="L24" s="2">
        <v>160.80171692307701</v>
      </c>
      <c r="M24" s="2">
        <v>178.87108615384599</v>
      </c>
      <c r="N24" s="2">
        <v>114.85959692307701</v>
      </c>
      <c r="O24" s="2">
        <v>72.277476923076904</v>
      </c>
      <c r="P24" s="9"/>
      <c r="Q24" s="2">
        <f>SUM(OSRRefD21_0_3x)+IFERROR(SUM(OSRRefE21_0_3x),0)</f>
        <v>1623.5093138461539</v>
      </c>
    </row>
    <row r="25" spans="1:17" s="34" customFormat="1" hidden="1" outlineLevel="1" x14ac:dyDescent="0.3">
      <c r="A25" s="35"/>
      <c r="B25" s="10" t="str">
        <f>CONCATENATE("          ","6115", " - ","P.E.R.S.")</f>
        <v xml:space="preserve">          6115 - P.E.R.S.</v>
      </c>
      <c r="C25" s="14"/>
      <c r="D25" s="2">
        <v>487.42</v>
      </c>
      <c r="E25" s="2">
        <v>408.83076923076902</v>
      </c>
      <c r="F25" s="2">
        <v>408.83076923076902</v>
      </c>
      <c r="G25" s="2">
        <v>511.038461538462</v>
      </c>
      <c r="H25" s="2">
        <v>408.83076923076902</v>
      </c>
      <c r="I25" s="2">
        <v>408.83076923076902</v>
      </c>
      <c r="J25" s="2">
        <v>511.038461538462</v>
      </c>
      <c r="K25" s="2">
        <v>408.83076923076902</v>
      </c>
      <c r="L25" s="2">
        <v>408.83076923076902</v>
      </c>
      <c r="M25" s="2">
        <v>511.038461538462</v>
      </c>
      <c r="N25" s="2">
        <v>408.83076923076902</v>
      </c>
      <c r="O25" s="2">
        <v>408.83076923076902</v>
      </c>
      <c r="P25" s="9"/>
      <c r="Q25" s="2">
        <f>SUM(OSRRefD21_0_4x)+IFERROR(SUM(OSRRefE21_0_4x),0)</f>
        <v>5291.1815384615384</v>
      </c>
    </row>
    <row r="26" spans="1:17" s="34" customFormat="1" hidden="1" outlineLevel="1" x14ac:dyDescent="0.3">
      <c r="A26" s="35"/>
      <c r="B26" s="10" t="str">
        <f>CONCATENATE("          ","6116", " - ","EDUCATIONAL BENEFITS")</f>
        <v xml:space="preserve">          6116 - EDUCATIONAL BENEFITS</v>
      </c>
      <c r="C26" s="14"/>
      <c r="D26" s="2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9"/>
      <c r="Q26" s="2">
        <f>SUM(OSRRefD21_0_5x)+IFERROR(SUM(OSRRefE21_0_5x),0)</f>
        <v>0</v>
      </c>
    </row>
    <row r="27" spans="1:17" s="34" customFormat="1" hidden="1" outlineLevel="1" x14ac:dyDescent="0.3">
      <c r="A27" s="35"/>
      <c r="B27" s="10" t="str">
        <f>CONCATENATE("          ","6117", " - ","RETIREMENT STAFF HOURLY")</f>
        <v xml:space="preserve">          6117 - RETIREMENT STAFF HOURLY</v>
      </c>
      <c r="C27" s="14"/>
      <c r="D27" s="2">
        <v>512.19000000000005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"/>
      <c r="Q27" s="2">
        <f>SUM(OSRRefD21_0_6x)+IFERROR(SUM(OSRRefE21_0_6x),0)</f>
        <v>512.19000000000005</v>
      </c>
    </row>
    <row r="28" spans="1:17" s="34" customFormat="1" hidden="1" outlineLevel="1" x14ac:dyDescent="0.3">
      <c r="A28" s="35"/>
      <c r="B28" s="10" t="str">
        <f>CONCATENATE("          ","6118", " - ","VACATION")</f>
        <v xml:space="preserve">          6118 - VACATION</v>
      </c>
      <c r="C28" s="14"/>
      <c r="D28" s="2">
        <v>1260.5899999999999</v>
      </c>
      <c r="E28" s="2">
        <v>1625.81538461538</v>
      </c>
      <c r="F28" s="2">
        <v>1625.81538461538</v>
      </c>
      <c r="G28" s="2">
        <v>2032.26923076923</v>
      </c>
      <c r="H28" s="2">
        <v>1625.81538461538</v>
      </c>
      <c r="I28" s="2">
        <v>1625.81538461538</v>
      </c>
      <c r="J28" s="2">
        <v>2032.26923076923</v>
      </c>
      <c r="K28" s="2">
        <v>1625.81538461538</v>
      </c>
      <c r="L28" s="2">
        <v>1625.81538461538</v>
      </c>
      <c r="M28" s="2">
        <v>2032.26923076923</v>
      </c>
      <c r="N28" s="2">
        <v>1625.81538461538</v>
      </c>
      <c r="O28" s="2">
        <v>1625.81538461538</v>
      </c>
      <c r="P28" s="9"/>
      <c r="Q28" s="2">
        <f>SUM(OSRRefD21_0_7x)+IFERROR(SUM(OSRRefE21_0_7x),0)</f>
        <v>20363.920769230732</v>
      </c>
    </row>
    <row r="29" spans="1:17" s="34" customFormat="1" hidden="1" outlineLevel="1" x14ac:dyDescent="0.3">
      <c r="A29" s="35"/>
      <c r="B29" s="10" t="str">
        <f>CONCATENATE("          ","6119", " - ","SICK LEAVE")</f>
        <v xml:space="preserve">          6119 - SICK LEAVE</v>
      </c>
      <c r="C29" s="14"/>
      <c r="D29" s="2">
        <v>961.41</v>
      </c>
      <c r="E29" s="2">
        <v>1565.0353846153801</v>
      </c>
      <c r="F29" s="2">
        <v>2230.1353846153802</v>
      </c>
      <c r="G29" s="2">
        <v>2823.6692307692301</v>
      </c>
      <c r="H29" s="2">
        <v>2110.4353846153799</v>
      </c>
      <c r="I29" s="2">
        <v>1980.5353846153801</v>
      </c>
      <c r="J29" s="2">
        <v>1992.5852307692301</v>
      </c>
      <c r="K29" s="2">
        <v>2297.1673846153799</v>
      </c>
      <c r="L29" s="2">
        <v>2297.1673846153799</v>
      </c>
      <c r="M29" s="2">
        <v>2555.3012307692302</v>
      </c>
      <c r="N29" s="2">
        <v>1640.8513846153801</v>
      </c>
      <c r="O29" s="2">
        <v>1032.5353846153801</v>
      </c>
      <c r="P29" s="9"/>
      <c r="Q29" s="2">
        <f>SUM(OSRRefD21_0_8x)+IFERROR(SUM(OSRRefE21_0_8x),0)</f>
        <v>23486.828769230728</v>
      </c>
    </row>
    <row r="30" spans="1:17" s="34" customFormat="1" hidden="1" outlineLevel="1" x14ac:dyDescent="0.3">
      <c r="A30" s="35"/>
      <c r="B30" s="10" t="str">
        <f>CONCATENATE("          ","6156", " - ","EMPLOYEE MEALS")</f>
        <v xml:space="preserve">          6156 - EMPLOYEE MEALS</v>
      </c>
      <c r="C30" s="14"/>
      <c r="D30" s="2">
        <v>760.62</v>
      </c>
      <c r="E30" s="2">
        <v>1925</v>
      </c>
      <c r="F30" s="2">
        <v>1925</v>
      </c>
      <c r="G30" s="2">
        <v>1925</v>
      </c>
      <c r="H30" s="2">
        <v>1925</v>
      </c>
      <c r="I30" s="2">
        <v>1925</v>
      </c>
      <c r="J30" s="2">
        <v>1925</v>
      </c>
      <c r="K30" s="2">
        <v>1925</v>
      </c>
      <c r="L30" s="2">
        <v>1925</v>
      </c>
      <c r="M30" s="2">
        <v>1925</v>
      </c>
      <c r="N30" s="2">
        <v>1925</v>
      </c>
      <c r="O30" s="2">
        <v>1925</v>
      </c>
      <c r="P30" s="9"/>
      <c r="Q30" s="2">
        <f>SUM(OSRRefD21_0_9x)+IFERROR(SUM(OSRRefE21_0_9x),0)</f>
        <v>21935.62</v>
      </c>
    </row>
    <row r="31" spans="1:17" s="34" customFormat="1" collapsed="1" x14ac:dyDescent="0.3">
      <c r="A31" s="35"/>
      <c r="B31" s="14" t="str">
        <f>CONCATENATE("     ","*Payroll                                          ")</f>
        <v xml:space="preserve">     *Payroll                                          </v>
      </c>
      <c r="C31" s="14"/>
      <c r="D31" s="1">
        <f>SUM(OSRRefD21_1x_0)</f>
        <v>19517.169999999998</v>
      </c>
      <c r="E31" s="1">
        <f>SUM(OSRRefE21_1x_0)</f>
        <v>48976.99538461538</v>
      </c>
      <c r="F31" s="1">
        <f>SUM(OSRRefE21_1x_1)</f>
        <v>70481.895384615374</v>
      </c>
      <c r="G31" s="1">
        <f>SUM(OSRRefE21_1x_2)</f>
        <v>89266.369230769225</v>
      </c>
      <c r="H31" s="1">
        <f>SUM(OSRRefE21_1x_3)</f>
        <v>66611.595384615386</v>
      </c>
      <c r="I31" s="1">
        <f>SUM(OSRRefE21_1x_4)</f>
        <v>62411.49538461538</v>
      </c>
      <c r="J31" s="1">
        <f>SUM(OSRRefE21_1x_5)</f>
        <v>62394.653230769225</v>
      </c>
      <c r="K31" s="1">
        <f>SUM(OSRRefE21_1x_6)</f>
        <v>72649.263384615377</v>
      </c>
      <c r="L31" s="1">
        <f>SUM(OSRRefE21_1x_7)</f>
        <v>72649.263384615377</v>
      </c>
      <c r="M31" s="1">
        <f>SUM(OSRRefE21_1x_8)</f>
        <v>80589.137230769222</v>
      </c>
      <c r="N31" s="1">
        <f>SUM(OSRRefE21_1x_9)</f>
        <v>51428.379384615379</v>
      </c>
      <c r="O31" s="1">
        <f>SUM(OSRRefE21_1x_10)</f>
        <v>31759.49538461538</v>
      </c>
      <c r="Q31" s="2">
        <f>SUM(OSRRefD20_1x)+IFERROR(SUM(OSRRefE20_1x),0)</f>
        <v>728735.71276923071</v>
      </c>
    </row>
    <row r="32" spans="1:17" s="34" customFormat="1" hidden="1" outlineLevel="1" x14ac:dyDescent="0.3">
      <c r="A32" s="35"/>
      <c r="B32" s="10" t="str">
        <f>CONCATENATE("          ","6001", " - ","ADMINISTRATIVE SALARIES")</f>
        <v xml:space="preserve">          6001 - ADMINISTRATIVE SALARIES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SUM(OSRRefD21_1_0x)+IFERROR(SUM(OSRRefE21_1_0x),0)</f>
        <v>0</v>
      </c>
    </row>
    <row r="33" spans="1:17" s="34" customFormat="1" hidden="1" outlineLevel="1" x14ac:dyDescent="0.3">
      <c r="A33" s="35"/>
      <c r="B33" s="10" t="str">
        <f>CONCATENATE("          ","6002", " - ","STAFF SALARIES")</f>
        <v xml:space="preserve">          6002 - STAFF SALARIES</v>
      </c>
      <c r="C33" s="14"/>
      <c r="D33" s="2">
        <v>5600</v>
      </c>
      <c r="E33" s="2">
        <v>4468.6153846153802</v>
      </c>
      <c r="F33" s="2">
        <v>4468.6153846153802</v>
      </c>
      <c r="G33" s="2">
        <v>5585.7692307692296</v>
      </c>
      <c r="H33" s="2">
        <v>4468.6153846153802</v>
      </c>
      <c r="I33" s="2">
        <v>4468.6153846153802</v>
      </c>
      <c r="J33" s="2">
        <v>5585.7692307692296</v>
      </c>
      <c r="K33" s="2">
        <v>4468.6153846153802</v>
      </c>
      <c r="L33" s="2">
        <v>4468.6153846153802</v>
      </c>
      <c r="M33" s="2">
        <v>5585.7692307692296</v>
      </c>
      <c r="N33" s="2">
        <v>4468.6153846153802</v>
      </c>
      <c r="O33" s="2">
        <v>4468.6153846153802</v>
      </c>
      <c r="P33" s="9"/>
      <c r="Q33" s="2">
        <f>SUM(OSRRefD21_1_1x)+IFERROR(SUM(OSRRefE21_1_1x),0)</f>
        <v>58106.230769230737</v>
      </c>
    </row>
    <row r="34" spans="1:17" s="34" customFormat="1" hidden="1" outlineLevel="1" x14ac:dyDescent="0.3">
      <c r="A34" s="35"/>
      <c r="B34" s="10" t="str">
        <f>CONCATENATE("          ","6003", " - ","STAFF HOURLY-9 MONTH")</f>
        <v xml:space="preserve">          6003 - STAFF HOURLY-9 MONTH</v>
      </c>
      <c r="C34" s="14"/>
      <c r="D34" s="2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SUM(OSRRefD21_1_2x)+IFERROR(SUM(OSRRefE21_1_2x),0)</f>
        <v>0</v>
      </c>
    </row>
    <row r="35" spans="1:17" s="34" customFormat="1" hidden="1" outlineLevel="1" x14ac:dyDescent="0.3">
      <c r="A35" s="35"/>
      <c r="B35" s="10" t="str">
        <f>CONCATENATE("          ","6004", " - ","STAFF HOURLY")</f>
        <v xml:space="preserve">          6004 - STAFF HOURLY</v>
      </c>
      <c r="C35" s="14"/>
      <c r="D35" s="2">
        <v>11837.17</v>
      </c>
      <c r="E35" s="2">
        <v>27290.880000000001</v>
      </c>
      <c r="F35" s="2">
        <v>27290.880000000001</v>
      </c>
      <c r="G35" s="2">
        <v>34113.599999999999</v>
      </c>
      <c r="H35" s="2">
        <v>27290.880000000001</v>
      </c>
      <c r="I35" s="2">
        <v>27290.880000000001</v>
      </c>
      <c r="J35" s="2">
        <v>34113.599999999999</v>
      </c>
      <c r="K35" s="2">
        <v>27290.880000000001</v>
      </c>
      <c r="L35" s="2">
        <v>27290.880000000001</v>
      </c>
      <c r="M35" s="2">
        <v>34113.599999999999</v>
      </c>
      <c r="N35" s="2">
        <v>27290.880000000001</v>
      </c>
      <c r="O35" s="2">
        <v>27290.880000000001</v>
      </c>
      <c r="P35" s="9"/>
      <c r="Q35" s="2">
        <f>SUM(OSRRefD21_1_3x)+IFERROR(SUM(OSRRefE21_1_3x),0)</f>
        <v>332505.01</v>
      </c>
    </row>
    <row r="36" spans="1:17" s="34" customFormat="1" hidden="1" outlineLevel="1" x14ac:dyDescent="0.3">
      <c r="A36" s="35"/>
      <c r="B36" s="10" t="str">
        <f>CONCATENATE("          ","6005", " - ","TEMPORARY WAGES-HOURLY")</f>
        <v xml:space="preserve">          6005 - TEMPORARY WAGES-HOURLY</v>
      </c>
      <c r="C36" s="14"/>
      <c r="D36" s="2"/>
      <c r="E36" s="2">
        <v>4656</v>
      </c>
      <c r="F36" s="2">
        <v>7760</v>
      </c>
      <c r="G36" s="2">
        <v>10864</v>
      </c>
      <c r="H36" s="2">
        <v>7760</v>
      </c>
      <c r="I36" s="2">
        <v>6208</v>
      </c>
      <c r="J36" s="2">
        <v>6130.4</v>
      </c>
      <c r="K36" s="2">
        <v>7760</v>
      </c>
      <c r="L36" s="2">
        <v>7760</v>
      </c>
      <c r="M36" s="2">
        <v>7760</v>
      </c>
      <c r="N36" s="2">
        <v>3104</v>
      </c>
      <c r="O36" s="2">
        <v>0</v>
      </c>
      <c r="P36" s="9"/>
      <c r="Q36" s="2">
        <f>SUM(OSRRefD21_1_4x)+IFERROR(SUM(OSRRefE21_1_4x),0)</f>
        <v>69762.399999999994</v>
      </c>
    </row>
    <row r="37" spans="1:17" s="34" customFormat="1" hidden="1" outlineLevel="1" x14ac:dyDescent="0.3">
      <c r="A37" s="35"/>
      <c r="B37" s="10" t="str">
        <f>CONCATENATE("          ","6006", " - ","TEMPORARY PART TIME")</f>
        <v xml:space="preserve">          6006 - TEMPORARY PART TIME</v>
      </c>
      <c r="C37" s="14"/>
      <c r="D37" s="2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9"/>
      <c r="Q37" s="2">
        <f>SUM(OSRRefD21_1_5x)+IFERROR(SUM(OSRRefE21_1_5x),0)</f>
        <v>0</v>
      </c>
    </row>
    <row r="38" spans="1:17" s="34" customFormat="1" hidden="1" outlineLevel="1" x14ac:dyDescent="0.3">
      <c r="A38" s="35"/>
      <c r="B38" s="10" t="str">
        <f>CONCATENATE("          ","6007", " - ","STUDENT HOURLY")</f>
        <v xml:space="preserve">          6007 - STUDENT HOURLY</v>
      </c>
      <c r="C38" s="14"/>
      <c r="D38" s="2">
        <v>2080</v>
      </c>
      <c r="E38" s="2">
        <v>12561.5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SUM(OSRRefD21_1_6x)+IFERROR(SUM(OSRRefE21_1_6x),0)</f>
        <v>14641.5</v>
      </c>
    </row>
    <row r="39" spans="1:17" s="34" customFormat="1" hidden="1" outlineLevel="1" x14ac:dyDescent="0.3">
      <c r="A39" s="35"/>
      <c r="B39" s="10" t="str">
        <f>CONCATENATE("          ","6008", " - ","STUDENT HOURLY-FICA EXEMPT")</f>
        <v xml:space="preserve">          6008 - STUDENT HOURLY-FICA EXEMPT</v>
      </c>
      <c r="C39" s="14"/>
      <c r="D39" s="2"/>
      <c r="E39" s="2">
        <v>0</v>
      </c>
      <c r="F39" s="2">
        <v>30962.400000000001</v>
      </c>
      <c r="G39" s="2">
        <v>38703</v>
      </c>
      <c r="H39" s="2">
        <v>27092.1</v>
      </c>
      <c r="I39" s="2">
        <v>24444</v>
      </c>
      <c r="J39" s="2">
        <v>16564.883999999998</v>
      </c>
      <c r="K39" s="2">
        <v>33129.767999999996</v>
      </c>
      <c r="L39" s="2">
        <v>33129.767999999996</v>
      </c>
      <c r="M39" s="2">
        <v>33129.767999999996</v>
      </c>
      <c r="N39" s="2">
        <v>16564.883999999998</v>
      </c>
      <c r="O39" s="2">
        <v>0</v>
      </c>
      <c r="P39" s="9"/>
      <c r="Q39" s="2">
        <f>SUM(OSRRefD21_1_7x)+IFERROR(SUM(OSRRefE21_1_7x),0)</f>
        <v>253720.57199999996</v>
      </c>
    </row>
    <row r="40" spans="1:17" s="34" customFormat="1" hidden="1" outlineLevel="1" x14ac:dyDescent="0.3">
      <c r="A40" s="35"/>
      <c r="B40" s="10" t="str">
        <f>CONCATENATE("          ","6009", " - ","TEMPORARY-SEASONAL")</f>
        <v xml:space="preserve">          6009 - TEMPORARY-SEASONAL</v>
      </c>
      <c r="C40" s="14"/>
      <c r="D40" s="2"/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9"/>
      <c r="Q40" s="2">
        <f>SUM(OSRRefD21_1_8x)+IFERROR(SUM(OSRRefE21_1_8x),0)</f>
        <v>0</v>
      </c>
    </row>
    <row r="41" spans="1:17" s="34" customFormat="1" hidden="1" outlineLevel="1" x14ac:dyDescent="0.3">
      <c r="A41" s="35"/>
      <c r="B41" s="10" t="str">
        <f>CONCATENATE("          ","6010", " - ","GRATUITY")</f>
        <v xml:space="preserve">          6010 - GRATUITY</v>
      </c>
      <c r="C41" s="14"/>
      <c r="D41" s="2"/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9"/>
      <c r="Q41" s="2">
        <f>SUM(OSRRefD21_1_9x)+IFERROR(SUM(OSRRefE21_1_9x),0)</f>
        <v>0</v>
      </c>
    </row>
    <row r="42" spans="1:17" s="34" customFormat="1" collapsed="1" x14ac:dyDescent="0.3">
      <c r="A42" s="35"/>
      <c r="B42" s="14" t="str">
        <f>CONCATENATE("     ","Advertising/Promo                                 ")</f>
        <v xml:space="preserve">     Advertising/Promo                                 </v>
      </c>
      <c r="C42" s="14"/>
      <c r="D42" s="1">
        <f>SUM(OSRRefD21_2x_0)</f>
        <v>40.32</v>
      </c>
      <c r="E42" s="1">
        <f>SUM(OSRRefE21_2x_0)</f>
        <v>350</v>
      </c>
      <c r="F42" s="1">
        <f>SUM(OSRRefE21_2x_1)</f>
        <v>350</v>
      </c>
      <c r="G42" s="1">
        <f>SUM(OSRRefE21_2x_2)</f>
        <v>350</v>
      </c>
      <c r="H42" s="1">
        <f>SUM(OSRRefE21_2x_3)</f>
        <v>350</v>
      </c>
      <c r="I42" s="1">
        <f>SUM(OSRRefE21_2x_4)</f>
        <v>350</v>
      </c>
      <c r="J42" s="1">
        <f>SUM(OSRRefE21_2x_5)</f>
        <v>350</v>
      </c>
      <c r="K42" s="1">
        <f>SUM(OSRRefE21_2x_6)</f>
        <v>350</v>
      </c>
      <c r="L42" s="1">
        <f>SUM(OSRRefE21_2x_7)</f>
        <v>350</v>
      </c>
      <c r="M42" s="1">
        <f>SUM(OSRRefE21_2x_8)</f>
        <v>350</v>
      </c>
      <c r="N42" s="1">
        <f>SUM(OSRRefE21_2x_9)</f>
        <v>350</v>
      </c>
      <c r="O42" s="1">
        <f>SUM(OSRRefE21_2x_10)</f>
        <v>0</v>
      </c>
      <c r="Q42" s="2">
        <f>SUM(OSRRefD20_2x)+IFERROR(SUM(OSRRefE20_2x),0)</f>
        <v>3540.32</v>
      </c>
    </row>
    <row r="43" spans="1:17" s="34" customFormat="1" hidden="1" outlineLevel="1" x14ac:dyDescent="0.3">
      <c r="A43" s="35"/>
      <c r="B43" s="10" t="str">
        <f>CONCATENATE("          ","6362", " - ","ADVERTISING EXPENSE")</f>
        <v xml:space="preserve">          6362 - ADVERTISING EXPENSE</v>
      </c>
      <c r="C43" s="14"/>
      <c r="D43" s="2">
        <v>40.32</v>
      </c>
      <c r="E43" s="2">
        <v>350</v>
      </c>
      <c r="F43" s="2">
        <v>350</v>
      </c>
      <c r="G43" s="2">
        <v>350</v>
      </c>
      <c r="H43" s="2">
        <v>350</v>
      </c>
      <c r="I43" s="2">
        <v>350</v>
      </c>
      <c r="J43" s="2">
        <v>350</v>
      </c>
      <c r="K43" s="2">
        <v>350</v>
      </c>
      <c r="L43" s="2">
        <v>350</v>
      </c>
      <c r="M43" s="2">
        <v>350</v>
      </c>
      <c r="N43" s="2">
        <v>350</v>
      </c>
      <c r="O43" s="2"/>
      <c r="P43" s="9"/>
      <c r="Q43" s="2">
        <f>SUM(OSRRefD21_2_0x)+IFERROR(SUM(OSRRefE21_2_0x),0)</f>
        <v>3540.32</v>
      </c>
    </row>
    <row r="44" spans="1:17" s="34" customFormat="1" collapsed="1" x14ac:dyDescent="0.3">
      <c r="A44" s="35"/>
      <c r="B44" s="14" t="str">
        <f>CONCATENATE("     ","Bad Debts/Over/Short                              ")</f>
        <v xml:space="preserve">     Bad Debts/Over/Short                              </v>
      </c>
      <c r="C44" s="14"/>
      <c r="D44" s="1">
        <f>SUM(OSRRefD21_3x_0)</f>
        <v>0</v>
      </c>
      <c r="E44" s="1">
        <f>SUM(OSRRefE21_3x_0)</f>
        <v>10</v>
      </c>
      <c r="F44" s="1">
        <f>SUM(OSRRefE21_3x_1)</f>
        <v>10</v>
      </c>
      <c r="G44" s="1">
        <f>SUM(OSRRefE21_3x_2)</f>
        <v>10</v>
      </c>
      <c r="H44" s="1">
        <f>SUM(OSRRefE21_3x_3)</f>
        <v>10</v>
      </c>
      <c r="I44" s="1">
        <f>SUM(OSRRefE21_3x_4)</f>
        <v>10</v>
      </c>
      <c r="J44" s="1">
        <f>SUM(OSRRefE21_3x_5)</f>
        <v>10</v>
      </c>
      <c r="K44" s="1">
        <f>SUM(OSRRefE21_3x_6)</f>
        <v>10</v>
      </c>
      <c r="L44" s="1">
        <f>SUM(OSRRefE21_3x_7)</f>
        <v>10</v>
      </c>
      <c r="M44" s="1">
        <f>SUM(OSRRefE21_3x_8)</f>
        <v>10</v>
      </c>
      <c r="N44" s="1">
        <f>SUM(OSRRefE21_3x_9)</f>
        <v>10</v>
      </c>
      <c r="O44" s="1">
        <f>SUM(OSRRefE21_3x_10)</f>
        <v>0</v>
      </c>
      <c r="Q44" s="2">
        <f>SUM(OSRRefD20_3x)+IFERROR(SUM(OSRRefE20_3x),0)</f>
        <v>100</v>
      </c>
    </row>
    <row r="45" spans="1:17" s="34" customFormat="1" hidden="1" outlineLevel="1" x14ac:dyDescent="0.3">
      <c r="A45" s="35"/>
      <c r="B45" s="10" t="str">
        <f>CONCATENATE("          ","6272", " - ","CASH (OVER/SHORT)")</f>
        <v xml:space="preserve">          6272 - CASH (OVER/SHORT)</v>
      </c>
      <c r="C45" s="14"/>
      <c r="D45" s="2"/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v>10</v>
      </c>
      <c r="N45" s="2">
        <v>10</v>
      </c>
      <c r="O45" s="2"/>
      <c r="P45" s="9"/>
      <c r="Q45" s="2">
        <f>SUM(OSRRefD21_3_0x)+IFERROR(SUM(OSRRefE21_3_0x),0)</f>
        <v>100</v>
      </c>
    </row>
    <row r="46" spans="1:17" s="34" customFormat="1" collapsed="1" x14ac:dyDescent="0.3">
      <c r="A46" s="35"/>
      <c r="B46" s="14" t="str">
        <f>CONCATENATE("     ","Bank/card Fees                                    ")</f>
        <v xml:space="preserve">     Bank/card Fees                                    </v>
      </c>
      <c r="C46" s="14"/>
      <c r="D46" s="1">
        <f>SUM(OSRRefD21_4x_0)</f>
        <v>0</v>
      </c>
      <c r="E46" s="1">
        <f>SUM(OSRRefE21_4x_0)</f>
        <v>25</v>
      </c>
      <c r="F46" s="1">
        <f>SUM(OSRRefE21_4x_1)</f>
        <v>25</v>
      </c>
      <c r="G46" s="1">
        <f>SUM(OSRRefE21_4x_2)</f>
        <v>25</v>
      </c>
      <c r="H46" s="1">
        <f>SUM(OSRRefE21_4x_3)</f>
        <v>25</v>
      </c>
      <c r="I46" s="1">
        <f>SUM(OSRRefE21_4x_4)</f>
        <v>25</v>
      </c>
      <c r="J46" s="1">
        <f>SUM(OSRRefE21_4x_5)</f>
        <v>25</v>
      </c>
      <c r="K46" s="1">
        <f>SUM(OSRRefE21_4x_6)</f>
        <v>25</v>
      </c>
      <c r="L46" s="1">
        <f>SUM(OSRRefE21_4x_7)</f>
        <v>25</v>
      </c>
      <c r="M46" s="1">
        <f>SUM(OSRRefE21_4x_8)</f>
        <v>25</v>
      </c>
      <c r="N46" s="1">
        <f>SUM(OSRRefE21_4x_9)</f>
        <v>25</v>
      </c>
      <c r="O46" s="1">
        <f>SUM(OSRRefE21_4x_10)</f>
        <v>0</v>
      </c>
      <c r="Q46" s="2">
        <f>SUM(OSRRefD20_4x)+IFERROR(SUM(OSRRefE20_4x),0)</f>
        <v>250</v>
      </c>
    </row>
    <row r="47" spans="1:17" s="34" customFormat="1" hidden="1" outlineLevel="1" x14ac:dyDescent="0.3">
      <c r="A47" s="35"/>
      <c r="B47" s="10" t="str">
        <f>CONCATENATE("          ","6381", " - ","BANK/CREDIT CARD FEES")</f>
        <v xml:space="preserve">          6381 - BANK/CREDIT CARD FEES</v>
      </c>
      <c r="C47" s="14"/>
      <c r="D47" s="2"/>
      <c r="E47" s="2">
        <v>25</v>
      </c>
      <c r="F47" s="2">
        <v>25</v>
      </c>
      <c r="G47" s="2">
        <v>25</v>
      </c>
      <c r="H47" s="2">
        <v>25</v>
      </c>
      <c r="I47" s="2">
        <v>25</v>
      </c>
      <c r="J47" s="2">
        <v>25</v>
      </c>
      <c r="K47" s="2">
        <v>25</v>
      </c>
      <c r="L47" s="2">
        <v>25</v>
      </c>
      <c r="M47" s="2">
        <v>25</v>
      </c>
      <c r="N47" s="2">
        <v>25</v>
      </c>
      <c r="O47" s="2"/>
      <c r="P47" s="9"/>
      <c r="Q47" s="2">
        <f>SUM(OSRRefD21_4_0x)+IFERROR(SUM(OSRRefE21_4_0x),0)</f>
        <v>250</v>
      </c>
    </row>
    <row r="48" spans="1:17" s="34" customFormat="1" collapsed="1" x14ac:dyDescent="0.3">
      <c r="A48" s="35"/>
      <c r="B48" s="14" t="str">
        <f>CONCATENATE("     ","Depreciation                                      ")</f>
        <v xml:space="preserve">     Depreciation                                      </v>
      </c>
      <c r="C48" s="14"/>
      <c r="D48" s="1">
        <f>SUM(OSRRefD21_5x_0)</f>
        <v>213.02</v>
      </c>
      <c r="E48" s="1">
        <f>SUM(OSRRefE21_5x_0)</f>
        <v>213</v>
      </c>
      <c r="F48" s="1">
        <f>SUM(OSRRefE21_5x_1)</f>
        <v>213</v>
      </c>
      <c r="G48" s="1">
        <f>SUM(OSRRefE21_5x_2)</f>
        <v>213</v>
      </c>
      <c r="H48" s="1">
        <f>SUM(OSRRefE21_5x_3)</f>
        <v>213</v>
      </c>
      <c r="I48" s="1">
        <f>SUM(OSRRefE21_5x_4)</f>
        <v>213</v>
      </c>
      <c r="J48" s="1">
        <f>SUM(OSRRefE21_5x_5)</f>
        <v>213</v>
      </c>
      <c r="K48" s="1">
        <f>SUM(OSRRefE21_5x_6)</f>
        <v>213</v>
      </c>
      <c r="L48" s="1">
        <f>SUM(OSRRefE21_5x_7)</f>
        <v>213</v>
      </c>
      <c r="M48" s="1">
        <f>SUM(OSRRefE21_5x_8)</f>
        <v>213</v>
      </c>
      <c r="N48" s="1">
        <f>SUM(OSRRefE21_5x_9)</f>
        <v>213</v>
      </c>
      <c r="O48" s="1">
        <f>SUM(OSRRefE21_5x_10)</f>
        <v>213</v>
      </c>
      <c r="Q48" s="2">
        <f>SUM(OSRRefD20_5x)+IFERROR(SUM(OSRRefE20_5x),0)</f>
        <v>2556.02</v>
      </c>
    </row>
    <row r="49" spans="1:17" s="34" customFormat="1" hidden="1" outlineLevel="1" x14ac:dyDescent="0.3">
      <c r="A49" s="35"/>
      <c r="B49" s="10" t="str">
        <f>CONCATENATE("          ","6322", " - ","EQUIPMENT DEPRECIATION EXPENSE")</f>
        <v xml:space="preserve">          6322 - EQUIPMENT DEPRECIATION EXPENSE</v>
      </c>
      <c r="C49" s="14"/>
      <c r="D49" s="2">
        <v>213.02</v>
      </c>
      <c r="E49" s="2">
        <v>213</v>
      </c>
      <c r="F49" s="2">
        <v>213</v>
      </c>
      <c r="G49" s="2">
        <v>213</v>
      </c>
      <c r="H49" s="2">
        <v>213</v>
      </c>
      <c r="I49" s="2">
        <v>213</v>
      </c>
      <c r="J49" s="2">
        <v>213</v>
      </c>
      <c r="K49" s="2">
        <v>213</v>
      </c>
      <c r="L49" s="2">
        <v>213</v>
      </c>
      <c r="M49" s="2">
        <v>213</v>
      </c>
      <c r="N49" s="2">
        <v>213</v>
      </c>
      <c r="O49" s="2">
        <v>213</v>
      </c>
      <c r="P49" s="9"/>
      <c r="Q49" s="2">
        <f>SUM(OSRRefD21_5_0x)+IFERROR(SUM(OSRRefE21_5_0x),0)</f>
        <v>2556.02</v>
      </c>
    </row>
    <row r="50" spans="1:17" s="34" customFormat="1" collapsed="1" x14ac:dyDescent="0.3">
      <c r="A50" s="35"/>
      <c r="B50" s="14" t="str">
        <f>CONCATENATE("     ","Donations                                         ")</f>
        <v xml:space="preserve">     Donations                                         </v>
      </c>
      <c r="C50" s="14"/>
      <c r="D50" s="1">
        <f>SUM(OSRRefD21_6x_0)</f>
        <v>0</v>
      </c>
      <c r="E50" s="1">
        <f>SUM(OSRRefE21_6x_0)</f>
        <v>3000</v>
      </c>
      <c r="F50" s="1">
        <f>SUM(OSRRefE21_6x_1)</f>
        <v>3000</v>
      </c>
      <c r="G50" s="1">
        <f>SUM(OSRRefE21_6x_2)</f>
        <v>3000</v>
      </c>
      <c r="H50" s="1">
        <f>SUM(OSRRefE21_6x_3)</f>
        <v>3000</v>
      </c>
      <c r="I50" s="1">
        <f>SUM(OSRRefE21_6x_4)</f>
        <v>3000</v>
      </c>
      <c r="J50" s="1">
        <f>SUM(OSRRefE21_6x_5)</f>
        <v>3000</v>
      </c>
      <c r="K50" s="1">
        <f>SUM(OSRRefE21_6x_6)</f>
        <v>3000</v>
      </c>
      <c r="L50" s="1">
        <f>SUM(OSRRefE21_6x_7)</f>
        <v>3000</v>
      </c>
      <c r="M50" s="1">
        <f>SUM(OSRRefE21_6x_8)</f>
        <v>3000</v>
      </c>
      <c r="N50" s="1">
        <f>SUM(OSRRefE21_6x_9)</f>
        <v>3000</v>
      </c>
      <c r="O50" s="1">
        <f>SUM(OSRRefE21_6x_10)</f>
        <v>0</v>
      </c>
      <c r="Q50" s="2">
        <f>SUM(OSRRefD20_6x)+IFERROR(SUM(OSRRefE20_6x),0)</f>
        <v>30000</v>
      </c>
    </row>
    <row r="51" spans="1:17" s="34" customFormat="1" hidden="1" outlineLevel="1" x14ac:dyDescent="0.3">
      <c r="A51" s="35"/>
      <c r="B51" s="10" t="str">
        <f>CONCATENATE("          ","6399", " - ","DONATION-ON CAMPUS")</f>
        <v xml:space="preserve">          6399 - DONATION-ON CAMPUS</v>
      </c>
      <c r="C51" s="14"/>
      <c r="D51" s="2"/>
      <c r="E51" s="2">
        <v>3000</v>
      </c>
      <c r="F51" s="2">
        <v>3000</v>
      </c>
      <c r="G51" s="2">
        <v>3000</v>
      </c>
      <c r="H51" s="2">
        <v>3000</v>
      </c>
      <c r="I51" s="2">
        <v>3000</v>
      </c>
      <c r="J51" s="2">
        <v>3000</v>
      </c>
      <c r="K51" s="2">
        <v>3000</v>
      </c>
      <c r="L51" s="2">
        <v>3000</v>
      </c>
      <c r="M51" s="2">
        <v>3000</v>
      </c>
      <c r="N51" s="2">
        <v>3000</v>
      </c>
      <c r="O51" s="2"/>
      <c r="P51" s="9"/>
      <c r="Q51" s="2">
        <f>SUM(OSRRefD21_6_0x)+IFERROR(SUM(OSRRefE21_6_0x),0)</f>
        <v>30000</v>
      </c>
    </row>
    <row r="52" spans="1:17" s="34" customFormat="1" collapsed="1" x14ac:dyDescent="0.3">
      <c r="A52" s="35"/>
      <c r="B52" s="14" t="str">
        <f>CONCATENATE("     ","Employees' Appreciation                           ")</f>
        <v xml:space="preserve">     Employees' Appreciation                           </v>
      </c>
      <c r="C52" s="14"/>
      <c r="D52" s="1">
        <f>SUM(OSRRefD21_7x_0)</f>
        <v>0</v>
      </c>
      <c r="E52" s="1">
        <f>SUM(OSRRefE21_7x_0)</f>
        <v>50</v>
      </c>
      <c r="F52" s="1">
        <f>SUM(OSRRefE21_7x_1)</f>
        <v>50</v>
      </c>
      <c r="G52" s="1">
        <f>SUM(OSRRefE21_7x_2)</f>
        <v>50</v>
      </c>
      <c r="H52" s="1">
        <f>SUM(OSRRefE21_7x_3)</f>
        <v>50</v>
      </c>
      <c r="I52" s="1">
        <f>SUM(OSRRefE21_7x_4)</f>
        <v>50</v>
      </c>
      <c r="J52" s="1">
        <f>SUM(OSRRefE21_7x_5)</f>
        <v>50</v>
      </c>
      <c r="K52" s="1">
        <f>SUM(OSRRefE21_7x_6)</f>
        <v>50</v>
      </c>
      <c r="L52" s="1">
        <f>SUM(OSRRefE21_7x_7)</f>
        <v>50</v>
      </c>
      <c r="M52" s="1">
        <f>SUM(OSRRefE21_7x_8)</f>
        <v>50</v>
      </c>
      <c r="N52" s="1">
        <f>SUM(OSRRefE21_7x_9)</f>
        <v>50</v>
      </c>
      <c r="O52" s="1">
        <f>SUM(OSRRefE21_7x_10)</f>
        <v>50</v>
      </c>
      <c r="Q52" s="2">
        <f>SUM(OSRRefD20_7x)+IFERROR(SUM(OSRRefE20_7x),0)</f>
        <v>550</v>
      </c>
    </row>
    <row r="53" spans="1:17" s="34" customFormat="1" hidden="1" outlineLevel="1" x14ac:dyDescent="0.3">
      <c r="A53" s="35"/>
      <c r="B53" s="10" t="str">
        <f>CONCATENATE("          ","6277", " - ","EMPLOYEE APPRECIATION")</f>
        <v xml:space="preserve">          6277 - EMPLOYEE APPRECIATION</v>
      </c>
      <c r="C53" s="14"/>
      <c r="D53" s="2"/>
      <c r="E53" s="2">
        <v>50</v>
      </c>
      <c r="F53" s="2">
        <v>50</v>
      </c>
      <c r="G53" s="2">
        <v>50</v>
      </c>
      <c r="H53" s="2">
        <v>50</v>
      </c>
      <c r="I53" s="2">
        <v>50</v>
      </c>
      <c r="J53" s="2">
        <v>50</v>
      </c>
      <c r="K53" s="2">
        <v>50</v>
      </c>
      <c r="L53" s="2">
        <v>50</v>
      </c>
      <c r="M53" s="2">
        <v>50</v>
      </c>
      <c r="N53" s="2">
        <v>50</v>
      </c>
      <c r="O53" s="2">
        <v>50</v>
      </c>
      <c r="P53" s="9"/>
      <c r="Q53" s="2">
        <f>SUM(OSRRefD21_7_0x)+IFERROR(SUM(OSRRefE21_7_0x),0)</f>
        <v>550</v>
      </c>
    </row>
    <row r="54" spans="1:17" s="34" customFormat="1" collapsed="1" x14ac:dyDescent="0.3">
      <c r="A54" s="35"/>
      <c r="B54" s="14" t="str">
        <f>CONCATENATE("     ","General                                           ")</f>
        <v xml:space="preserve">     General                                           </v>
      </c>
      <c r="C54" s="14"/>
      <c r="D54" s="1">
        <f>SUM(OSRRefD21_8x_0)</f>
        <v>0</v>
      </c>
      <c r="E54" s="1">
        <f>SUM(OSRRefE21_8x_0)</f>
        <v>0</v>
      </c>
      <c r="F54" s="1">
        <f>SUM(OSRRefE21_8x_1)</f>
        <v>0</v>
      </c>
      <c r="G54" s="1">
        <f>SUM(OSRRefE21_8x_2)</f>
        <v>0</v>
      </c>
      <c r="H54" s="1">
        <f>SUM(OSRRefE21_8x_3)</f>
        <v>0</v>
      </c>
      <c r="I54" s="1">
        <f>SUM(OSRRefE21_8x_4)</f>
        <v>0</v>
      </c>
      <c r="J54" s="1">
        <f>SUM(OSRRefE21_8x_5)</f>
        <v>0</v>
      </c>
      <c r="K54" s="1">
        <f>SUM(OSRRefE21_8x_6)</f>
        <v>0</v>
      </c>
      <c r="L54" s="1">
        <f>SUM(OSRRefE21_8x_7)</f>
        <v>600</v>
      </c>
      <c r="M54" s="1">
        <f>SUM(OSRRefE21_8x_8)</f>
        <v>0</v>
      </c>
      <c r="N54" s="1">
        <f>SUM(OSRRefE21_8x_9)</f>
        <v>0</v>
      </c>
      <c r="O54" s="1">
        <f>SUM(OSRRefE21_8x_10)</f>
        <v>0</v>
      </c>
      <c r="Q54" s="2">
        <f>SUM(OSRRefD20_8x)+IFERROR(SUM(OSRRefE20_8x),0)</f>
        <v>600</v>
      </c>
    </row>
    <row r="55" spans="1:17" s="34" customFormat="1" hidden="1" outlineLevel="1" x14ac:dyDescent="0.3">
      <c r="A55" s="35"/>
      <c r="B55" s="10" t="str">
        <f>CONCATENATE("          ","6279", " - ","GENERAL EXPENSE")</f>
        <v xml:space="preserve">          6279 - GENERAL EXPENSE</v>
      </c>
      <c r="C55" s="14"/>
      <c r="D55" s="2"/>
      <c r="E55" s="2"/>
      <c r="F55" s="2"/>
      <c r="G55" s="2"/>
      <c r="H55" s="2"/>
      <c r="I55" s="2"/>
      <c r="J55" s="2"/>
      <c r="K55" s="2"/>
      <c r="L55" s="2">
        <v>600</v>
      </c>
      <c r="M55" s="2"/>
      <c r="N55" s="2"/>
      <c r="O55" s="2"/>
      <c r="P55" s="9"/>
      <c r="Q55" s="2">
        <f>SUM(OSRRefD21_8_0x)+IFERROR(SUM(OSRRefE21_8_0x),0)</f>
        <v>600</v>
      </c>
    </row>
    <row r="56" spans="1:17" s="34" customFormat="1" collapsed="1" x14ac:dyDescent="0.3">
      <c r="A56" s="35"/>
      <c r="B56" s="14" t="str">
        <f>CONCATENATE("     ","Insurance                                         ")</f>
        <v xml:space="preserve">     Insurance                                         </v>
      </c>
      <c r="C56" s="14"/>
      <c r="D56" s="1">
        <f>SUM(OSRRefD21_9x_0)</f>
        <v>5.22</v>
      </c>
      <c r="E56" s="1">
        <f>SUM(OSRRefE21_9x_0)</f>
        <v>10</v>
      </c>
      <c r="F56" s="1">
        <f>SUM(OSRRefE21_9x_1)</f>
        <v>10</v>
      </c>
      <c r="G56" s="1">
        <f>SUM(OSRRefE21_9x_2)</f>
        <v>10</v>
      </c>
      <c r="H56" s="1">
        <f>SUM(OSRRefE21_9x_3)</f>
        <v>10</v>
      </c>
      <c r="I56" s="1">
        <f>SUM(OSRRefE21_9x_4)</f>
        <v>10</v>
      </c>
      <c r="J56" s="1">
        <f>SUM(OSRRefE21_9x_5)</f>
        <v>10</v>
      </c>
      <c r="K56" s="1">
        <f>SUM(OSRRefE21_9x_6)</f>
        <v>10</v>
      </c>
      <c r="L56" s="1">
        <f>SUM(OSRRefE21_9x_7)</f>
        <v>10</v>
      </c>
      <c r="M56" s="1">
        <f>SUM(OSRRefE21_9x_8)</f>
        <v>10</v>
      </c>
      <c r="N56" s="1">
        <f>SUM(OSRRefE21_9x_9)</f>
        <v>10</v>
      </c>
      <c r="O56" s="1">
        <f>SUM(OSRRefE21_9x_10)</f>
        <v>10</v>
      </c>
      <c r="Q56" s="2">
        <f>SUM(OSRRefD20_9x)+IFERROR(SUM(OSRRefE20_9x),0)</f>
        <v>115.22</v>
      </c>
    </row>
    <row r="57" spans="1:17" s="34" customFormat="1" hidden="1" outlineLevel="1" x14ac:dyDescent="0.3">
      <c r="A57" s="35"/>
      <c r="B57" s="10" t="str">
        <f>CONCATENATE("          ","6314", " - ","LIABILITY INSURANCE")</f>
        <v xml:space="preserve">          6314 - LIABILITY INSURANCE</v>
      </c>
      <c r="C57" s="14"/>
      <c r="D57" s="2">
        <v>5.22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10</v>
      </c>
      <c r="L57" s="2">
        <v>10</v>
      </c>
      <c r="M57" s="2">
        <v>10</v>
      </c>
      <c r="N57" s="2">
        <v>10</v>
      </c>
      <c r="O57" s="2">
        <v>10</v>
      </c>
      <c r="P57" s="9"/>
      <c r="Q57" s="2">
        <f>SUM(OSRRefD21_9_0x)+IFERROR(SUM(OSRRefE21_9_0x),0)</f>
        <v>115.22</v>
      </c>
    </row>
    <row r="58" spans="1:17" s="34" customFormat="1" collapsed="1" x14ac:dyDescent="0.3">
      <c r="A58" s="35"/>
      <c r="B58" s="14" t="str">
        <f>CONCATENATE("     ","R/H Commissions                                   ")</f>
        <v xml:space="preserve">     R/H Commissions                                   </v>
      </c>
      <c r="C58" s="14"/>
      <c r="D58" s="1">
        <f>SUM(OSRRefD21_10x_0)</f>
        <v>0</v>
      </c>
      <c r="E58" s="1">
        <f>SUM(OSRRefE21_10x_0)</f>
        <v>2419</v>
      </c>
      <c r="F58" s="1">
        <f>SUM(OSRRefE21_10x_1)</f>
        <v>9677</v>
      </c>
      <c r="G58" s="1">
        <f>SUM(OSRRefE21_10x_2)</f>
        <v>12096</v>
      </c>
      <c r="H58" s="1">
        <f>SUM(OSRRefE21_10x_3)</f>
        <v>6912</v>
      </c>
      <c r="I58" s="1">
        <f>SUM(OSRRefE21_10x_4)</f>
        <v>7603</v>
      </c>
      <c r="J58" s="1">
        <f>SUM(OSRRefE21_10x_5)</f>
        <v>3802</v>
      </c>
      <c r="K58" s="1">
        <f>SUM(OSRRefE21_10x_6)</f>
        <v>9677</v>
      </c>
      <c r="L58" s="1">
        <f>SUM(OSRRefE21_10x_7)</f>
        <v>9331</v>
      </c>
      <c r="M58" s="1">
        <f>SUM(OSRRefE21_10x_8)</f>
        <v>9331</v>
      </c>
      <c r="N58" s="1">
        <f>SUM(OSRRefE21_10x_9)</f>
        <v>5184</v>
      </c>
      <c r="O58" s="1">
        <f>SUM(OSRRefE21_10x_10)</f>
        <v>0</v>
      </c>
      <c r="Q58" s="2">
        <f>SUM(OSRRefD20_10x)+IFERROR(SUM(OSRRefE20_10x),0)</f>
        <v>76032</v>
      </c>
    </row>
    <row r="59" spans="1:17" s="34" customFormat="1" hidden="1" outlineLevel="1" x14ac:dyDescent="0.3">
      <c r="A59" s="35"/>
      <c r="B59" s="10" t="str">
        <f>CONCATENATE("          ","6387", " - ","COMMISSION DUE HOUSING")</f>
        <v xml:space="preserve">          6387 - COMMISSION DUE HOUSING</v>
      </c>
      <c r="C59" s="14"/>
      <c r="D59" s="2"/>
      <c r="E59" s="2">
        <v>2419</v>
      </c>
      <c r="F59" s="2">
        <v>9677</v>
      </c>
      <c r="G59" s="2">
        <v>12096</v>
      </c>
      <c r="H59" s="2">
        <v>6912</v>
      </c>
      <c r="I59" s="2">
        <v>7603</v>
      </c>
      <c r="J59" s="2">
        <v>3802</v>
      </c>
      <c r="K59" s="2">
        <v>9677</v>
      </c>
      <c r="L59" s="2">
        <v>9331</v>
      </c>
      <c r="M59" s="2">
        <v>9331</v>
      </c>
      <c r="N59" s="2">
        <v>5184</v>
      </c>
      <c r="O59" s="2"/>
      <c r="P59" s="9"/>
      <c r="Q59" s="2">
        <f>SUM(OSRRefD21_10_0x)+IFERROR(SUM(OSRRefE21_10_0x),0)</f>
        <v>76032</v>
      </c>
    </row>
    <row r="60" spans="1:17" s="34" customFormat="1" collapsed="1" x14ac:dyDescent="0.3">
      <c r="A60" s="35"/>
      <c r="B60" s="14" t="str">
        <f>CONCATENATE("     ","Repair and Maintenance                            ")</f>
        <v xml:space="preserve">     Repair and Maintenance                            </v>
      </c>
      <c r="C60" s="14"/>
      <c r="D60" s="1">
        <f>SUM(OSRRefD21_11x_0)</f>
        <v>0</v>
      </c>
      <c r="E60" s="1">
        <f>SUM(OSRRefE21_11x_0)</f>
        <v>100</v>
      </c>
      <c r="F60" s="1">
        <f>SUM(OSRRefE21_11x_1)</f>
        <v>1600</v>
      </c>
      <c r="G60" s="1">
        <f>SUM(OSRRefE21_11x_2)</f>
        <v>100</v>
      </c>
      <c r="H60" s="1">
        <f>SUM(OSRRefE21_11x_3)</f>
        <v>100</v>
      </c>
      <c r="I60" s="1">
        <f>SUM(OSRRefE21_11x_4)</f>
        <v>100</v>
      </c>
      <c r="J60" s="1">
        <f>SUM(OSRRefE21_11x_5)</f>
        <v>1600</v>
      </c>
      <c r="K60" s="1">
        <f>SUM(OSRRefE21_11x_6)</f>
        <v>100</v>
      </c>
      <c r="L60" s="1">
        <f>SUM(OSRRefE21_11x_7)</f>
        <v>100</v>
      </c>
      <c r="M60" s="1">
        <f>SUM(OSRRefE21_11x_8)</f>
        <v>1600</v>
      </c>
      <c r="N60" s="1">
        <f>SUM(OSRRefE21_11x_9)</f>
        <v>100</v>
      </c>
      <c r="O60" s="1">
        <f>SUM(OSRRefE21_11x_10)</f>
        <v>100</v>
      </c>
      <c r="Q60" s="2">
        <f>SUM(OSRRefD20_11x)+IFERROR(SUM(OSRRefE20_11x),0)</f>
        <v>5600</v>
      </c>
    </row>
    <row r="61" spans="1:17" s="34" customFormat="1" hidden="1" outlineLevel="1" x14ac:dyDescent="0.3">
      <c r="A61" s="35"/>
      <c r="B61" s="10" t="str">
        <f>CONCATENATE("          ","6373", " - ","MAINTENANCE CONTRACTS")</f>
        <v xml:space="preserve">          6373 - MAINTENANCE CONTRACTS</v>
      </c>
      <c r="C61" s="14"/>
      <c r="D61" s="2"/>
      <c r="E61" s="2"/>
      <c r="F61" s="2">
        <v>1500</v>
      </c>
      <c r="G61" s="2"/>
      <c r="H61" s="2"/>
      <c r="I61" s="2"/>
      <c r="J61" s="2">
        <v>1500</v>
      </c>
      <c r="K61" s="2"/>
      <c r="L61" s="2"/>
      <c r="M61" s="2">
        <v>1500</v>
      </c>
      <c r="N61" s="2"/>
      <c r="O61" s="2"/>
      <c r="P61" s="9"/>
      <c r="Q61" s="2">
        <f>SUM(OSRRefD21_11_0x)+IFERROR(SUM(OSRRefE21_11_0x),0)</f>
        <v>4500</v>
      </c>
    </row>
    <row r="62" spans="1:17" s="34" customFormat="1" hidden="1" outlineLevel="1" x14ac:dyDescent="0.3">
      <c r="A62" s="35"/>
      <c r="B62" s="10" t="str">
        <f>CONCATENATE("          ","6375", " - ","OUTSIDE REPAIRS &amp; MAINTENANCE")</f>
        <v xml:space="preserve">          6375 - OUTSIDE REPAIRS &amp; MAINTENANCE</v>
      </c>
      <c r="C62" s="14"/>
      <c r="D62" s="2"/>
      <c r="E62" s="2">
        <v>100</v>
      </c>
      <c r="F62" s="2">
        <v>100</v>
      </c>
      <c r="G62" s="2">
        <v>100</v>
      </c>
      <c r="H62" s="2">
        <v>100</v>
      </c>
      <c r="I62" s="2">
        <v>100</v>
      </c>
      <c r="J62" s="2">
        <v>100</v>
      </c>
      <c r="K62" s="2">
        <v>100</v>
      </c>
      <c r="L62" s="2">
        <v>100</v>
      </c>
      <c r="M62" s="2">
        <v>100</v>
      </c>
      <c r="N62" s="2">
        <v>100</v>
      </c>
      <c r="O62" s="2">
        <v>100</v>
      </c>
      <c r="P62" s="9"/>
      <c r="Q62" s="2">
        <f>SUM(OSRRefD21_11_1x)+IFERROR(SUM(OSRRefE21_11_1x),0)</f>
        <v>1100</v>
      </c>
    </row>
    <row r="63" spans="1:17" s="34" customFormat="1" collapsed="1" x14ac:dyDescent="0.3">
      <c r="A63" s="35"/>
      <c r="B63" s="14" t="str">
        <f>CONCATENATE("     ","Services                                          ")</f>
        <v xml:space="preserve">     Services                                          </v>
      </c>
      <c r="C63" s="14"/>
      <c r="D63" s="1">
        <f>SUM(OSRRefD21_12x_0)</f>
        <v>2419.64</v>
      </c>
      <c r="E63" s="1">
        <f>SUM(OSRRefE21_12x_0)</f>
        <v>6972</v>
      </c>
      <c r="F63" s="1">
        <f>SUM(OSRRefE21_12x_1)</f>
        <v>6972</v>
      </c>
      <c r="G63" s="1">
        <f>SUM(OSRRefE21_12x_2)</f>
        <v>6972</v>
      </c>
      <c r="H63" s="1">
        <f>SUM(OSRRefE21_12x_3)</f>
        <v>6972</v>
      </c>
      <c r="I63" s="1">
        <f>SUM(OSRRefE21_12x_4)</f>
        <v>6972</v>
      </c>
      <c r="J63" s="1">
        <f>SUM(OSRRefE21_12x_5)</f>
        <v>7224</v>
      </c>
      <c r="K63" s="1">
        <f>SUM(OSRRefE21_12x_6)</f>
        <v>7224</v>
      </c>
      <c r="L63" s="1">
        <f>SUM(OSRRefE21_12x_7)</f>
        <v>7224</v>
      </c>
      <c r="M63" s="1">
        <f>SUM(OSRRefE21_12x_8)</f>
        <v>7224</v>
      </c>
      <c r="N63" s="1">
        <f>SUM(OSRRefE21_12x_9)</f>
        <v>7224</v>
      </c>
      <c r="O63" s="1">
        <f>SUM(OSRRefE21_12x_10)</f>
        <v>7224</v>
      </c>
      <c r="Q63" s="2">
        <f>SUM(OSRRefD20_12x)+IFERROR(SUM(OSRRefE20_12x),0)</f>
        <v>80623.64</v>
      </c>
    </row>
    <row r="64" spans="1:17" s="34" customFormat="1" hidden="1" outlineLevel="1" x14ac:dyDescent="0.3">
      <c r="A64" s="35"/>
      <c r="B64" s="10" t="str">
        <f>CONCATENATE("          ","6282", " - ","JANITORIAL/EXTERMINATOR EXPENS")</f>
        <v xml:space="preserve">          6282 - JANITORIAL/EXTERMINATOR EXPENS</v>
      </c>
      <c r="C64" s="14"/>
      <c r="D64" s="2">
        <v>669.64</v>
      </c>
      <c r="E64" s="2">
        <v>670</v>
      </c>
      <c r="F64" s="2">
        <v>670</v>
      </c>
      <c r="G64" s="2">
        <v>670</v>
      </c>
      <c r="H64" s="2">
        <v>670</v>
      </c>
      <c r="I64" s="2">
        <v>670</v>
      </c>
      <c r="J64" s="2">
        <v>670</v>
      </c>
      <c r="K64" s="2">
        <v>670</v>
      </c>
      <c r="L64" s="2">
        <v>670</v>
      </c>
      <c r="M64" s="2">
        <v>670</v>
      </c>
      <c r="N64" s="2">
        <v>670</v>
      </c>
      <c r="O64" s="2">
        <v>670</v>
      </c>
      <c r="P64" s="9"/>
      <c r="Q64" s="2">
        <f>SUM(OSRRefD21_12_0x)+IFERROR(SUM(OSRRefE21_12_0x),0)</f>
        <v>8039.64</v>
      </c>
    </row>
    <row r="65" spans="1:17" s="34" customFormat="1" hidden="1" outlineLevel="1" x14ac:dyDescent="0.3">
      <c r="A65" s="35"/>
      <c r="B65" s="10" t="str">
        <f>CONCATENATE("          ","6284", " - ","TRASH REMOVAL EXPENSE")</f>
        <v xml:space="preserve">          6284 - TRASH REMOVAL EXPENSE</v>
      </c>
      <c r="C65" s="14"/>
      <c r="D65" s="2"/>
      <c r="E65" s="2">
        <v>50</v>
      </c>
      <c r="F65" s="2">
        <v>50</v>
      </c>
      <c r="G65" s="2">
        <v>50</v>
      </c>
      <c r="H65" s="2">
        <v>50</v>
      </c>
      <c r="I65" s="2">
        <v>50</v>
      </c>
      <c r="J65" s="2">
        <v>50</v>
      </c>
      <c r="K65" s="2">
        <v>50</v>
      </c>
      <c r="L65" s="2">
        <v>50</v>
      </c>
      <c r="M65" s="2">
        <v>50</v>
      </c>
      <c r="N65" s="2">
        <v>50</v>
      </c>
      <c r="O65" s="2">
        <v>50</v>
      </c>
      <c r="P65" s="9"/>
      <c r="Q65" s="2">
        <f>SUM(OSRRefD21_12_1x)+IFERROR(SUM(OSRRefE21_12_1x),0)</f>
        <v>550</v>
      </c>
    </row>
    <row r="66" spans="1:17" s="34" customFormat="1" hidden="1" outlineLevel="1" x14ac:dyDescent="0.3">
      <c r="A66" s="35"/>
      <c r="B66" s="10" t="str">
        <f>CONCATENATE("          ","6285", " - ","JANITORIAL SERVICES")</f>
        <v xml:space="preserve">          6285 - JANITORIAL SERVICES</v>
      </c>
      <c r="C66" s="14"/>
      <c r="D66" s="2">
        <v>1750</v>
      </c>
      <c r="E66" s="2">
        <v>4652</v>
      </c>
      <c r="F66" s="2">
        <v>4652</v>
      </c>
      <c r="G66" s="2">
        <v>4652</v>
      </c>
      <c r="H66" s="2">
        <v>4652</v>
      </c>
      <c r="I66" s="2">
        <v>4652</v>
      </c>
      <c r="J66" s="2">
        <v>4904</v>
      </c>
      <c r="K66" s="2">
        <v>4904</v>
      </c>
      <c r="L66" s="2">
        <v>4904</v>
      </c>
      <c r="M66" s="2">
        <v>4904</v>
      </c>
      <c r="N66" s="2">
        <v>4904</v>
      </c>
      <c r="O66" s="2">
        <v>4904</v>
      </c>
      <c r="P66" s="9"/>
      <c r="Q66" s="2">
        <f>SUM(OSRRefD21_12_2x)+IFERROR(SUM(OSRRefE21_12_2x),0)</f>
        <v>54434</v>
      </c>
    </row>
    <row r="67" spans="1:17" s="34" customFormat="1" hidden="1" outlineLevel="1" x14ac:dyDescent="0.3">
      <c r="A67" s="35"/>
      <c r="B67" s="10" t="str">
        <f>CONCATENATE("          ","6286", " - ","LAUNDRY EXPENSE")</f>
        <v xml:space="preserve">          6286 - LAUNDRY EXPENSE</v>
      </c>
      <c r="C67" s="14"/>
      <c r="D67" s="2"/>
      <c r="E67" s="2">
        <v>1600</v>
      </c>
      <c r="F67" s="2">
        <v>1600</v>
      </c>
      <c r="G67" s="2">
        <v>1600</v>
      </c>
      <c r="H67" s="2">
        <v>1600</v>
      </c>
      <c r="I67" s="2">
        <v>1600</v>
      </c>
      <c r="J67" s="2">
        <v>1600</v>
      </c>
      <c r="K67" s="2">
        <v>1600</v>
      </c>
      <c r="L67" s="2">
        <v>1600</v>
      </c>
      <c r="M67" s="2">
        <v>1600</v>
      </c>
      <c r="N67" s="2">
        <v>1600</v>
      </c>
      <c r="O67" s="2">
        <v>1600</v>
      </c>
      <c r="P67" s="9"/>
      <c r="Q67" s="2">
        <f>SUM(OSRRefD21_12_3x)+IFERROR(SUM(OSRRefE21_12_3x),0)</f>
        <v>17600</v>
      </c>
    </row>
    <row r="68" spans="1:17" s="34" customFormat="1" collapsed="1" x14ac:dyDescent="0.3">
      <c r="A68" s="35"/>
      <c r="B68" s="14" t="str">
        <f>CONCATENATE("     ","Supplies                                          ")</f>
        <v xml:space="preserve">     Supplies                                          </v>
      </c>
      <c r="C68" s="14"/>
      <c r="D68" s="1">
        <f>SUM(OSRRefD21_13x_0)</f>
        <v>4.5</v>
      </c>
      <c r="E68" s="1">
        <f>SUM(OSRRefE21_13x_0)</f>
        <v>9446</v>
      </c>
      <c r="F68" s="1">
        <f>SUM(OSRRefE21_13x_1)</f>
        <v>5446</v>
      </c>
      <c r="G68" s="1">
        <f>SUM(OSRRefE21_13x_2)</f>
        <v>5046</v>
      </c>
      <c r="H68" s="1">
        <f>SUM(OSRRefE21_13x_3)</f>
        <v>4846</v>
      </c>
      <c r="I68" s="1">
        <f>SUM(OSRRefE21_13x_4)</f>
        <v>4846</v>
      </c>
      <c r="J68" s="1">
        <f>SUM(OSRRefE21_13x_5)</f>
        <v>4896</v>
      </c>
      <c r="K68" s="1">
        <f>SUM(OSRRefE21_13x_6)</f>
        <v>4696</v>
      </c>
      <c r="L68" s="1">
        <f>SUM(OSRRefE21_13x_7)</f>
        <v>4446</v>
      </c>
      <c r="M68" s="1">
        <f>SUM(OSRRefE21_13x_8)</f>
        <v>4446</v>
      </c>
      <c r="N68" s="1">
        <f>SUM(OSRRefE21_13x_9)</f>
        <v>4446</v>
      </c>
      <c r="O68" s="1">
        <f>SUM(OSRRefE21_13x_10)</f>
        <v>444</v>
      </c>
      <c r="Q68" s="2">
        <f>SUM(OSRRefD20_13x)+IFERROR(SUM(OSRRefE20_13x),0)</f>
        <v>53008.5</v>
      </c>
    </row>
    <row r="69" spans="1:17" s="34" customFormat="1" hidden="1" outlineLevel="1" x14ac:dyDescent="0.3">
      <c r="A69" s="35"/>
      <c r="B69" s="10" t="str">
        <f>CONCATENATE("          ","6237", " - ","JANITORIAL SUPPLIES")</f>
        <v xml:space="preserve">          6237 - JANITORIAL SUPPLIES</v>
      </c>
      <c r="C69" s="14"/>
      <c r="D69" s="2"/>
      <c r="E69" s="2">
        <v>4000</v>
      </c>
      <c r="F69" s="2">
        <v>2000</v>
      </c>
      <c r="G69" s="2">
        <v>2000</v>
      </c>
      <c r="H69" s="2">
        <v>2000</v>
      </c>
      <c r="I69" s="2">
        <v>2000</v>
      </c>
      <c r="J69" s="2">
        <v>2000</v>
      </c>
      <c r="K69" s="2">
        <v>2000</v>
      </c>
      <c r="L69" s="2">
        <v>2000</v>
      </c>
      <c r="M69" s="2">
        <v>2000</v>
      </c>
      <c r="N69" s="2">
        <v>2000</v>
      </c>
      <c r="O69" s="2">
        <v>0</v>
      </c>
      <c r="P69" s="9"/>
      <c r="Q69" s="2">
        <f>SUM(OSRRefD21_13_0x)+IFERROR(SUM(OSRRefE21_13_0x),0)</f>
        <v>22000</v>
      </c>
    </row>
    <row r="70" spans="1:17" s="34" customFormat="1" hidden="1" outlineLevel="1" x14ac:dyDescent="0.3">
      <c r="A70" s="35"/>
      <c r="B70" s="10" t="str">
        <f>CONCATENATE("          ","6239", " - ","KITCHEN SUPPLIES")</f>
        <v xml:space="preserve">          6239 - KITCHEN SUPPLIES</v>
      </c>
      <c r="C70" s="14"/>
      <c r="D70" s="2"/>
      <c r="E70" s="2">
        <v>3000</v>
      </c>
      <c r="F70" s="2">
        <v>1000</v>
      </c>
      <c r="G70" s="2">
        <v>600</v>
      </c>
      <c r="H70" s="2">
        <v>400</v>
      </c>
      <c r="I70" s="2">
        <v>400</v>
      </c>
      <c r="J70" s="2">
        <v>450</v>
      </c>
      <c r="K70" s="2">
        <v>250</v>
      </c>
      <c r="L70" s="2"/>
      <c r="M70" s="2"/>
      <c r="N70" s="2"/>
      <c r="O70" s="2"/>
      <c r="P70" s="9"/>
      <c r="Q70" s="2">
        <f>SUM(OSRRefD21_13_1x)+IFERROR(SUM(OSRRefE21_13_1x),0)</f>
        <v>6100</v>
      </c>
    </row>
    <row r="71" spans="1:17" s="34" customFormat="1" hidden="1" outlineLevel="1" x14ac:dyDescent="0.3">
      <c r="A71" s="35"/>
      <c r="B71" s="10" t="str">
        <f>CONCATENATE("          ","6241", " - ","OFFICE EXPENSE")</f>
        <v xml:space="preserve">          6241 - OFFICE EXPENSE</v>
      </c>
      <c r="C71" s="14"/>
      <c r="D71" s="2">
        <v>4.5</v>
      </c>
      <c r="E71" s="2">
        <v>125</v>
      </c>
      <c r="F71" s="2">
        <v>125</v>
      </c>
      <c r="G71" s="2">
        <v>125</v>
      </c>
      <c r="H71" s="2">
        <v>125</v>
      </c>
      <c r="I71" s="2">
        <v>125</v>
      </c>
      <c r="J71" s="2">
        <v>125</v>
      </c>
      <c r="K71" s="2">
        <v>125</v>
      </c>
      <c r="L71" s="2">
        <v>125</v>
      </c>
      <c r="M71" s="2">
        <v>125</v>
      </c>
      <c r="N71" s="2">
        <v>125</v>
      </c>
      <c r="O71" s="2">
        <v>125</v>
      </c>
      <c r="P71" s="9"/>
      <c r="Q71" s="2">
        <f>SUM(OSRRefD21_13_2x)+IFERROR(SUM(OSRRefE21_13_2x),0)</f>
        <v>1379.5</v>
      </c>
    </row>
    <row r="72" spans="1:17" s="34" customFormat="1" hidden="1" outlineLevel="1" x14ac:dyDescent="0.3">
      <c r="A72" s="35"/>
      <c r="B72" s="10" t="str">
        <f>CONCATENATE("          ","6243", " - ","PAPER SUPPLIES")</f>
        <v xml:space="preserve">          6243 - PAPER SUPPLIES</v>
      </c>
      <c r="C72" s="14"/>
      <c r="D72" s="2"/>
      <c r="E72" s="2">
        <v>2000</v>
      </c>
      <c r="F72" s="2">
        <v>2000</v>
      </c>
      <c r="G72" s="2">
        <v>2000</v>
      </c>
      <c r="H72" s="2">
        <v>2000</v>
      </c>
      <c r="I72" s="2">
        <v>2000</v>
      </c>
      <c r="J72" s="2">
        <v>2000</v>
      </c>
      <c r="K72" s="2">
        <v>2000</v>
      </c>
      <c r="L72" s="2">
        <v>2000</v>
      </c>
      <c r="M72" s="2">
        <v>2000</v>
      </c>
      <c r="N72" s="2">
        <v>2000</v>
      </c>
      <c r="O72" s="2"/>
      <c r="P72" s="9"/>
      <c r="Q72" s="2">
        <f>SUM(OSRRefD21_13_3x)+IFERROR(SUM(OSRRefE21_13_3x),0)</f>
        <v>20000</v>
      </c>
    </row>
    <row r="73" spans="1:17" s="34" customFormat="1" hidden="1" outlineLevel="1" x14ac:dyDescent="0.3">
      <c r="A73" s="35"/>
      <c r="B73" s="10" t="str">
        <f>CONCATENATE("          ","6244", " - ","SAFETY SUPPLY EXPENSE")</f>
        <v xml:space="preserve">          6244 - SAFETY SUPPLY EXPENSE</v>
      </c>
      <c r="C73" s="14"/>
      <c r="D73" s="2"/>
      <c r="E73" s="2">
        <v>125</v>
      </c>
      <c r="F73" s="2">
        <v>125</v>
      </c>
      <c r="G73" s="2">
        <v>125</v>
      </c>
      <c r="H73" s="2">
        <v>125</v>
      </c>
      <c r="I73" s="2">
        <v>125</v>
      </c>
      <c r="J73" s="2">
        <v>125</v>
      </c>
      <c r="K73" s="2">
        <v>125</v>
      </c>
      <c r="L73" s="2">
        <v>125</v>
      </c>
      <c r="M73" s="2">
        <v>125</v>
      </c>
      <c r="N73" s="2">
        <v>125</v>
      </c>
      <c r="O73" s="2">
        <v>125</v>
      </c>
      <c r="P73" s="9"/>
      <c r="Q73" s="2">
        <f>SUM(OSRRefD21_13_4x)+IFERROR(SUM(OSRRefE21_13_4x),0)</f>
        <v>1375</v>
      </c>
    </row>
    <row r="74" spans="1:17" s="34" customFormat="1" hidden="1" outlineLevel="1" x14ac:dyDescent="0.3">
      <c r="A74" s="35"/>
      <c r="B74" s="10" t="str">
        <f>CONCATENATE("          ","6248", " - ","UNIFORMS")</f>
        <v xml:space="preserve">          6248 - UNIFORMS</v>
      </c>
      <c r="C74" s="14"/>
      <c r="D74" s="2"/>
      <c r="E74" s="2">
        <v>196</v>
      </c>
      <c r="F74" s="2">
        <v>196</v>
      </c>
      <c r="G74" s="2">
        <v>196</v>
      </c>
      <c r="H74" s="2">
        <v>196</v>
      </c>
      <c r="I74" s="2">
        <v>196</v>
      </c>
      <c r="J74" s="2">
        <v>196</v>
      </c>
      <c r="K74" s="2">
        <v>196</v>
      </c>
      <c r="L74" s="2">
        <v>196</v>
      </c>
      <c r="M74" s="2">
        <v>196</v>
      </c>
      <c r="N74" s="2">
        <v>196</v>
      </c>
      <c r="O74" s="2">
        <v>194</v>
      </c>
      <c r="P74" s="9"/>
      <c r="Q74" s="2">
        <f>SUM(OSRRefD21_13_5x)+IFERROR(SUM(OSRRefE21_13_5x),0)</f>
        <v>2154</v>
      </c>
    </row>
    <row r="75" spans="1:17" s="34" customFormat="1" collapsed="1" x14ac:dyDescent="0.3">
      <c r="A75" s="35"/>
      <c r="B75" s="14" t="str">
        <f>CONCATENATE("     ","Telephone/Data Lines                              ")</f>
        <v xml:space="preserve">     Telephone/Data Lines                              </v>
      </c>
      <c r="C75" s="14"/>
      <c r="D75" s="1">
        <f>SUM(OSRRefD21_14x_0)</f>
        <v>60</v>
      </c>
      <c r="E75" s="1">
        <f>SUM(OSRRefE21_14x_0)</f>
        <v>125</v>
      </c>
      <c r="F75" s="1">
        <f>SUM(OSRRefE21_14x_1)</f>
        <v>125</v>
      </c>
      <c r="G75" s="1">
        <f>SUM(OSRRefE21_14x_2)</f>
        <v>125</v>
      </c>
      <c r="H75" s="1">
        <f>SUM(OSRRefE21_14x_3)</f>
        <v>125</v>
      </c>
      <c r="I75" s="1">
        <f>SUM(OSRRefE21_14x_4)</f>
        <v>125</v>
      </c>
      <c r="J75" s="1">
        <f>SUM(OSRRefE21_14x_5)</f>
        <v>125</v>
      </c>
      <c r="K75" s="1">
        <f>SUM(OSRRefE21_14x_6)</f>
        <v>125</v>
      </c>
      <c r="L75" s="1">
        <f>SUM(OSRRefE21_14x_7)</f>
        <v>125</v>
      </c>
      <c r="M75" s="1">
        <f>SUM(OSRRefE21_14x_8)</f>
        <v>125</v>
      </c>
      <c r="N75" s="1">
        <f>SUM(OSRRefE21_14x_9)</f>
        <v>125</v>
      </c>
      <c r="O75" s="1">
        <f>SUM(OSRRefE21_14x_10)</f>
        <v>125</v>
      </c>
      <c r="Q75" s="2">
        <f>SUM(OSRRefD20_14x)+IFERROR(SUM(OSRRefE20_14x),0)</f>
        <v>1435</v>
      </c>
    </row>
    <row r="76" spans="1:17" s="34" customFormat="1" hidden="1" outlineLevel="1" x14ac:dyDescent="0.3">
      <c r="A76" s="35"/>
      <c r="B76" s="10" t="str">
        <f>CONCATENATE("          ","6309", " - ","TELEPHONE")</f>
        <v xml:space="preserve">          6309 - TELEPHONE</v>
      </c>
      <c r="C76" s="14"/>
      <c r="D76" s="2">
        <v>60</v>
      </c>
      <c r="E76" s="2">
        <v>125</v>
      </c>
      <c r="F76" s="2">
        <v>125</v>
      </c>
      <c r="G76" s="2">
        <v>125</v>
      </c>
      <c r="H76" s="2">
        <v>125</v>
      </c>
      <c r="I76" s="2">
        <v>125</v>
      </c>
      <c r="J76" s="2">
        <v>125</v>
      </c>
      <c r="K76" s="2">
        <v>125</v>
      </c>
      <c r="L76" s="2">
        <v>125</v>
      </c>
      <c r="M76" s="2">
        <v>125</v>
      </c>
      <c r="N76" s="2">
        <v>125</v>
      </c>
      <c r="O76" s="2">
        <v>125</v>
      </c>
      <c r="P76" s="9"/>
      <c r="Q76" s="2">
        <f>SUM(OSRRefD21_14_0x)+IFERROR(SUM(OSRRefE21_14_0x),0)</f>
        <v>1435</v>
      </c>
    </row>
    <row r="77" spans="1:17" s="34" customFormat="1" collapsed="1" x14ac:dyDescent="0.3">
      <c r="A77" s="35"/>
      <c r="B77" s="14" t="str">
        <f>CONCATENATE("     ","Training                                          ")</f>
        <v xml:space="preserve">     Training                                          </v>
      </c>
      <c r="C77" s="14"/>
      <c r="D77" s="1">
        <f>SUM(OSRRefD21_15x_0)</f>
        <v>0</v>
      </c>
      <c r="E77" s="1">
        <f>SUM(OSRRefE21_15x_0)</f>
        <v>165</v>
      </c>
      <c r="F77" s="1">
        <f>SUM(OSRRefE21_15x_1)</f>
        <v>165</v>
      </c>
      <c r="G77" s="1">
        <f>SUM(OSRRefE21_15x_2)</f>
        <v>165</v>
      </c>
      <c r="H77" s="1">
        <f>SUM(OSRRefE21_15x_3)</f>
        <v>165</v>
      </c>
      <c r="I77" s="1">
        <f>SUM(OSRRefE21_15x_4)</f>
        <v>165</v>
      </c>
      <c r="J77" s="1">
        <f>SUM(OSRRefE21_15x_5)</f>
        <v>185</v>
      </c>
      <c r="K77" s="1">
        <f>SUM(OSRRefE21_15x_6)</f>
        <v>165</v>
      </c>
      <c r="L77" s="1">
        <f>SUM(OSRRefE21_15x_7)</f>
        <v>165</v>
      </c>
      <c r="M77" s="1">
        <f>SUM(OSRRefE21_15x_8)</f>
        <v>165</v>
      </c>
      <c r="N77" s="1">
        <f>SUM(OSRRefE21_15x_9)</f>
        <v>165</v>
      </c>
      <c r="O77" s="1">
        <f>SUM(OSRRefE21_15x_10)</f>
        <v>165</v>
      </c>
      <c r="Q77" s="2">
        <f>SUM(OSRRefD20_15x)+IFERROR(SUM(OSRRefE20_15x),0)</f>
        <v>1835</v>
      </c>
    </row>
    <row r="78" spans="1:17" s="34" customFormat="1" hidden="1" outlineLevel="1" x14ac:dyDescent="0.3">
      <c r="A78" s="35"/>
      <c r="B78" s="10" t="str">
        <f>CONCATENATE("          ","6376", " - ","TRAINING")</f>
        <v xml:space="preserve">          6376 - TRAINING</v>
      </c>
      <c r="C78" s="14"/>
      <c r="D78" s="2"/>
      <c r="E78" s="2">
        <v>165</v>
      </c>
      <c r="F78" s="2">
        <v>165</v>
      </c>
      <c r="G78" s="2">
        <v>165</v>
      </c>
      <c r="H78" s="2">
        <v>165</v>
      </c>
      <c r="I78" s="2">
        <v>165</v>
      </c>
      <c r="J78" s="2">
        <v>185</v>
      </c>
      <c r="K78" s="2">
        <v>165</v>
      </c>
      <c r="L78" s="2">
        <v>165</v>
      </c>
      <c r="M78" s="2">
        <v>165</v>
      </c>
      <c r="N78" s="2">
        <v>165</v>
      </c>
      <c r="O78" s="2">
        <v>165</v>
      </c>
      <c r="P78" s="9"/>
      <c r="Q78" s="2">
        <f>SUM(OSRRefD21_15_0x)+IFERROR(SUM(OSRRefE21_15_0x),0)</f>
        <v>1835</v>
      </c>
    </row>
    <row r="79" spans="1:17" s="28" customFormat="1" x14ac:dyDescent="0.3">
      <c r="A79" s="21"/>
      <c r="B79" s="21"/>
      <c r="C79" s="2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1"/>
    </row>
    <row r="80" spans="1:17" s="9" customFormat="1" x14ac:dyDescent="0.3">
      <c r="A80" s="22"/>
      <c r="B80" s="16" t="s">
        <v>293</v>
      </c>
      <c r="C80" s="23"/>
      <c r="D80" s="3">
        <f>0</f>
        <v>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2">
        <f>SUM(OSRRefD23_0x)+IFERROR(SUM(OSRRefE23_0x),0)</f>
        <v>0</v>
      </c>
    </row>
    <row r="81" spans="1:17" x14ac:dyDescent="0.3">
      <c r="A81" s="5"/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</row>
    <row r="82" spans="1:17" s="15" customFormat="1" x14ac:dyDescent="0.3">
      <c r="A82" s="6"/>
      <c r="B82" s="17" t="s">
        <v>276</v>
      </c>
      <c r="C82" s="17"/>
      <c r="D82" s="8">
        <f t="shared" ref="D82:O82" si="2">IFERROR(+D16-D19+D80, 0)</f>
        <v>-40764.729999999996</v>
      </c>
      <c r="E82" s="8">
        <f t="shared" si="2"/>
        <v>-89580.990496923099</v>
      </c>
      <c r="F82" s="8">
        <f t="shared" si="2"/>
        <v>-41990.726996923098</v>
      </c>
      <c r="G82" s="8">
        <f t="shared" si="2"/>
        <v>-39594.658746153873</v>
      </c>
      <c r="H82" s="8">
        <f t="shared" si="2"/>
        <v>-53822.126996923107</v>
      </c>
      <c r="I82" s="8">
        <f t="shared" si="2"/>
        <v>-43443.92699692311</v>
      </c>
      <c r="J82" s="8">
        <f t="shared" si="2"/>
        <v>-83858.746746153862</v>
      </c>
      <c r="K82" s="8">
        <f t="shared" si="2"/>
        <v>-36896.502996923111</v>
      </c>
      <c r="L82" s="8">
        <f t="shared" si="2"/>
        <v>-40184.502996923111</v>
      </c>
      <c r="M82" s="8">
        <f t="shared" si="2"/>
        <v>-54944.234746153874</v>
      </c>
      <c r="N82" s="8">
        <f t="shared" si="2"/>
        <v>-50787.21499692311</v>
      </c>
      <c r="O82" s="8">
        <f t="shared" si="2"/>
        <v>-67671.92699692311</v>
      </c>
      <c r="Q82" s="8">
        <f>IFERROR(+Q16-Q19+Q80, 0)</f>
        <v>-643540.28971384629</v>
      </c>
    </row>
    <row r="83" spans="1:17" s="6" customFormat="1" x14ac:dyDescent="0.3">
      <c r="B83" s="16"/>
      <c r="C83" s="16"/>
      <c r="D83" s="4">
        <f t="shared" ref="D83:O83" si="3">IFERROR(D82/D10, 0)</f>
        <v>0</v>
      </c>
      <c r="E83" s="4">
        <f t="shared" si="3"/>
        <v>-2.9623343418294676</v>
      </c>
      <c r="F83" s="4">
        <f t="shared" si="3"/>
        <v>-0.34714556049043566</v>
      </c>
      <c r="G83" s="4">
        <f t="shared" si="3"/>
        <v>-0.26186943615181135</v>
      </c>
      <c r="H83" s="4">
        <f t="shared" si="3"/>
        <v>-0.62294128468661003</v>
      </c>
      <c r="I83" s="4">
        <f t="shared" si="3"/>
        <v>-0.45711202648277682</v>
      </c>
      <c r="J83" s="4">
        <f t="shared" si="3"/>
        <v>-1.7647042665436419</v>
      </c>
      <c r="K83" s="4">
        <f t="shared" si="3"/>
        <v>-0.3050306134004887</v>
      </c>
      <c r="L83" s="4">
        <f t="shared" si="3"/>
        <v>-0.34451734393795536</v>
      </c>
      <c r="M83" s="4">
        <f t="shared" si="3"/>
        <v>-0.47105825399651813</v>
      </c>
      <c r="N83" s="4">
        <f t="shared" si="3"/>
        <v>-0.78375331785375169</v>
      </c>
      <c r="O83" s="4">
        <f t="shared" si="3"/>
        <v>0</v>
      </c>
      <c r="P83" s="18"/>
      <c r="Q83" s="4">
        <f>IFERROR(Q82/Q10, 0)</f>
        <v>-0.6771257257090133</v>
      </c>
    </row>
    <row r="84" spans="1:17" x14ac:dyDescent="0.3">
      <c r="A84" s="5"/>
      <c r="B84" s="6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</row>
    <row r="85" spans="1:17" s="15" customFormat="1" x14ac:dyDescent="0.3">
      <c r="A85" s="25"/>
      <c r="B85" s="6" t="s">
        <v>125</v>
      </c>
      <c r="C85" s="6"/>
      <c r="D85" s="3"/>
      <c r="E85" s="3">
        <v>3387</v>
      </c>
      <c r="F85" s="3">
        <v>13031</v>
      </c>
      <c r="G85" s="3">
        <v>18355</v>
      </c>
      <c r="H85" s="3">
        <v>13832</v>
      </c>
      <c r="I85" s="3">
        <v>14038</v>
      </c>
      <c r="J85" s="3">
        <v>3934</v>
      </c>
      <c r="K85" s="3">
        <v>13167</v>
      </c>
      <c r="L85" s="3">
        <v>13901</v>
      </c>
      <c r="M85" s="3">
        <v>15296</v>
      </c>
      <c r="N85" s="3">
        <v>8872</v>
      </c>
      <c r="O85" s="3">
        <v>-10044</v>
      </c>
      <c r="Q85" s="2">
        <f>SUM(OSRRefD28_0x)+IFERROR(SUM(OSRRefE28_0x),0)</f>
        <v>107769</v>
      </c>
    </row>
    <row r="86" spans="1:17" x14ac:dyDescent="0.3">
      <c r="A86" s="5"/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</row>
    <row r="87" spans="1:17" s="15" customFormat="1" ht="15" thickBot="1" x14ac:dyDescent="0.35">
      <c r="A87" s="6"/>
      <c r="B87" s="17" t="s">
        <v>124</v>
      </c>
      <c r="C87" s="17"/>
      <c r="D87" s="7">
        <f t="shared" ref="D87:O87" si="4">IFERROR(+D82-D85, 0)</f>
        <v>-40764.729999999996</v>
      </c>
      <c r="E87" s="7">
        <f t="shared" si="4"/>
        <v>-92967.990496923099</v>
      </c>
      <c r="F87" s="7">
        <f t="shared" si="4"/>
        <v>-55021.726996923098</v>
      </c>
      <c r="G87" s="7">
        <f t="shared" si="4"/>
        <v>-57949.658746153873</v>
      </c>
      <c r="H87" s="7">
        <f t="shared" si="4"/>
        <v>-67654.126996923107</v>
      </c>
      <c r="I87" s="7">
        <f t="shared" si="4"/>
        <v>-57481.92699692311</v>
      </c>
      <c r="J87" s="7">
        <f t="shared" si="4"/>
        <v>-87792.746746153862</v>
      </c>
      <c r="K87" s="7">
        <f t="shared" si="4"/>
        <v>-50063.502996923111</v>
      </c>
      <c r="L87" s="7">
        <f t="shared" si="4"/>
        <v>-54085.502996923111</v>
      </c>
      <c r="M87" s="7">
        <f t="shared" si="4"/>
        <v>-70240.234746153874</v>
      </c>
      <c r="N87" s="7">
        <f t="shared" si="4"/>
        <v>-59659.21499692311</v>
      </c>
      <c r="O87" s="7">
        <f t="shared" si="4"/>
        <v>-57627.92699692311</v>
      </c>
      <c r="Q87" s="7">
        <f>IFERROR(+Q82-Q85, 0)</f>
        <v>-751309.28971384629</v>
      </c>
    </row>
    <row r="88" spans="1:17" ht="15" thickTop="1" x14ac:dyDescent="0.3">
      <c r="A88" s="5"/>
      <c r="B88" s="5"/>
      <c r="C88" s="5"/>
      <c r="D88" s="4">
        <f t="shared" ref="D88:O88" si="5">IFERROR(D87/D10, 0)</f>
        <v>0</v>
      </c>
      <c r="E88" s="4">
        <f t="shared" si="5"/>
        <v>-3.0743383100834358</v>
      </c>
      <c r="F88" s="4">
        <f t="shared" si="5"/>
        <v>-0.45487538853276371</v>
      </c>
      <c r="G88" s="4">
        <f t="shared" si="5"/>
        <v>-0.38326493879731399</v>
      </c>
      <c r="H88" s="4">
        <f t="shared" si="5"/>
        <v>-0.78303387727920259</v>
      </c>
      <c r="I88" s="4">
        <f t="shared" si="5"/>
        <v>-0.6048182554390058</v>
      </c>
      <c r="J88" s="4">
        <f t="shared" si="5"/>
        <v>-1.8474904618298371</v>
      </c>
      <c r="K88" s="4">
        <f t="shared" si="5"/>
        <v>-0.41388478006715534</v>
      </c>
      <c r="L88" s="4">
        <f t="shared" si="5"/>
        <v>-0.46369601334810623</v>
      </c>
      <c r="M88" s="4">
        <f t="shared" si="5"/>
        <v>-0.60219679994987885</v>
      </c>
      <c r="N88" s="4">
        <f t="shared" si="5"/>
        <v>-0.92066689810066527</v>
      </c>
      <c r="O88" s="4">
        <f t="shared" si="5"/>
        <v>0</v>
      </c>
      <c r="P88" s="18"/>
      <c r="Q88" s="4">
        <f>IFERROR(Q87/Q10, 0)</f>
        <v>-0.79051903378982147</v>
      </c>
    </row>
    <row r="89" spans="1:17" x14ac:dyDescent="0.3">
      <c r="A89" s="5"/>
      <c r="B89" s="5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</row>
    <row r="90" spans="1:17" x14ac:dyDescent="0.3">
      <c r="A90" s="5"/>
      <c r="B90" s="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</row>
    <row r="91" spans="1:17" s="15" customFormat="1" ht="15" thickBot="1" x14ac:dyDescent="0.35">
      <c r="A91" s="6"/>
      <c r="B91" s="17" t="s">
        <v>294</v>
      </c>
      <c r="C91" s="17"/>
      <c r="D91" s="7">
        <f t="shared" ref="D91:O91" si="6">IFERROR(SUM(D87:D90), 0)</f>
        <v>-40764.729999999996</v>
      </c>
      <c r="E91" s="7">
        <f t="shared" si="6"/>
        <v>-92971.064835233177</v>
      </c>
      <c r="F91" s="7">
        <f t="shared" si="6"/>
        <v>-55022.18187231163</v>
      </c>
      <c r="G91" s="7">
        <f t="shared" si="6"/>
        <v>-57950.042011092672</v>
      </c>
      <c r="H91" s="7">
        <f t="shared" si="6"/>
        <v>-67654.910030800384</v>
      </c>
      <c r="I91" s="7">
        <f t="shared" si="6"/>
        <v>-57482.531815178547</v>
      </c>
      <c r="J91" s="7">
        <f t="shared" si="6"/>
        <v>-87794.594236615696</v>
      </c>
      <c r="K91" s="7">
        <f t="shared" si="6"/>
        <v>-50063.916881703175</v>
      </c>
      <c r="L91" s="7">
        <f t="shared" si="6"/>
        <v>-54085.966692936461</v>
      </c>
      <c r="M91" s="7">
        <f t="shared" si="6"/>
        <v>-70240.836942953829</v>
      </c>
      <c r="N91" s="7">
        <f t="shared" si="6"/>
        <v>-59660.135663821209</v>
      </c>
      <c r="O91" s="7">
        <f t="shared" si="6"/>
        <v>-57627.92699692311</v>
      </c>
      <c r="Q91" s="7">
        <f>IFERROR(SUM(Q87:Q90), 0)</f>
        <v>-751310.08023288008</v>
      </c>
    </row>
    <row r="92" spans="1:17" ht="15" thickTop="1" x14ac:dyDescent="0.3">
      <c r="A92" s="5"/>
      <c r="C92" s="5"/>
      <c r="D92" s="4">
        <f t="shared" ref="D92:O92" si="7">IFERROR(D91/D10, 0)</f>
        <v>0</v>
      </c>
      <c r="E92" s="4">
        <f t="shared" si="7"/>
        <v>-3.0744399747100917</v>
      </c>
      <c r="F92" s="4">
        <f t="shared" si="7"/>
        <v>-0.45487914907665039</v>
      </c>
      <c r="G92" s="4">
        <f t="shared" si="7"/>
        <v>-0.3832674736183378</v>
      </c>
      <c r="H92" s="4">
        <f t="shared" si="7"/>
        <v>-0.78304294017130072</v>
      </c>
      <c r="I92" s="4">
        <f t="shared" si="7"/>
        <v>-0.60482461926745101</v>
      </c>
      <c r="J92" s="4">
        <f t="shared" si="7"/>
        <v>-1.8475293399961215</v>
      </c>
      <c r="K92" s="4">
        <f t="shared" si="7"/>
        <v>-0.4138882017336572</v>
      </c>
      <c r="L92" s="4">
        <f t="shared" si="7"/>
        <v>-0.4636999887940369</v>
      </c>
      <c r="M92" s="4">
        <f t="shared" si="7"/>
        <v>-0.60220196281681948</v>
      </c>
      <c r="N92" s="4">
        <f t="shared" si="7"/>
        <v>-0.92068110592316676</v>
      </c>
      <c r="O92" s="4">
        <f t="shared" si="7"/>
        <v>0</v>
      </c>
      <c r="P92" s="18"/>
      <c r="Q92" s="4">
        <f>IFERROR(Q91/Q10, 0)</f>
        <v>-0.79051986556489906</v>
      </c>
    </row>
    <row r="93" spans="1:17" x14ac:dyDescent="0.3">
      <c r="A93" s="5"/>
      <c r="B93" s="30">
        <v>44462.678423958336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Q93" s="11"/>
    </row>
    <row r="94" spans="1:17" x14ac:dyDescent="0.3">
      <c r="A94" s="5"/>
      <c r="B94" s="31" t="s">
        <v>54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1"/>
    </row>
    <row r="95" spans="1:17" x14ac:dyDescent="0.3">
      <c r="A95" s="5"/>
      <c r="B95" s="2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</row>
    <row r="96" spans="1:17" x14ac:dyDescent="0.3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C000"/>
    <outlinePr summaryBelow="0" summaryRight="0"/>
    <pageSetUpPr fitToPage="1"/>
  </sheetPr>
  <dimension ref="A2:R84"/>
  <sheetViews>
    <sheetView zoomScale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">
        <v>104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145655</v>
      </c>
      <c r="E10" s="3">
        <f>SUM(OSRRefE11x_0)</f>
        <v>178536</v>
      </c>
      <c r="F10" s="3">
        <f>SUM(OSRRefE11x_1)</f>
        <v>36310</v>
      </c>
      <c r="G10" s="3">
        <f>SUM(OSRRefE11x_2)</f>
        <v>41479</v>
      </c>
      <c r="H10" s="3">
        <f>SUM(OSRRefE11x_3)</f>
        <v>33579</v>
      </c>
      <c r="I10" s="3">
        <f>SUM(OSRRefE11x_4)</f>
        <v>34140</v>
      </c>
      <c r="J10" s="3">
        <f>SUM(OSRRefE11x_5)</f>
        <v>41475</v>
      </c>
      <c r="K10" s="3">
        <f>SUM(OSRRefE11x_6)</f>
        <v>35816</v>
      </c>
      <c r="L10" s="3">
        <f>SUM(OSRRefE11x_7)</f>
        <v>39157</v>
      </c>
      <c r="M10" s="3">
        <f>SUM(OSRRefE11x_8)</f>
        <v>42444</v>
      </c>
      <c r="N10" s="3">
        <f>SUM(OSRRefE11x_9)</f>
        <v>34385</v>
      </c>
      <c r="O10" s="3">
        <f>SUM(OSRRefE11x_10)</f>
        <v>39764</v>
      </c>
      <c r="P10" s="24"/>
      <c r="Q10" s="3">
        <f>SUM(OSRRefG11x)</f>
        <v>702740</v>
      </c>
      <c r="R10" s="24"/>
    </row>
    <row r="11" spans="1:18" s="9" customFormat="1" hidden="1" outlineLevel="1" x14ac:dyDescent="0.3">
      <c r="A11" s="22"/>
      <c r="B11" s="10" t="str">
        <f>CONCATENATE("          ","4100", " - ","NON-TAXABLE SALES")</f>
        <v xml:space="preserve">          4100 - NON-TAXABLE SALES</v>
      </c>
      <c r="C11" s="23"/>
      <c r="D11" s="2">
        <f>--145655</f>
        <v>145655</v>
      </c>
      <c r="E11" s="2">
        <v>178536</v>
      </c>
      <c r="F11" s="2">
        <v>36310</v>
      </c>
      <c r="G11" s="2">
        <v>41479</v>
      </c>
      <c r="H11" s="2">
        <v>33579</v>
      </c>
      <c r="I11" s="2">
        <v>34140</v>
      </c>
      <c r="J11" s="2">
        <v>41475</v>
      </c>
      <c r="K11" s="2">
        <v>35816</v>
      </c>
      <c r="L11" s="2">
        <v>39157</v>
      </c>
      <c r="M11" s="2">
        <v>42444</v>
      </c>
      <c r="N11" s="2">
        <v>34385</v>
      </c>
      <c r="O11" s="2">
        <v>39764</v>
      </c>
      <c r="Q11" s="2">
        <f>SUM(OSRRefD11_0x)+IFERROR(SUM(OSRRefE11_0x),0)</f>
        <v>702740</v>
      </c>
    </row>
    <row r="12" spans="1:18" x14ac:dyDescent="0.3">
      <c r="A12" s="5"/>
      <c r="B12" s="6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</row>
    <row r="13" spans="1:18" s="9" customFormat="1" x14ac:dyDescent="0.3">
      <c r="A13" s="22"/>
      <c r="B13" s="16" t="s">
        <v>218</v>
      </c>
      <c r="C13" s="23"/>
      <c r="D13" s="3">
        <f t="shared" ref="D13:O13" si="0">SUM(0)</f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Q13" s="3">
        <f>SUM(0)</f>
        <v>0</v>
      </c>
    </row>
    <row r="14" spans="1:18" x14ac:dyDescent="0.3">
      <c r="A14" s="5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</row>
    <row r="15" spans="1:18" s="15" customFormat="1" x14ac:dyDescent="0.3">
      <c r="A15" s="6"/>
      <c r="B15" s="17" t="s">
        <v>105</v>
      </c>
      <c r="C15" s="17"/>
      <c r="D15" s="8">
        <f t="shared" ref="D15:O15" si="1">IFERROR(+D10-D13, 0)</f>
        <v>145655</v>
      </c>
      <c r="E15" s="8">
        <f t="shared" si="1"/>
        <v>178536</v>
      </c>
      <c r="F15" s="8">
        <f t="shared" si="1"/>
        <v>36310</v>
      </c>
      <c r="G15" s="8">
        <f t="shared" si="1"/>
        <v>41479</v>
      </c>
      <c r="H15" s="8">
        <f t="shared" si="1"/>
        <v>33579</v>
      </c>
      <c r="I15" s="8">
        <f t="shared" si="1"/>
        <v>34140</v>
      </c>
      <c r="J15" s="8">
        <f t="shared" si="1"/>
        <v>41475</v>
      </c>
      <c r="K15" s="8">
        <f t="shared" si="1"/>
        <v>35816</v>
      </c>
      <c r="L15" s="8">
        <f t="shared" si="1"/>
        <v>39157</v>
      </c>
      <c r="M15" s="8">
        <f t="shared" si="1"/>
        <v>42444</v>
      </c>
      <c r="N15" s="8">
        <f t="shared" si="1"/>
        <v>34385</v>
      </c>
      <c r="O15" s="8">
        <f t="shared" si="1"/>
        <v>39764</v>
      </c>
      <c r="Q15" s="8">
        <f>IFERROR(+Q10-Q13, 0)</f>
        <v>702740</v>
      </c>
    </row>
    <row r="16" spans="1:18" s="6" customFormat="1" x14ac:dyDescent="0.3">
      <c r="B16" s="16"/>
      <c r="C16" s="16"/>
      <c r="D16" s="4">
        <f t="shared" ref="D16:O16" si="2">IFERROR(D15/D10, 0)</f>
        <v>1</v>
      </c>
      <c r="E16" s="4">
        <f t="shared" si="2"/>
        <v>1</v>
      </c>
      <c r="F16" s="4">
        <f t="shared" si="2"/>
        <v>1</v>
      </c>
      <c r="G16" s="4">
        <f t="shared" si="2"/>
        <v>1</v>
      </c>
      <c r="H16" s="4">
        <f t="shared" si="2"/>
        <v>1</v>
      </c>
      <c r="I16" s="4">
        <f t="shared" si="2"/>
        <v>1</v>
      </c>
      <c r="J16" s="4">
        <f t="shared" si="2"/>
        <v>1</v>
      </c>
      <c r="K16" s="4">
        <f t="shared" si="2"/>
        <v>1</v>
      </c>
      <c r="L16" s="4">
        <f t="shared" si="2"/>
        <v>1</v>
      </c>
      <c r="M16" s="4">
        <f t="shared" si="2"/>
        <v>1</v>
      </c>
      <c r="N16" s="4">
        <f t="shared" si="2"/>
        <v>1</v>
      </c>
      <c r="O16" s="4">
        <f t="shared" si="2"/>
        <v>1</v>
      </c>
      <c r="P16" s="18"/>
      <c r="Q16" s="4">
        <f>IFERROR(Q15/Q10, 0)</f>
        <v>1</v>
      </c>
    </row>
    <row r="17" spans="1:17" x14ac:dyDescent="0.3">
      <c r="A17" s="5"/>
      <c r="B17" s="6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</row>
    <row r="18" spans="1:17" s="15" customFormat="1" x14ac:dyDescent="0.3">
      <c r="A18" s="6"/>
      <c r="B18" s="16" t="s">
        <v>255</v>
      </c>
      <c r="C18" s="6"/>
      <c r="D18" s="13">
        <f>SUM(OSRRefD20x_0)</f>
        <v>145763.01999999999</v>
      </c>
      <c r="E18" s="13">
        <f>SUM(OSRRefE20x_0)</f>
        <v>162688.91620417769</v>
      </c>
      <c r="F18" s="13">
        <f>SUM(OSRRefE20x_1)</f>
        <v>34999.061529177692</v>
      </c>
      <c r="G18" s="13">
        <f>SUM(OSRRefE20x_2)</f>
        <v>39639.737411472117</v>
      </c>
      <c r="H18" s="13">
        <f>SUM(OSRRefE20x_3)</f>
        <v>32547.44352917769</v>
      </c>
      <c r="I18" s="13">
        <f>SUM(OSRRefE20x_4)</f>
        <v>33050.339529177683</v>
      </c>
      <c r="J18" s="13">
        <f>SUM(OSRRefE20x_5)</f>
        <v>39635.934401472121</v>
      </c>
      <c r="K18" s="13">
        <f>SUM(OSRRefE20x_6)</f>
        <v>34555.098654177687</v>
      </c>
      <c r="L18" s="13">
        <f>SUM(OSRRefE20x_7)</f>
        <v>37555.098654177687</v>
      </c>
      <c r="M18" s="13">
        <f>SUM(OSRRefE20x_8)</f>
        <v>40506.40276147212</v>
      </c>
      <c r="N18" s="13">
        <f>SUM(OSRRefE20x_9)</f>
        <v>33270.35652917769</v>
      </c>
      <c r="O18" s="13">
        <f>SUM(OSRRefE20x_10)</f>
        <v>31815.376569177686</v>
      </c>
      <c r="Q18" s="13">
        <f>SUM(OSRRefG20x)</f>
        <v>666026.78577283793</v>
      </c>
    </row>
    <row r="19" spans="1:17" s="34" customFormat="1" collapsed="1" x14ac:dyDescent="0.3">
      <c r="A19" s="35"/>
      <c r="B19" s="14" t="str">
        <f>CONCATENATE("     ","*Benefits                                         ")</f>
        <v xml:space="preserve">     *Benefits                                         </v>
      </c>
      <c r="C19" s="14"/>
      <c r="D19" s="1">
        <f>SUM(OSRRefD21_0x_0)</f>
        <v>3801.83</v>
      </c>
      <c r="E19" s="1">
        <f>SUM(OSRRefE21_0x_0)</f>
        <v>4450.3779618699982</v>
      </c>
      <c r="F19" s="1">
        <f>SUM(OSRRefE21_0x_1)</f>
        <v>3373.0232868699995</v>
      </c>
      <c r="G19" s="1">
        <f>SUM(OSRRefE21_0x_2)</f>
        <v>3918.4396085875023</v>
      </c>
      <c r="H19" s="1">
        <f>SUM(OSRRefE21_0x_3)</f>
        <v>3261.4052868700001</v>
      </c>
      <c r="I19" s="1">
        <f>SUM(OSRRefE21_0x_4)</f>
        <v>3284.3012868699998</v>
      </c>
      <c r="J19" s="1">
        <f>SUM(OSRRefE21_0x_5)</f>
        <v>3880.1365985875027</v>
      </c>
      <c r="K19" s="1">
        <f>SUM(OSRRefE21_0x_6)</f>
        <v>3352.8104118699998</v>
      </c>
      <c r="L19" s="1">
        <f>SUM(OSRRefE21_0x_7)</f>
        <v>3352.8104118699998</v>
      </c>
      <c r="M19" s="1">
        <f>SUM(OSRRefE21_0x_8)</f>
        <v>3889.6049585875021</v>
      </c>
      <c r="N19" s="1">
        <f>SUM(OSRRefE21_0x_9)</f>
        <v>3294.3182868699996</v>
      </c>
      <c r="O19" s="1">
        <f>SUM(OSRRefE21_0x_10)</f>
        <v>3801.3383268699977</v>
      </c>
      <c r="Q19" s="2">
        <f>SUM(OSRRefD20_0x)+IFERROR(SUM(OSRRefE20_0x),0)</f>
        <v>43660.396425722502</v>
      </c>
    </row>
    <row r="20" spans="1:17" s="34" customFormat="1" hidden="1" outlineLevel="1" x14ac:dyDescent="0.3">
      <c r="A20" s="35"/>
      <c r="B20" s="10" t="str">
        <f>CONCATENATE("          ","6111", " - ","F.I.C.A.")</f>
        <v xml:space="preserve">          6111 - F.I.C.A.</v>
      </c>
      <c r="C20" s="14"/>
      <c r="D20" s="2">
        <v>1188.3599999999999</v>
      </c>
      <c r="E20" s="2">
        <v>1673.63160887769</v>
      </c>
      <c r="F20" s="2">
        <v>673.19318387769204</v>
      </c>
      <c r="G20" s="2">
        <v>841.49147984711601</v>
      </c>
      <c r="H20" s="2">
        <v>673.19318387769204</v>
      </c>
      <c r="I20" s="2">
        <v>673.19318387769204</v>
      </c>
      <c r="J20" s="2">
        <v>801.54281984711599</v>
      </c>
      <c r="K20" s="2">
        <v>673.19318387769204</v>
      </c>
      <c r="L20" s="2">
        <v>673.19318387769204</v>
      </c>
      <c r="M20" s="2">
        <v>841.49147984711601</v>
      </c>
      <c r="N20" s="2">
        <v>673.19318387769204</v>
      </c>
      <c r="O20" s="2">
        <v>1273.80062387769</v>
      </c>
      <c r="P20" s="9"/>
      <c r="Q20" s="2">
        <f>SUM(OSRRefD21_0_0x)+IFERROR(SUM(OSRRefE21_0_0x),0)</f>
        <v>10659.477115562882</v>
      </c>
    </row>
    <row r="21" spans="1:17" s="34" customFormat="1" hidden="1" outlineLevel="1" x14ac:dyDescent="0.3">
      <c r="A21" s="35"/>
      <c r="B21" s="10" t="str">
        <f>CONCATENATE("          ","6112", " - ","COMPENSATION INSURANCE")</f>
        <v xml:space="preserve">          6112 - COMPENSATION INSURANCE</v>
      </c>
      <c r="C21" s="14"/>
      <c r="D21" s="2">
        <v>157.99</v>
      </c>
      <c r="E21" s="2">
        <v>341.15579639999999</v>
      </c>
      <c r="F21" s="2">
        <v>316.00079640000001</v>
      </c>
      <c r="G21" s="2">
        <v>381.1949955</v>
      </c>
      <c r="H21" s="2">
        <v>279.49679639999999</v>
      </c>
      <c r="I21" s="2">
        <v>286.98479639999999</v>
      </c>
      <c r="J21" s="2">
        <v>381.73319550000002</v>
      </c>
      <c r="K21" s="2">
        <v>309.39029640000001</v>
      </c>
      <c r="L21" s="2">
        <v>309.39029640000001</v>
      </c>
      <c r="M21" s="2">
        <v>371.76479549999999</v>
      </c>
      <c r="N21" s="2">
        <v>290.2607964</v>
      </c>
      <c r="O21" s="2">
        <v>259.65359640000003</v>
      </c>
      <c r="P21" s="9"/>
      <c r="Q21" s="2">
        <f>SUM(OSRRefD21_0_1x)+IFERROR(SUM(OSRRefE21_0_1x),0)</f>
        <v>3685.0161576999999</v>
      </c>
    </row>
    <row r="22" spans="1:17" s="34" customFormat="1" hidden="1" outlineLevel="1" x14ac:dyDescent="0.3">
      <c r="A22" s="35"/>
      <c r="B22" s="10" t="str">
        <f>CONCATENATE("          ","6113", " - ","GROUP INSURANCE")</f>
        <v xml:space="preserve">          6113 - GROUP INSURANCE</v>
      </c>
      <c r="C22" s="14"/>
      <c r="D22" s="2">
        <v>1054.3499999999999</v>
      </c>
      <c r="E22" s="2">
        <v>1022.5</v>
      </c>
      <c r="F22" s="2">
        <v>1022.5</v>
      </c>
      <c r="G22" s="2">
        <v>1022.5</v>
      </c>
      <c r="H22" s="2">
        <v>1022.5</v>
      </c>
      <c r="I22" s="2">
        <v>1022.5</v>
      </c>
      <c r="J22" s="2">
        <v>1022.5</v>
      </c>
      <c r="K22" s="2">
        <v>1022.5</v>
      </c>
      <c r="L22" s="2">
        <v>1022.5</v>
      </c>
      <c r="M22" s="2">
        <v>1022.5</v>
      </c>
      <c r="N22" s="2">
        <v>1022.5</v>
      </c>
      <c r="O22" s="2">
        <v>1022.5</v>
      </c>
      <c r="P22" s="9"/>
      <c r="Q22" s="2">
        <f>SUM(OSRRefD21_0_2x)+IFERROR(SUM(OSRRefE21_0_2x),0)</f>
        <v>12301.85</v>
      </c>
    </row>
    <row r="23" spans="1:17" s="34" customFormat="1" hidden="1" outlineLevel="1" x14ac:dyDescent="0.3">
      <c r="A23" s="35"/>
      <c r="B23" s="10" t="str">
        <f>CONCATENATE("          ","6114", " - ","STATE UNEMPLOYMENT INSURANCE")</f>
        <v xml:space="preserve">          6114 - STATE UNEMPLOYMENT INSURANCE</v>
      </c>
      <c r="C23" s="14"/>
      <c r="D23" s="2">
        <v>31.34</v>
      </c>
      <c r="E23" s="2">
        <v>45.924818746153797</v>
      </c>
      <c r="F23" s="2">
        <v>42.5385687461538</v>
      </c>
      <c r="G23" s="2">
        <v>51.3147109326923</v>
      </c>
      <c r="H23" s="2">
        <v>37.624568746153798</v>
      </c>
      <c r="I23" s="2">
        <v>38.6325687461539</v>
      </c>
      <c r="J23" s="2">
        <v>51.387160932692296</v>
      </c>
      <c r="K23" s="2">
        <v>41.648693746153803</v>
      </c>
      <c r="L23" s="2">
        <v>41.648693746153803</v>
      </c>
      <c r="M23" s="2">
        <v>50.045260932692301</v>
      </c>
      <c r="N23" s="2">
        <v>39.073568746153903</v>
      </c>
      <c r="O23" s="2">
        <v>34.953368746153799</v>
      </c>
      <c r="P23" s="9"/>
      <c r="Q23" s="2">
        <f>SUM(OSRRefD21_0_3x)+IFERROR(SUM(OSRRefE21_0_3x),0)</f>
        <v>506.13198276730748</v>
      </c>
    </row>
    <row r="24" spans="1:17" s="34" customFormat="1" hidden="1" outlineLevel="1" x14ac:dyDescent="0.3">
      <c r="A24" s="35"/>
      <c r="B24" s="10" t="str">
        <f>CONCATENATE("          ","6115", " - ","P.E.R.S.")</f>
        <v xml:space="preserve">          6115 - P.E.R.S.</v>
      </c>
      <c r="C24" s="14"/>
      <c r="D24" s="2">
        <v>586.58000000000004</v>
      </c>
      <c r="E24" s="2">
        <v>576.92767246153903</v>
      </c>
      <c r="F24" s="2">
        <v>576.92767246153903</v>
      </c>
      <c r="G24" s="2">
        <v>721.15959057692396</v>
      </c>
      <c r="H24" s="2">
        <v>576.92767246153903</v>
      </c>
      <c r="I24" s="2">
        <v>576.92767246153903</v>
      </c>
      <c r="J24" s="2">
        <v>721.15959057692396</v>
      </c>
      <c r="K24" s="2">
        <v>576.92767246153903</v>
      </c>
      <c r="L24" s="2">
        <v>576.92767246153903</v>
      </c>
      <c r="M24" s="2">
        <v>721.15959057692396</v>
      </c>
      <c r="N24" s="2">
        <v>576.92767246153903</v>
      </c>
      <c r="O24" s="2">
        <v>576.92767246153903</v>
      </c>
      <c r="P24" s="9"/>
      <c r="Q24" s="2">
        <f>SUM(OSRRefD21_0_4x)+IFERROR(SUM(OSRRefE21_0_4x),0)</f>
        <v>7365.4801514230849</v>
      </c>
    </row>
    <row r="25" spans="1:17" s="34" customFormat="1" hidden="1" outlineLevel="1" x14ac:dyDescent="0.3">
      <c r="A25" s="35"/>
      <c r="B25" s="10" t="str">
        <f>CONCATENATE("          ","6116", " - ","EDUCATIONAL BENEFITS")</f>
        <v xml:space="preserve">          6116 - EDUCATIONAL BENEFITS</v>
      </c>
      <c r="C25" s="14"/>
      <c r="D25" s="2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9"/>
      <c r="Q25" s="2">
        <f>SUM(OSRRefD21_0_5x)+IFERROR(SUM(OSRRefE21_0_5x),0)</f>
        <v>0</v>
      </c>
    </row>
    <row r="26" spans="1:17" s="34" customFormat="1" hidden="1" outlineLevel="1" x14ac:dyDescent="0.3">
      <c r="A26" s="35"/>
      <c r="B26" s="10" t="str">
        <f>CONCATENATE("          ","6117", " - ","RETIREMENT STAFF HOURLY")</f>
        <v xml:space="preserve">          6117 - RETIREMENT STAFF HOURLY</v>
      </c>
      <c r="C26" s="14"/>
      <c r="D26" s="2">
        <v>102.54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  <c r="Q26" s="2">
        <f>SUM(OSRRefD21_0_6x)+IFERROR(SUM(OSRRefE21_0_6x),0)</f>
        <v>102.54</v>
      </c>
    </row>
    <row r="27" spans="1:17" s="34" customFormat="1" hidden="1" outlineLevel="1" x14ac:dyDescent="0.3">
      <c r="A27" s="35"/>
      <c r="B27" s="10" t="str">
        <f>CONCATENATE("          ","6118", " - ","VACATION")</f>
        <v xml:space="preserve">          6118 - VACATION</v>
      </c>
      <c r="C27" s="14"/>
      <c r="D27" s="2">
        <v>413.76</v>
      </c>
      <c r="E27" s="2">
        <v>201.25383923076899</v>
      </c>
      <c r="F27" s="2">
        <v>201.25383923076899</v>
      </c>
      <c r="G27" s="2">
        <v>251.56729903846201</v>
      </c>
      <c r="H27" s="2">
        <v>201.25383923076899</v>
      </c>
      <c r="I27" s="2">
        <v>201.25383923076899</v>
      </c>
      <c r="J27" s="2">
        <v>251.56729903846201</v>
      </c>
      <c r="K27" s="2">
        <v>201.25383923076899</v>
      </c>
      <c r="L27" s="2">
        <v>201.25383923076899</v>
      </c>
      <c r="M27" s="2">
        <v>251.56729903846201</v>
      </c>
      <c r="N27" s="2">
        <v>201.25383923076899</v>
      </c>
      <c r="O27" s="2">
        <v>201.25383923076899</v>
      </c>
      <c r="P27" s="9"/>
      <c r="Q27" s="2">
        <f>SUM(OSRRefD21_0_7x)+IFERROR(SUM(OSRRefE21_0_7x),0)</f>
        <v>2778.4926109615371</v>
      </c>
    </row>
    <row r="28" spans="1:17" s="34" customFormat="1" hidden="1" outlineLevel="1" x14ac:dyDescent="0.3">
      <c r="A28" s="35"/>
      <c r="B28" s="10" t="str">
        <f>CONCATENATE("          ","6119", " - ","SICK LEAVE")</f>
        <v xml:space="preserve">          6119 - SICK LEAVE</v>
      </c>
      <c r="C28" s="14"/>
      <c r="D28" s="2">
        <v>266.91000000000003</v>
      </c>
      <c r="E28" s="2">
        <v>588.98422615384595</v>
      </c>
      <c r="F28" s="2">
        <v>540.60922615384595</v>
      </c>
      <c r="G28" s="2">
        <v>649.21153269230797</v>
      </c>
      <c r="H28" s="2">
        <v>470.40922615384602</v>
      </c>
      <c r="I28" s="2">
        <v>484.809226153846</v>
      </c>
      <c r="J28" s="2">
        <v>650.24653269230805</v>
      </c>
      <c r="K28" s="2">
        <v>527.89672615384598</v>
      </c>
      <c r="L28" s="2">
        <v>527.89672615384598</v>
      </c>
      <c r="M28" s="2">
        <v>631.07653269230798</v>
      </c>
      <c r="N28" s="2">
        <v>491.10922615384601</v>
      </c>
      <c r="O28" s="2">
        <v>432.249226153846</v>
      </c>
      <c r="P28" s="9"/>
      <c r="Q28" s="2">
        <f>SUM(OSRRefD21_0_8x)+IFERROR(SUM(OSRRefE21_0_8x),0)</f>
        <v>6261.4084073076929</v>
      </c>
    </row>
    <row r="29" spans="1:17" s="34" customFormat="1" collapsed="1" x14ac:dyDescent="0.3">
      <c r="A29" s="35"/>
      <c r="B29" s="14" t="str">
        <f>CONCATENATE("     ","*Payroll                                          ")</f>
        <v xml:space="preserve">     *Payroll                                          </v>
      </c>
      <c r="C29" s="14"/>
      <c r="D29" s="1">
        <f>SUM(OSRRefD21_1x_0)</f>
        <v>18970.560000000001</v>
      </c>
      <c r="E29" s="1">
        <f>SUM(OSRRefE21_1x_0)</f>
        <v>21533.538242307688</v>
      </c>
      <c r="F29" s="1">
        <f>SUM(OSRRefE21_1x_1)</f>
        <v>19921.038242307688</v>
      </c>
      <c r="G29" s="1">
        <f>SUM(OSRRefE21_1x_2)</f>
        <v>24016.297802884619</v>
      </c>
      <c r="H29" s="1">
        <f>SUM(OSRRefE21_1x_3)</f>
        <v>17581.038242307688</v>
      </c>
      <c r="I29" s="1">
        <f>SUM(OSRRefE21_1x_4)</f>
        <v>18061.038242307688</v>
      </c>
      <c r="J29" s="1">
        <f>SUM(OSRRefE21_1x_5)</f>
        <v>24050.797802884619</v>
      </c>
      <c r="K29" s="1">
        <f>SUM(OSRRefE21_1x_6)</f>
        <v>19497.288242307688</v>
      </c>
      <c r="L29" s="1">
        <f>SUM(OSRRefE21_1x_7)</f>
        <v>19497.288242307688</v>
      </c>
      <c r="M29" s="1">
        <f>SUM(OSRRefE21_1x_8)</f>
        <v>23411.797802884619</v>
      </c>
      <c r="N29" s="1">
        <f>SUM(OSRRefE21_1x_9)</f>
        <v>18271.038242307688</v>
      </c>
      <c r="O29" s="1">
        <f>SUM(OSRRefE21_1x_10)</f>
        <v>16309.03824230769</v>
      </c>
      <c r="Q29" s="2">
        <f>SUM(OSRRefD20_1x)+IFERROR(SUM(OSRRefE20_1x),0)</f>
        <v>241120.75934711541</v>
      </c>
    </row>
    <row r="30" spans="1:17" s="34" customFormat="1" hidden="1" outlineLevel="1" x14ac:dyDescent="0.3">
      <c r="A30" s="35"/>
      <c r="B30" s="10" t="str">
        <f>CONCATENATE("          ","6001", " - ","ADMINISTRATIVE SALARIES")</f>
        <v xml:space="preserve">          6001 - ADMINISTRATIVE SALARIES</v>
      </c>
      <c r="C30" s="14"/>
      <c r="D30" s="2">
        <v>5599.1</v>
      </c>
      <c r="E30" s="2">
        <v>4139.8076923076896</v>
      </c>
      <c r="F30" s="2">
        <v>4139.8076923076896</v>
      </c>
      <c r="G30" s="2">
        <v>5174.7596153846198</v>
      </c>
      <c r="H30" s="2">
        <v>4139.8076923076896</v>
      </c>
      <c r="I30" s="2">
        <v>4139.8076923076896</v>
      </c>
      <c r="J30" s="2">
        <v>5174.7596153846198</v>
      </c>
      <c r="K30" s="2">
        <v>4139.8076923076896</v>
      </c>
      <c r="L30" s="2">
        <v>4139.8076923076896</v>
      </c>
      <c r="M30" s="2">
        <v>5174.7596153846198</v>
      </c>
      <c r="N30" s="2">
        <v>4139.8076923076896</v>
      </c>
      <c r="O30" s="2">
        <v>4139.8076923076896</v>
      </c>
      <c r="P30" s="9"/>
      <c r="Q30" s="2">
        <f>SUM(OSRRefD21_1_0x)+IFERROR(SUM(OSRRefE21_1_0x),0)</f>
        <v>54241.840384615367</v>
      </c>
    </row>
    <row r="31" spans="1:17" s="34" customFormat="1" hidden="1" outlineLevel="1" x14ac:dyDescent="0.3">
      <c r="A31" s="35"/>
      <c r="B31" s="10" t="str">
        <f>CONCATENATE("          ","6002", " - ","STAFF SALARIES")</f>
        <v xml:space="preserve">          6002 - STAFF SALARIES</v>
      </c>
      <c r="C31" s="14"/>
      <c r="D31" s="2">
        <v>5113.62</v>
      </c>
      <c r="E31" s="2">
        <v>2233.2305500000002</v>
      </c>
      <c r="F31" s="2">
        <v>2233.2305500000002</v>
      </c>
      <c r="G31" s="2">
        <v>2791.5381874999998</v>
      </c>
      <c r="H31" s="2">
        <v>2233.2305500000002</v>
      </c>
      <c r="I31" s="2">
        <v>2233.2305500000002</v>
      </c>
      <c r="J31" s="2">
        <v>2791.5381874999998</v>
      </c>
      <c r="K31" s="2">
        <v>2233.2305500000002</v>
      </c>
      <c r="L31" s="2">
        <v>2233.2305500000002</v>
      </c>
      <c r="M31" s="2">
        <v>2791.5381874999998</v>
      </c>
      <c r="N31" s="2">
        <v>2233.2305500000002</v>
      </c>
      <c r="O31" s="2">
        <v>2233.2305500000002</v>
      </c>
      <c r="P31" s="9"/>
      <c r="Q31" s="2">
        <f>SUM(OSRRefD21_1_1x)+IFERROR(SUM(OSRRefE21_1_1x),0)</f>
        <v>31354.0789625</v>
      </c>
    </row>
    <row r="32" spans="1:17" s="34" customFormat="1" hidden="1" outlineLevel="1" x14ac:dyDescent="0.3">
      <c r="A32" s="35"/>
      <c r="B32" s="10" t="str">
        <f>CONCATENATE("          ","6003", " - ","STAFF HOURLY-9 MONTH")</f>
        <v xml:space="preserve">          6003 - STAFF HOURLY-9 MONTH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SUM(OSRRefD21_1_2x)+IFERROR(SUM(OSRRefE21_1_2x),0)</f>
        <v>0</v>
      </c>
    </row>
    <row r="33" spans="1:17" s="34" customFormat="1" hidden="1" outlineLevel="1" x14ac:dyDescent="0.3">
      <c r="A33" s="35"/>
      <c r="B33" s="10" t="str">
        <f>CONCATENATE("          ","6004", " - ","STAFF HOURLY")</f>
        <v xml:space="preserve">          6004 - STAFF HOURLY</v>
      </c>
      <c r="C33" s="14"/>
      <c r="D33" s="2"/>
      <c r="E33" s="2">
        <v>2088</v>
      </c>
      <c r="F33" s="2">
        <v>2088</v>
      </c>
      <c r="G33" s="2">
        <v>2610</v>
      </c>
      <c r="H33" s="2">
        <v>2088</v>
      </c>
      <c r="I33" s="2">
        <v>2088</v>
      </c>
      <c r="J33" s="2">
        <v>2088</v>
      </c>
      <c r="K33" s="2">
        <v>2088</v>
      </c>
      <c r="L33" s="2">
        <v>2088</v>
      </c>
      <c r="M33" s="2">
        <v>2610</v>
      </c>
      <c r="N33" s="2">
        <v>2088</v>
      </c>
      <c r="O33" s="2">
        <v>2088</v>
      </c>
      <c r="P33" s="9"/>
      <c r="Q33" s="2">
        <f>SUM(OSRRefD21_1_3x)+IFERROR(SUM(OSRRefE21_1_3x),0)</f>
        <v>24012</v>
      </c>
    </row>
    <row r="34" spans="1:17" s="34" customFormat="1" hidden="1" outlineLevel="1" x14ac:dyDescent="0.3">
      <c r="A34" s="35"/>
      <c r="B34" s="10" t="str">
        <f>CONCATENATE("          ","6005", " - ","TEMPORARY WAGES-HOURLY")</f>
        <v xml:space="preserve">          6005 - TEMPORARY WAGES-HOURLY</v>
      </c>
      <c r="C34" s="14"/>
      <c r="D34" s="2">
        <v>6179.64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SUM(OSRRefD21_1_4x)+IFERROR(SUM(OSRRefE21_1_4x),0)</f>
        <v>6179.64</v>
      </c>
    </row>
    <row r="35" spans="1:17" s="34" customFormat="1" hidden="1" outlineLevel="1" x14ac:dyDescent="0.3">
      <c r="A35" s="35"/>
      <c r="B35" s="10" t="str">
        <f>CONCATENATE("          ","6006", " - ","TEMPORARY PART TIME")</f>
        <v xml:space="preserve">          6006 - TEMPORARY PART TIME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SUM(OSRRefD21_1_5x)+IFERROR(SUM(OSRRefE21_1_5x),0)</f>
        <v>0</v>
      </c>
    </row>
    <row r="36" spans="1:17" s="34" customFormat="1" hidden="1" outlineLevel="1" x14ac:dyDescent="0.3">
      <c r="A36" s="35"/>
      <c r="B36" s="10" t="str">
        <f>CONCATENATE("          ","6007", " - ","STUDENT HOURLY")</f>
        <v xml:space="preserve">          6007 - STUDENT HOURLY</v>
      </c>
      <c r="C36" s="14"/>
      <c r="D36" s="2">
        <v>2078.1999999999998</v>
      </c>
      <c r="E36" s="2">
        <v>13072.5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7848</v>
      </c>
      <c r="P36" s="9"/>
      <c r="Q36" s="2">
        <f>SUM(OSRRefD21_1_6x)+IFERROR(SUM(OSRRefE21_1_6x),0)</f>
        <v>22998.7</v>
      </c>
    </row>
    <row r="37" spans="1:17" s="34" customFormat="1" hidden="1" outlineLevel="1" x14ac:dyDescent="0.3">
      <c r="A37" s="35"/>
      <c r="B37" s="10" t="str">
        <f>CONCATENATE("          ","6008", " - ","STUDENT HOURLY-FICA EXEMPT")</f>
        <v xml:space="preserve">          6008 - STUDENT HOURLY-FICA EXEMPT</v>
      </c>
      <c r="C37" s="14"/>
      <c r="D37" s="2"/>
      <c r="E37" s="2">
        <v>0</v>
      </c>
      <c r="F37" s="2">
        <v>11460</v>
      </c>
      <c r="G37" s="2">
        <v>13440</v>
      </c>
      <c r="H37" s="2">
        <v>9120</v>
      </c>
      <c r="I37" s="2">
        <v>9600</v>
      </c>
      <c r="J37" s="2">
        <v>13996.5</v>
      </c>
      <c r="K37" s="2">
        <v>11036.25</v>
      </c>
      <c r="L37" s="2">
        <v>11036.25</v>
      </c>
      <c r="M37" s="2">
        <v>12835.5</v>
      </c>
      <c r="N37" s="2">
        <v>9810</v>
      </c>
      <c r="O37" s="2">
        <v>0</v>
      </c>
      <c r="P37" s="9"/>
      <c r="Q37" s="2">
        <f>SUM(OSRRefD21_1_7x)+IFERROR(SUM(OSRRefE21_1_7x),0)</f>
        <v>102334.5</v>
      </c>
    </row>
    <row r="38" spans="1:17" s="34" customFormat="1" hidden="1" outlineLevel="1" x14ac:dyDescent="0.3">
      <c r="A38" s="35"/>
      <c r="B38" s="10" t="str">
        <f>CONCATENATE("          ","6009", " - ","TEMPORARY-SEASONAL")</f>
        <v xml:space="preserve">          6009 - TEMPORARY-SEASONAL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SUM(OSRRefD21_1_8x)+IFERROR(SUM(OSRRefE21_1_8x),0)</f>
        <v>0</v>
      </c>
    </row>
    <row r="39" spans="1:17" s="34" customFormat="1" hidden="1" outlineLevel="1" x14ac:dyDescent="0.3">
      <c r="A39" s="35"/>
      <c r="B39" s="10" t="str">
        <f>CONCATENATE("          ","6010", " - ","GRATUITY")</f>
        <v xml:space="preserve">          6010 - GRATUITY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SUM(OSRRefD21_1_9x)+IFERROR(SUM(OSRRefE21_1_9x),0)</f>
        <v>0</v>
      </c>
    </row>
    <row r="40" spans="1:17" s="34" customFormat="1" collapsed="1" x14ac:dyDescent="0.3">
      <c r="A40" s="35"/>
      <c r="B40" s="14" t="str">
        <f>CONCATENATE("     ","Advertising/Promo                                 ")</f>
        <v xml:space="preserve">     Advertising/Promo                                 </v>
      </c>
      <c r="C40" s="14"/>
      <c r="D40" s="1">
        <f>SUM(OSRRefD21_2x_0)</f>
        <v>0</v>
      </c>
      <c r="E40" s="1">
        <f>SUM(OSRRefE21_2x_0)</f>
        <v>100</v>
      </c>
      <c r="F40" s="1">
        <f>SUM(OSRRefE21_2x_1)</f>
        <v>100</v>
      </c>
      <c r="G40" s="1">
        <f>SUM(OSRRefE21_2x_2)</f>
        <v>100</v>
      </c>
      <c r="H40" s="1">
        <f>SUM(OSRRefE21_2x_3)</f>
        <v>100</v>
      </c>
      <c r="I40" s="1">
        <f>SUM(OSRRefE21_2x_4)</f>
        <v>100</v>
      </c>
      <c r="J40" s="1">
        <f>SUM(OSRRefE21_2x_5)</f>
        <v>100</v>
      </c>
      <c r="K40" s="1">
        <f>SUM(OSRRefE21_2x_6)</f>
        <v>100</v>
      </c>
      <c r="L40" s="1">
        <f>SUM(OSRRefE21_2x_7)</f>
        <v>100</v>
      </c>
      <c r="M40" s="1">
        <f>SUM(OSRRefE21_2x_8)</f>
        <v>100</v>
      </c>
      <c r="N40" s="1">
        <f>SUM(OSRRefE21_2x_9)</f>
        <v>100</v>
      </c>
      <c r="O40" s="1">
        <f>SUM(OSRRefE21_2x_10)</f>
        <v>100</v>
      </c>
      <c r="Q40" s="2">
        <f>SUM(OSRRefD20_2x)+IFERROR(SUM(OSRRefE20_2x),0)</f>
        <v>1100</v>
      </c>
    </row>
    <row r="41" spans="1:17" s="34" customFormat="1" hidden="1" outlineLevel="1" x14ac:dyDescent="0.3">
      <c r="A41" s="35"/>
      <c r="B41" s="10" t="str">
        <f>CONCATENATE("          ","6362", " - ","ADVERTISING EXPENSE")</f>
        <v xml:space="preserve">          6362 - ADVERTISING EXPENSE</v>
      </c>
      <c r="C41" s="14"/>
      <c r="D41" s="2"/>
      <c r="E41" s="2">
        <v>100</v>
      </c>
      <c r="F41" s="2">
        <v>100</v>
      </c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9"/>
      <c r="Q41" s="2">
        <f>SUM(OSRRefD21_2_0x)+IFERROR(SUM(OSRRefE21_2_0x),0)</f>
        <v>1100</v>
      </c>
    </row>
    <row r="42" spans="1:17" s="34" customFormat="1" collapsed="1" x14ac:dyDescent="0.3">
      <c r="A42" s="35"/>
      <c r="B42" s="14" t="str">
        <f>CONCATENATE("     ","Bank/card Fees                                    ")</f>
        <v xml:space="preserve">     Bank/card Fees                                    </v>
      </c>
      <c r="C42" s="14"/>
      <c r="D42" s="1">
        <f>SUM(OSRRefD21_3x_0)</f>
        <v>44.12</v>
      </c>
      <c r="E42" s="1">
        <f>SUM(OSRRefE21_3x_0)</f>
        <v>1250</v>
      </c>
      <c r="F42" s="1">
        <f>SUM(OSRRefE21_3x_1)</f>
        <v>1250</v>
      </c>
      <c r="G42" s="1">
        <f>SUM(OSRRefE21_3x_2)</f>
        <v>1250</v>
      </c>
      <c r="H42" s="1">
        <f>SUM(OSRRefE21_3x_3)</f>
        <v>1250</v>
      </c>
      <c r="I42" s="1">
        <f>SUM(OSRRefE21_3x_4)</f>
        <v>1250</v>
      </c>
      <c r="J42" s="1">
        <f>SUM(OSRRefE21_3x_5)</f>
        <v>1250</v>
      </c>
      <c r="K42" s="1">
        <f>SUM(OSRRefE21_3x_6)</f>
        <v>1250</v>
      </c>
      <c r="L42" s="1">
        <f>SUM(OSRRefE21_3x_7)</f>
        <v>1250</v>
      </c>
      <c r="M42" s="1">
        <f>SUM(OSRRefE21_3x_8)</f>
        <v>1250</v>
      </c>
      <c r="N42" s="1">
        <f>SUM(OSRRefE21_3x_9)</f>
        <v>1250</v>
      </c>
      <c r="O42" s="1">
        <f>SUM(OSRRefE21_3x_10)</f>
        <v>1250</v>
      </c>
      <c r="Q42" s="2">
        <f>SUM(OSRRefD20_3x)+IFERROR(SUM(OSRRefE20_3x),0)</f>
        <v>13794.12</v>
      </c>
    </row>
    <row r="43" spans="1:17" s="34" customFormat="1" hidden="1" outlineLevel="1" x14ac:dyDescent="0.3">
      <c r="A43" s="35"/>
      <c r="B43" s="10" t="str">
        <f>CONCATENATE("          ","6381", " - ","BANK/CREDIT CARD FEES")</f>
        <v xml:space="preserve">          6381 - BANK/CREDIT CARD FEES</v>
      </c>
      <c r="C43" s="14"/>
      <c r="D43" s="2">
        <v>44.12</v>
      </c>
      <c r="E43" s="2">
        <v>1250</v>
      </c>
      <c r="F43" s="2">
        <v>1250</v>
      </c>
      <c r="G43" s="2">
        <v>1250</v>
      </c>
      <c r="H43" s="2">
        <v>1250</v>
      </c>
      <c r="I43" s="2">
        <v>1250</v>
      </c>
      <c r="J43" s="2">
        <v>1250</v>
      </c>
      <c r="K43" s="2">
        <v>1250</v>
      </c>
      <c r="L43" s="2">
        <v>1250</v>
      </c>
      <c r="M43" s="2">
        <v>1250</v>
      </c>
      <c r="N43" s="2">
        <v>1250</v>
      </c>
      <c r="O43" s="2">
        <v>1250</v>
      </c>
      <c r="P43" s="9"/>
      <c r="Q43" s="2">
        <f>SUM(OSRRefD21_3_0x)+IFERROR(SUM(OSRRefE21_3_0x),0)</f>
        <v>13794.12</v>
      </c>
    </row>
    <row r="44" spans="1:17" s="34" customFormat="1" collapsed="1" x14ac:dyDescent="0.3">
      <c r="A44" s="35"/>
      <c r="B44" s="14" t="str">
        <f>CONCATENATE("     ","Employees' Appreciation                           ")</f>
        <v xml:space="preserve">     Employees' Appreciation                           </v>
      </c>
      <c r="C44" s="14"/>
      <c r="D44" s="1">
        <f>SUM(OSRRefD21_4x_0)</f>
        <v>0</v>
      </c>
      <c r="E44" s="1">
        <f>SUM(OSRRefE21_4x_0)</f>
        <v>20</v>
      </c>
      <c r="F44" s="1">
        <f>SUM(OSRRefE21_4x_1)</f>
        <v>20</v>
      </c>
      <c r="G44" s="1">
        <f>SUM(OSRRefE21_4x_2)</f>
        <v>20</v>
      </c>
      <c r="H44" s="1">
        <f>SUM(OSRRefE21_4x_3)</f>
        <v>20</v>
      </c>
      <c r="I44" s="1">
        <f>SUM(OSRRefE21_4x_4)</f>
        <v>20</v>
      </c>
      <c r="J44" s="1">
        <f>SUM(OSRRefE21_4x_5)</f>
        <v>20</v>
      </c>
      <c r="K44" s="1">
        <f>SUM(OSRRefE21_4x_6)</f>
        <v>20</v>
      </c>
      <c r="L44" s="1">
        <f>SUM(OSRRefE21_4x_7)</f>
        <v>20</v>
      </c>
      <c r="M44" s="1">
        <f>SUM(OSRRefE21_4x_8)</f>
        <v>20</v>
      </c>
      <c r="N44" s="1">
        <f>SUM(OSRRefE21_4x_9)</f>
        <v>20</v>
      </c>
      <c r="O44" s="1">
        <f>SUM(OSRRefE21_4x_10)</f>
        <v>20</v>
      </c>
      <c r="Q44" s="2">
        <f>SUM(OSRRefD20_4x)+IFERROR(SUM(OSRRefE20_4x),0)</f>
        <v>220</v>
      </c>
    </row>
    <row r="45" spans="1:17" s="34" customFormat="1" hidden="1" outlineLevel="1" x14ac:dyDescent="0.3">
      <c r="A45" s="35"/>
      <c r="B45" s="10" t="str">
        <f>CONCATENATE("          ","6277", " - ","EMPLOYEE APPRECIATION")</f>
        <v xml:space="preserve">          6277 - EMPLOYEE APPRECIATION</v>
      </c>
      <c r="C45" s="14"/>
      <c r="D45" s="2"/>
      <c r="E45" s="2">
        <v>20</v>
      </c>
      <c r="F45" s="2">
        <v>20</v>
      </c>
      <c r="G45" s="2">
        <v>20</v>
      </c>
      <c r="H45" s="2">
        <v>20</v>
      </c>
      <c r="I45" s="2">
        <v>20</v>
      </c>
      <c r="J45" s="2">
        <v>20</v>
      </c>
      <c r="K45" s="2">
        <v>20</v>
      </c>
      <c r="L45" s="2">
        <v>20</v>
      </c>
      <c r="M45" s="2">
        <v>20</v>
      </c>
      <c r="N45" s="2">
        <v>20</v>
      </c>
      <c r="O45" s="2">
        <v>20</v>
      </c>
      <c r="P45" s="9"/>
      <c r="Q45" s="2">
        <f>SUM(OSRRefD21_4_0x)+IFERROR(SUM(OSRRefE21_4_0x),0)</f>
        <v>220</v>
      </c>
    </row>
    <row r="46" spans="1:17" s="34" customFormat="1" collapsed="1" x14ac:dyDescent="0.3">
      <c r="A46" s="35"/>
      <c r="B46" s="14" t="str">
        <f>CONCATENATE("     ","Freight out/Postage                               ")</f>
        <v xml:space="preserve">     Freight out/Postage                               </v>
      </c>
      <c r="C46" s="14"/>
      <c r="D46" s="1">
        <f>SUM(OSRRefD21_5x_0)</f>
        <v>0</v>
      </c>
      <c r="E46" s="1">
        <f>SUM(OSRRefE21_5x_0)</f>
        <v>10</v>
      </c>
      <c r="F46" s="1">
        <f>SUM(OSRRefE21_5x_1)</f>
        <v>10</v>
      </c>
      <c r="G46" s="1">
        <f>SUM(OSRRefE21_5x_2)</f>
        <v>10</v>
      </c>
      <c r="H46" s="1">
        <f>SUM(OSRRefE21_5x_3)</f>
        <v>10</v>
      </c>
      <c r="I46" s="1">
        <f>SUM(OSRRefE21_5x_4)</f>
        <v>10</v>
      </c>
      <c r="J46" s="1">
        <f>SUM(OSRRefE21_5x_5)</f>
        <v>10</v>
      </c>
      <c r="K46" s="1">
        <f>SUM(OSRRefE21_5x_6)</f>
        <v>10</v>
      </c>
      <c r="L46" s="1">
        <f>SUM(OSRRefE21_5x_7)</f>
        <v>10</v>
      </c>
      <c r="M46" s="1">
        <f>SUM(OSRRefE21_5x_8)</f>
        <v>10</v>
      </c>
      <c r="N46" s="1">
        <f>SUM(OSRRefE21_5x_9)</f>
        <v>10</v>
      </c>
      <c r="O46" s="1">
        <f>SUM(OSRRefE21_5x_10)</f>
        <v>10</v>
      </c>
      <c r="Q46" s="2">
        <f>SUM(OSRRefD20_5x)+IFERROR(SUM(OSRRefE20_5x),0)</f>
        <v>110</v>
      </c>
    </row>
    <row r="47" spans="1:17" s="34" customFormat="1" hidden="1" outlineLevel="1" x14ac:dyDescent="0.3">
      <c r="A47" s="35"/>
      <c r="B47" s="10" t="str">
        <f>CONCATENATE("          ","6307", " - ","POSTAGE")</f>
        <v xml:space="preserve">          6307 - POSTAGE</v>
      </c>
      <c r="C47" s="14"/>
      <c r="D47" s="2"/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N47" s="2">
        <v>10</v>
      </c>
      <c r="O47" s="2">
        <v>10</v>
      </c>
      <c r="P47" s="9"/>
      <c r="Q47" s="2">
        <f>SUM(OSRRefD21_5_0x)+IFERROR(SUM(OSRRefE21_5_0x),0)</f>
        <v>110</v>
      </c>
    </row>
    <row r="48" spans="1:17" s="34" customFormat="1" collapsed="1" x14ac:dyDescent="0.3">
      <c r="A48" s="35"/>
      <c r="B48" s="14" t="str">
        <f>CONCATENATE("     ","General                                           ")</f>
        <v xml:space="preserve">     General                                           </v>
      </c>
      <c r="C48" s="14"/>
      <c r="D48" s="1">
        <f>SUM(OSRRefD21_6x_0)</f>
        <v>0</v>
      </c>
      <c r="E48" s="1">
        <f>SUM(OSRRefE21_6x_0)</f>
        <v>50</v>
      </c>
      <c r="F48" s="1">
        <f>SUM(OSRRefE21_6x_1)</f>
        <v>50</v>
      </c>
      <c r="G48" s="1">
        <f>SUM(OSRRefE21_6x_2)</f>
        <v>50</v>
      </c>
      <c r="H48" s="1">
        <f>SUM(OSRRefE21_6x_3)</f>
        <v>50</v>
      </c>
      <c r="I48" s="1">
        <f>SUM(OSRRefE21_6x_4)</f>
        <v>50</v>
      </c>
      <c r="J48" s="1">
        <f>SUM(OSRRefE21_6x_5)</f>
        <v>50</v>
      </c>
      <c r="K48" s="1">
        <f>SUM(OSRRefE21_6x_6)</f>
        <v>50</v>
      </c>
      <c r="L48" s="1">
        <f>SUM(OSRRefE21_6x_7)</f>
        <v>50</v>
      </c>
      <c r="M48" s="1">
        <f>SUM(OSRRefE21_6x_8)</f>
        <v>50</v>
      </c>
      <c r="N48" s="1">
        <f>SUM(OSRRefE21_6x_9)</f>
        <v>50</v>
      </c>
      <c r="O48" s="1">
        <f>SUM(OSRRefE21_6x_10)</f>
        <v>50</v>
      </c>
      <c r="Q48" s="2">
        <f>SUM(OSRRefD20_6x)+IFERROR(SUM(OSRRefE20_6x),0)</f>
        <v>550</v>
      </c>
    </row>
    <row r="49" spans="1:17" s="34" customFormat="1" hidden="1" outlineLevel="1" x14ac:dyDescent="0.3">
      <c r="A49" s="35"/>
      <c r="B49" s="10" t="str">
        <f>CONCATENATE("          ","6279", " - ","GENERAL EXPENSE")</f>
        <v xml:space="preserve">          6279 - GENERAL EXPENSE</v>
      </c>
      <c r="C49" s="14"/>
      <c r="D49" s="2"/>
      <c r="E49" s="2">
        <v>50</v>
      </c>
      <c r="F49" s="2">
        <v>50</v>
      </c>
      <c r="G49" s="2">
        <v>50</v>
      </c>
      <c r="H49" s="2">
        <v>50</v>
      </c>
      <c r="I49" s="2">
        <v>50</v>
      </c>
      <c r="J49" s="2">
        <v>50</v>
      </c>
      <c r="K49" s="2">
        <v>50</v>
      </c>
      <c r="L49" s="2">
        <v>50</v>
      </c>
      <c r="M49" s="2">
        <v>50</v>
      </c>
      <c r="N49" s="2">
        <v>50</v>
      </c>
      <c r="O49" s="2">
        <v>50</v>
      </c>
      <c r="P49" s="9"/>
      <c r="Q49" s="2">
        <f>SUM(OSRRefD21_6_0x)+IFERROR(SUM(OSRRefE21_6_0x),0)</f>
        <v>550</v>
      </c>
    </row>
    <row r="50" spans="1:17" s="34" customFormat="1" collapsed="1" x14ac:dyDescent="0.3">
      <c r="A50" s="35"/>
      <c r="B50" s="14" t="str">
        <f>CONCATENATE("     ","Insurance                                         ")</f>
        <v xml:space="preserve">     Insurance                                         </v>
      </c>
      <c r="C50" s="14"/>
      <c r="D50" s="1">
        <f>SUM(OSRRefD21_7x_0)</f>
        <v>39.43</v>
      </c>
      <c r="E50" s="1">
        <f>SUM(OSRRefE21_7x_0)</f>
        <v>40</v>
      </c>
      <c r="F50" s="1">
        <f>SUM(OSRRefE21_7x_1)</f>
        <v>40</v>
      </c>
      <c r="G50" s="1">
        <f>SUM(OSRRefE21_7x_2)</f>
        <v>40</v>
      </c>
      <c r="H50" s="1">
        <f>SUM(OSRRefE21_7x_3)</f>
        <v>40</v>
      </c>
      <c r="I50" s="1">
        <f>SUM(OSRRefE21_7x_4)</f>
        <v>40</v>
      </c>
      <c r="J50" s="1">
        <f>SUM(OSRRefE21_7x_5)</f>
        <v>40</v>
      </c>
      <c r="K50" s="1">
        <f>SUM(OSRRefE21_7x_6)</f>
        <v>40</v>
      </c>
      <c r="L50" s="1">
        <f>SUM(OSRRefE21_7x_7)</f>
        <v>40</v>
      </c>
      <c r="M50" s="1">
        <f>SUM(OSRRefE21_7x_8)</f>
        <v>40</v>
      </c>
      <c r="N50" s="1">
        <f>SUM(OSRRefE21_7x_9)</f>
        <v>40</v>
      </c>
      <c r="O50" s="1">
        <f>SUM(OSRRefE21_7x_10)</f>
        <v>40</v>
      </c>
      <c r="Q50" s="2">
        <f>SUM(OSRRefD20_7x)+IFERROR(SUM(OSRRefE20_7x),0)</f>
        <v>479.43</v>
      </c>
    </row>
    <row r="51" spans="1:17" s="34" customFormat="1" hidden="1" outlineLevel="1" x14ac:dyDescent="0.3">
      <c r="A51" s="35"/>
      <c r="B51" s="10" t="str">
        <f>CONCATENATE("          ","6314", " - ","LIABILITY INSURANCE")</f>
        <v xml:space="preserve">          6314 - LIABILITY INSURANCE</v>
      </c>
      <c r="C51" s="14"/>
      <c r="D51" s="2">
        <v>39.43</v>
      </c>
      <c r="E51" s="2">
        <v>40</v>
      </c>
      <c r="F51" s="2">
        <v>40</v>
      </c>
      <c r="G51" s="2">
        <v>40</v>
      </c>
      <c r="H51" s="2">
        <v>40</v>
      </c>
      <c r="I51" s="2">
        <v>40</v>
      </c>
      <c r="J51" s="2">
        <v>40</v>
      </c>
      <c r="K51" s="2">
        <v>40</v>
      </c>
      <c r="L51" s="2">
        <v>40</v>
      </c>
      <c r="M51" s="2">
        <v>40</v>
      </c>
      <c r="N51" s="2">
        <v>40</v>
      </c>
      <c r="O51" s="2">
        <v>40</v>
      </c>
      <c r="P51" s="9"/>
      <c r="Q51" s="2">
        <f>SUM(OSRRefD21_7_0x)+IFERROR(SUM(OSRRefE21_7_0x),0)</f>
        <v>479.43</v>
      </c>
    </row>
    <row r="52" spans="1:17" s="34" customFormat="1" collapsed="1" x14ac:dyDescent="0.3">
      <c r="A52" s="35"/>
      <c r="B52" s="14" t="str">
        <f>CONCATENATE("     ","Rent                                              ")</f>
        <v xml:space="preserve">     Rent                                              </v>
      </c>
      <c r="C52" s="14"/>
      <c r="D52" s="1">
        <f>SUM(OSRRefD21_8x_0)</f>
        <v>800</v>
      </c>
      <c r="E52" s="1">
        <f>SUM(OSRRefE21_8x_0)</f>
        <v>800</v>
      </c>
      <c r="F52" s="1">
        <f>SUM(OSRRefE21_8x_1)</f>
        <v>800</v>
      </c>
      <c r="G52" s="1">
        <f>SUM(OSRRefE21_8x_2)</f>
        <v>800</v>
      </c>
      <c r="H52" s="1">
        <f>SUM(OSRRefE21_8x_3)</f>
        <v>800</v>
      </c>
      <c r="I52" s="1">
        <f>SUM(OSRRefE21_8x_4)</f>
        <v>800</v>
      </c>
      <c r="J52" s="1">
        <f>SUM(OSRRefE21_8x_5)</f>
        <v>800</v>
      </c>
      <c r="K52" s="1">
        <f>SUM(OSRRefE21_8x_6)</f>
        <v>800</v>
      </c>
      <c r="L52" s="1">
        <f>SUM(OSRRefE21_8x_7)</f>
        <v>800</v>
      </c>
      <c r="M52" s="1">
        <f>SUM(OSRRefE21_8x_8)</f>
        <v>800</v>
      </c>
      <c r="N52" s="1">
        <f>SUM(OSRRefE21_8x_9)</f>
        <v>800</v>
      </c>
      <c r="O52" s="1">
        <f>SUM(OSRRefE21_8x_10)</f>
        <v>800</v>
      </c>
      <c r="Q52" s="2">
        <f>SUM(OSRRefD20_8x)+IFERROR(SUM(OSRRefE20_8x),0)</f>
        <v>9600</v>
      </c>
    </row>
    <row r="53" spans="1:17" s="34" customFormat="1" hidden="1" outlineLevel="1" x14ac:dyDescent="0.3">
      <c r="A53" s="35"/>
      <c r="B53" s="10" t="str">
        <f>CONCATENATE("          ","6273", " - ","RENT")</f>
        <v xml:space="preserve">          6273 - RENT</v>
      </c>
      <c r="C53" s="14"/>
      <c r="D53" s="2">
        <v>800</v>
      </c>
      <c r="E53" s="2">
        <v>800</v>
      </c>
      <c r="F53" s="2">
        <v>800</v>
      </c>
      <c r="G53" s="2">
        <v>800</v>
      </c>
      <c r="H53" s="2">
        <v>800</v>
      </c>
      <c r="I53" s="2">
        <v>800</v>
      </c>
      <c r="J53" s="2">
        <v>800</v>
      </c>
      <c r="K53" s="2">
        <v>800</v>
      </c>
      <c r="L53" s="2">
        <v>800</v>
      </c>
      <c r="M53" s="2">
        <v>800</v>
      </c>
      <c r="N53" s="2">
        <v>800</v>
      </c>
      <c r="O53" s="2">
        <v>800</v>
      </c>
      <c r="P53" s="9"/>
      <c r="Q53" s="2">
        <f>SUM(OSRRefD21_8_0x)+IFERROR(SUM(OSRRefE21_8_0x),0)</f>
        <v>9600</v>
      </c>
    </row>
    <row r="54" spans="1:17" s="34" customFormat="1" collapsed="1" x14ac:dyDescent="0.3">
      <c r="A54" s="35"/>
      <c r="B54" s="14" t="str">
        <f>CONCATENATE("     ","Repair and Maintenance                            ")</f>
        <v xml:space="preserve">     Repair and Maintenance                            </v>
      </c>
      <c r="C54" s="14"/>
      <c r="D54" s="1">
        <f>SUM(OSRRefD21_9x_0)</f>
        <v>122000.62</v>
      </c>
      <c r="E54" s="1">
        <f>SUM(OSRRefE21_9x_0)</f>
        <v>128200</v>
      </c>
      <c r="F54" s="1">
        <f>SUM(OSRRefE21_9x_1)</f>
        <v>3200</v>
      </c>
      <c r="G54" s="1">
        <f>SUM(OSRRefE21_9x_2)</f>
        <v>3200</v>
      </c>
      <c r="H54" s="1">
        <f>SUM(OSRRefE21_9x_3)</f>
        <v>3200</v>
      </c>
      <c r="I54" s="1">
        <f>SUM(OSRRefE21_9x_4)</f>
        <v>3200</v>
      </c>
      <c r="J54" s="1">
        <f>SUM(OSRRefE21_9x_5)</f>
        <v>3200</v>
      </c>
      <c r="K54" s="1">
        <f>SUM(OSRRefE21_9x_6)</f>
        <v>3200</v>
      </c>
      <c r="L54" s="1">
        <f>SUM(OSRRefE21_9x_7)</f>
        <v>3200</v>
      </c>
      <c r="M54" s="1">
        <f>SUM(OSRRefE21_9x_8)</f>
        <v>3200</v>
      </c>
      <c r="N54" s="1">
        <f>SUM(OSRRefE21_9x_9)</f>
        <v>3200</v>
      </c>
      <c r="O54" s="1">
        <f>SUM(OSRRefE21_9x_10)</f>
        <v>3200</v>
      </c>
      <c r="Q54" s="2">
        <f>SUM(OSRRefD20_9x)+IFERROR(SUM(OSRRefE20_9x),0)</f>
        <v>282200.62</v>
      </c>
    </row>
    <row r="55" spans="1:17" s="34" customFormat="1" hidden="1" outlineLevel="1" x14ac:dyDescent="0.3">
      <c r="A55" s="35"/>
      <c r="B55" s="10" t="str">
        <f>CONCATENATE("          ","6371", " - ","COMPUTER SOFTWARE MAINTENANCE")</f>
        <v xml:space="preserve">          6371 - COMPUTER SOFTWARE MAINTENANCE</v>
      </c>
      <c r="C55" s="14"/>
      <c r="D55" s="2"/>
      <c r="E55" s="2">
        <v>125000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2">
        <f>SUM(OSRRefD21_9_0x)+IFERROR(SUM(OSRRefE21_9_0x),0)</f>
        <v>125000</v>
      </c>
    </row>
    <row r="56" spans="1:17" s="34" customFormat="1" hidden="1" outlineLevel="1" x14ac:dyDescent="0.3">
      <c r="A56" s="35"/>
      <c r="B56" s="10" t="str">
        <f>CONCATENATE("          ","6372", " - ","COMPUTER HARDWARE MAINTENANCE")</f>
        <v xml:space="preserve">          6372 - COMPUTER HARDWARE MAINTENANCE</v>
      </c>
      <c r="C56" s="14"/>
      <c r="D56" s="2"/>
      <c r="E56" s="2">
        <v>3200</v>
      </c>
      <c r="F56" s="2">
        <v>3200</v>
      </c>
      <c r="G56" s="2">
        <v>3200</v>
      </c>
      <c r="H56" s="2">
        <v>3200</v>
      </c>
      <c r="I56" s="2">
        <v>3200</v>
      </c>
      <c r="J56" s="2">
        <v>3200</v>
      </c>
      <c r="K56" s="2">
        <v>3200</v>
      </c>
      <c r="L56" s="2">
        <v>3200</v>
      </c>
      <c r="M56" s="2">
        <v>3200</v>
      </c>
      <c r="N56" s="2">
        <v>3200</v>
      </c>
      <c r="O56" s="2">
        <v>3200</v>
      </c>
      <c r="P56" s="9"/>
      <c r="Q56" s="2">
        <f>SUM(OSRRefD21_9_1x)+IFERROR(SUM(OSRRefE21_9_1x),0)</f>
        <v>35200</v>
      </c>
    </row>
    <row r="57" spans="1:17" s="34" customFormat="1" hidden="1" outlineLevel="1" x14ac:dyDescent="0.3">
      <c r="A57" s="35"/>
      <c r="B57" s="10" t="str">
        <f>CONCATENATE("          ","6373", " - ","MAINTENANCE CONTRACTS")</f>
        <v xml:space="preserve">          6373 - MAINTENANCE CONTRACTS</v>
      </c>
      <c r="C57" s="14"/>
      <c r="D57" s="2">
        <v>122000.62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2">
        <f>SUM(OSRRefD21_9_2x)+IFERROR(SUM(OSRRefE21_9_2x),0)</f>
        <v>122000.62</v>
      </c>
    </row>
    <row r="58" spans="1:17" s="34" customFormat="1" collapsed="1" x14ac:dyDescent="0.3">
      <c r="A58" s="35"/>
      <c r="B58" s="14" t="str">
        <f>CONCATENATE("     ","Subscriptions &amp; Dues                              ")</f>
        <v xml:space="preserve">     Subscriptions &amp; Dues                              </v>
      </c>
      <c r="C58" s="14"/>
      <c r="D58" s="1">
        <f>SUM(OSRRefD21_10x_0)</f>
        <v>0</v>
      </c>
      <c r="E58" s="1">
        <f>SUM(OSRRefE21_10x_0)</f>
        <v>85</v>
      </c>
      <c r="F58" s="1">
        <f>SUM(OSRRefE21_10x_1)</f>
        <v>85</v>
      </c>
      <c r="G58" s="1">
        <f>SUM(OSRRefE21_10x_2)</f>
        <v>85</v>
      </c>
      <c r="H58" s="1">
        <f>SUM(OSRRefE21_10x_3)</f>
        <v>85</v>
      </c>
      <c r="I58" s="1">
        <f>SUM(OSRRefE21_10x_4)</f>
        <v>85</v>
      </c>
      <c r="J58" s="1">
        <f>SUM(OSRRefE21_10x_5)</f>
        <v>85</v>
      </c>
      <c r="K58" s="1">
        <f>SUM(OSRRefE21_10x_6)</f>
        <v>85</v>
      </c>
      <c r="L58" s="1">
        <f>SUM(OSRRefE21_10x_7)</f>
        <v>85</v>
      </c>
      <c r="M58" s="1">
        <f>SUM(OSRRefE21_10x_8)</f>
        <v>85</v>
      </c>
      <c r="N58" s="1">
        <f>SUM(OSRRefE21_10x_9)</f>
        <v>85</v>
      </c>
      <c r="O58" s="1">
        <f>SUM(OSRRefE21_10x_10)</f>
        <v>85</v>
      </c>
      <c r="Q58" s="2">
        <f>SUM(OSRRefD20_10x)+IFERROR(SUM(OSRRefE20_10x),0)</f>
        <v>935</v>
      </c>
    </row>
    <row r="59" spans="1:17" s="34" customFormat="1" hidden="1" outlineLevel="1" x14ac:dyDescent="0.3">
      <c r="A59" s="35"/>
      <c r="B59" s="10" t="str">
        <f>CONCATENATE("          ","6258", " - ","MEMBERSHIP DUES")</f>
        <v xml:space="preserve">          6258 - MEMBERSHIP DUES</v>
      </c>
      <c r="C59" s="14"/>
      <c r="D59" s="2"/>
      <c r="E59" s="2">
        <v>85</v>
      </c>
      <c r="F59" s="2">
        <v>85</v>
      </c>
      <c r="G59" s="2">
        <v>85</v>
      </c>
      <c r="H59" s="2">
        <v>85</v>
      </c>
      <c r="I59" s="2">
        <v>85</v>
      </c>
      <c r="J59" s="2">
        <v>85</v>
      </c>
      <c r="K59" s="2">
        <v>85</v>
      </c>
      <c r="L59" s="2">
        <v>85</v>
      </c>
      <c r="M59" s="2">
        <v>85</v>
      </c>
      <c r="N59" s="2">
        <v>85</v>
      </c>
      <c r="O59" s="2">
        <v>85</v>
      </c>
      <c r="P59" s="9"/>
      <c r="Q59" s="2">
        <f>SUM(OSRRefD21_10_0x)+IFERROR(SUM(OSRRefE21_10_0x),0)</f>
        <v>935</v>
      </c>
    </row>
    <row r="60" spans="1:17" s="34" customFormat="1" collapsed="1" x14ac:dyDescent="0.3">
      <c r="A60" s="35"/>
      <c r="B60" s="14" t="str">
        <f>CONCATENATE("     ","Supplies                                          ")</f>
        <v xml:space="preserve">     Supplies                                          </v>
      </c>
      <c r="C60" s="14"/>
      <c r="D60" s="1">
        <f>SUM(OSRRefD21_11x_0)</f>
        <v>356.71</v>
      </c>
      <c r="E60" s="1">
        <f>SUM(OSRRefE21_11x_0)</f>
        <v>5800</v>
      </c>
      <c r="F60" s="1">
        <f>SUM(OSRRefE21_11x_1)</f>
        <v>5800</v>
      </c>
      <c r="G60" s="1">
        <f>SUM(OSRRefE21_11x_2)</f>
        <v>5800</v>
      </c>
      <c r="H60" s="1">
        <f>SUM(OSRRefE21_11x_3)</f>
        <v>5800</v>
      </c>
      <c r="I60" s="1">
        <f>SUM(OSRRefE21_11x_4)</f>
        <v>5800</v>
      </c>
      <c r="J60" s="1">
        <f>SUM(OSRRefE21_11x_5)</f>
        <v>5800</v>
      </c>
      <c r="K60" s="1">
        <f>SUM(OSRRefE21_11x_6)</f>
        <v>5800</v>
      </c>
      <c r="L60" s="1">
        <f>SUM(OSRRefE21_11x_7)</f>
        <v>5800</v>
      </c>
      <c r="M60" s="1">
        <f>SUM(OSRRefE21_11x_8)</f>
        <v>5800</v>
      </c>
      <c r="N60" s="1">
        <f>SUM(OSRRefE21_11x_9)</f>
        <v>5800</v>
      </c>
      <c r="O60" s="1">
        <f>SUM(OSRRefE21_11x_10)</f>
        <v>5800</v>
      </c>
      <c r="Q60" s="2">
        <f>SUM(OSRRefD20_11x)+IFERROR(SUM(OSRRefE20_11x),0)</f>
        <v>64156.71</v>
      </c>
    </row>
    <row r="61" spans="1:17" s="34" customFormat="1" hidden="1" outlineLevel="1" x14ac:dyDescent="0.3">
      <c r="A61" s="35"/>
      <c r="B61" s="10" t="str">
        <f>CONCATENATE("          ","6234", " - ","EXPENDABLE SUPPLIES &amp; EQUIPMEN")</f>
        <v xml:space="preserve">          6234 - EXPENDABLE SUPPLIES &amp; EQUIPMEN</v>
      </c>
      <c r="C61" s="14"/>
      <c r="D61" s="2"/>
      <c r="E61" s="2">
        <v>5800</v>
      </c>
      <c r="F61" s="2">
        <v>5800</v>
      </c>
      <c r="G61" s="2">
        <v>5800</v>
      </c>
      <c r="H61" s="2">
        <v>5800</v>
      </c>
      <c r="I61" s="2">
        <v>5800</v>
      </c>
      <c r="J61" s="2">
        <v>5800</v>
      </c>
      <c r="K61" s="2">
        <v>5800</v>
      </c>
      <c r="L61" s="2">
        <v>5800</v>
      </c>
      <c r="M61" s="2">
        <v>5800</v>
      </c>
      <c r="N61" s="2">
        <v>5800</v>
      </c>
      <c r="O61" s="2">
        <v>5800</v>
      </c>
      <c r="P61" s="9"/>
      <c r="Q61" s="2">
        <f>SUM(OSRRefD21_11_0x)+IFERROR(SUM(OSRRefE21_11_0x),0)</f>
        <v>63800</v>
      </c>
    </row>
    <row r="62" spans="1:17" s="34" customFormat="1" hidden="1" outlineLevel="1" x14ac:dyDescent="0.3">
      <c r="A62" s="35"/>
      <c r="B62" s="10" t="str">
        <f>CONCATENATE("          ","6241", " - ","OFFICE EXPENSE")</f>
        <v xml:space="preserve">          6241 - OFFICE EXPENSE</v>
      </c>
      <c r="C62" s="14"/>
      <c r="D62" s="2">
        <v>356.71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2">
        <f>SUM(OSRRefD21_11_1x)+IFERROR(SUM(OSRRefE21_11_1x),0)</f>
        <v>356.71</v>
      </c>
    </row>
    <row r="63" spans="1:17" s="34" customFormat="1" collapsed="1" x14ac:dyDescent="0.3">
      <c r="A63" s="35"/>
      <c r="B63" s="14" t="str">
        <f>CONCATENATE("     ","Telephone/Data Lines                              ")</f>
        <v xml:space="preserve">     Telephone/Data Lines                              </v>
      </c>
      <c r="C63" s="14"/>
      <c r="D63" s="1">
        <f>SUM(OSRRefD21_12x_0)</f>
        <v>-250.25</v>
      </c>
      <c r="E63" s="1">
        <f>SUM(OSRRefE21_12x_0)</f>
        <v>350</v>
      </c>
      <c r="F63" s="1">
        <f>SUM(OSRRefE21_12x_1)</f>
        <v>350</v>
      </c>
      <c r="G63" s="1">
        <f>SUM(OSRRefE21_12x_2)</f>
        <v>350</v>
      </c>
      <c r="H63" s="1">
        <f>SUM(OSRRefE21_12x_3)</f>
        <v>350</v>
      </c>
      <c r="I63" s="1">
        <f>SUM(OSRRefE21_12x_4)</f>
        <v>350</v>
      </c>
      <c r="J63" s="1">
        <f>SUM(OSRRefE21_12x_5)</f>
        <v>350</v>
      </c>
      <c r="K63" s="1">
        <f>SUM(OSRRefE21_12x_6)</f>
        <v>350</v>
      </c>
      <c r="L63" s="1">
        <f>SUM(OSRRefE21_12x_7)</f>
        <v>350</v>
      </c>
      <c r="M63" s="1">
        <f>SUM(OSRRefE21_12x_8)</f>
        <v>350</v>
      </c>
      <c r="N63" s="1">
        <f>SUM(OSRRefE21_12x_9)</f>
        <v>350</v>
      </c>
      <c r="O63" s="1">
        <f>SUM(OSRRefE21_12x_10)</f>
        <v>350</v>
      </c>
      <c r="Q63" s="2">
        <f>SUM(OSRRefD20_12x)+IFERROR(SUM(OSRRefE20_12x),0)</f>
        <v>3599.75</v>
      </c>
    </row>
    <row r="64" spans="1:17" s="34" customFormat="1" hidden="1" outlineLevel="1" x14ac:dyDescent="0.3">
      <c r="A64" s="35"/>
      <c r="B64" s="10" t="str">
        <f>CONCATENATE("          ","6309", " - ","TELEPHONE")</f>
        <v xml:space="preserve">          6309 - TELEPHONE</v>
      </c>
      <c r="C64" s="14"/>
      <c r="D64" s="2">
        <v>-250.25</v>
      </c>
      <c r="E64" s="2">
        <v>350</v>
      </c>
      <c r="F64" s="2">
        <v>350</v>
      </c>
      <c r="G64" s="2">
        <v>350</v>
      </c>
      <c r="H64" s="2">
        <v>350</v>
      </c>
      <c r="I64" s="2">
        <v>350</v>
      </c>
      <c r="J64" s="2">
        <v>350</v>
      </c>
      <c r="K64" s="2">
        <v>350</v>
      </c>
      <c r="L64" s="2">
        <v>350</v>
      </c>
      <c r="M64" s="2">
        <v>350</v>
      </c>
      <c r="N64" s="2">
        <v>350</v>
      </c>
      <c r="O64" s="2">
        <v>350</v>
      </c>
      <c r="P64" s="9"/>
      <c r="Q64" s="2">
        <f>SUM(OSRRefD21_12_0x)+IFERROR(SUM(OSRRefE21_12_0x),0)</f>
        <v>3599.75</v>
      </c>
    </row>
    <row r="65" spans="1:17" s="34" customFormat="1" collapsed="1" x14ac:dyDescent="0.3">
      <c r="A65" s="35"/>
      <c r="B65" s="14" t="str">
        <f>CONCATENATE("     ","Training                                          ")</f>
        <v xml:space="preserve">     Training                                          </v>
      </c>
      <c r="C65" s="14"/>
      <c r="D65" s="1">
        <f>SUM(OSRRefD21_13x_0)</f>
        <v>0</v>
      </c>
      <c r="E65" s="1">
        <f>SUM(OSRRefE21_13x_0)</f>
        <v>0</v>
      </c>
      <c r="F65" s="1">
        <f>SUM(OSRRefE21_13x_1)</f>
        <v>0</v>
      </c>
      <c r="G65" s="1">
        <f>SUM(OSRRefE21_13x_2)</f>
        <v>0</v>
      </c>
      <c r="H65" s="1">
        <f>SUM(OSRRefE21_13x_3)</f>
        <v>0</v>
      </c>
      <c r="I65" s="1">
        <f>SUM(OSRRefE21_13x_4)</f>
        <v>0</v>
      </c>
      <c r="J65" s="1">
        <f>SUM(OSRRefE21_13x_5)</f>
        <v>0</v>
      </c>
      <c r="K65" s="1">
        <f>SUM(OSRRefE21_13x_6)</f>
        <v>0</v>
      </c>
      <c r="L65" s="1">
        <f>SUM(OSRRefE21_13x_7)</f>
        <v>3000</v>
      </c>
      <c r="M65" s="1">
        <f>SUM(OSRRefE21_13x_8)</f>
        <v>1500</v>
      </c>
      <c r="N65" s="1">
        <f>SUM(OSRRefE21_13x_9)</f>
        <v>0</v>
      </c>
      <c r="O65" s="1">
        <f>SUM(OSRRefE21_13x_10)</f>
        <v>0</v>
      </c>
      <c r="Q65" s="2">
        <f>SUM(OSRRefD20_13x)+IFERROR(SUM(OSRRefE20_13x),0)</f>
        <v>4500</v>
      </c>
    </row>
    <row r="66" spans="1:17" s="34" customFormat="1" hidden="1" outlineLevel="1" x14ac:dyDescent="0.3">
      <c r="A66" s="35"/>
      <c r="B66" s="10" t="str">
        <f>CONCATENATE("          ","6376", " - ","TRAINING")</f>
        <v xml:space="preserve">          6376 - TRAINING</v>
      </c>
      <c r="C66" s="14"/>
      <c r="D66" s="2"/>
      <c r="E66" s="2"/>
      <c r="F66" s="2"/>
      <c r="G66" s="2"/>
      <c r="H66" s="2"/>
      <c r="I66" s="2"/>
      <c r="J66" s="2"/>
      <c r="K66" s="2"/>
      <c r="L66" s="2">
        <v>3000</v>
      </c>
      <c r="M66" s="2">
        <v>1500</v>
      </c>
      <c r="N66" s="2"/>
      <c r="O66" s="2"/>
      <c r="P66" s="9"/>
      <c r="Q66" s="2">
        <f>SUM(OSRRefD21_13_0x)+IFERROR(SUM(OSRRefE21_13_0x),0)</f>
        <v>4500</v>
      </c>
    </row>
    <row r="67" spans="1:17" s="28" customFormat="1" x14ac:dyDescent="0.3">
      <c r="A67" s="21"/>
      <c r="B67" s="21"/>
      <c r="C67" s="2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</row>
    <row r="68" spans="1:17" s="9" customFormat="1" x14ac:dyDescent="0.3">
      <c r="A68" s="22"/>
      <c r="B68" s="16" t="s">
        <v>293</v>
      </c>
      <c r="C68" s="23"/>
      <c r="D68" s="3">
        <f>--108.16</f>
        <v>108.16</v>
      </c>
      <c r="E68" s="3">
        <v>2400</v>
      </c>
      <c r="F68" s="3">
        <v>2400</v>
      </c>
      <c r="G68" s="3">
        <v>2400</v>
      </c>
      <c r="H68" s="3">
        <v>2400</v>
      </c>
      <c r="I68" s="3">
        <v>2400</v>
      </c>
      <c r="J68" s="3">
        <v>2400</v>
      </c>
      <c r="K68" s="3">
        <v>2400</v>
      </c>
      <c r="L68" s="3">
        <v>2400</v>
      </c>
      <c r="M68" s="3">
        <v>2400</v>
      </c>
      <c r="N68" s="3">
        <v>2400</v>
      </c>
      <c r="O68" s="3">
        <v>2400</v>
      </c>
      <c r="Q68" s="2">
        <f>SUM(OSRRefD23_0x)+IFERROR(SUM(OSRRefE23_0x),0)</f>
        <v>26508.16</v>
      </c>
    </row>
    <row r="69" spans="1:17" x14ac:dyDescent="0.3">
      <c r="A69" s="5"/>
      <c r="B69" s="6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</row>
    <row r="70" spans="1:17" s="15" customFormat="1" x14ac:dyDescent="0.3">
      <c r="A70" s="6"/>
      <c r="B70" s="17" t="s">
        <v>276</v>
      </c>
      <c r="C70" s="17"/>
      <c r="D70" s="8">
        <f t="shared" ref="D70:O70" si="3">IFERROR(+D15-D18+D68, 0)</f>
        <v>0.14000000001047397</v>
      </c>
      <c r="E70" s="8">
        <f t="shared" si="3"/>
        <v>18247.083795822313</v>
      </c>
      <c r="F70" s="8">
        <f t="shared" si="3"/>
        <v>3710.9384708223079</v>
      </c>
      <c r="G70" s="8">
        <f t="shared" si="3"/>
        <v>4239.2625885278831</v>
      </c>
      <c r="H70" s="8">
        <f t="shared" si="3"/>
        <v>3431.5564708223101</v>
      </c>
      <c r="I70" s="8">
        <f t="shared" si="3"/>
        <v>3489.6604708223167</v>
      </c>
      <c r="J70" s="8">
        <f t="shared" si="3"/>
        <v>4239.065598527879</v>
      </c>
      <c r="K70" s="8">
        <f t="shared" si="3"/>
        <v>3660.9013458223126</v>
      </c>
      <c r="L70" s="8">
        <f t="shared" si="3"/>
        <v>4001.9013458223126</v>
      </c>
      <c r="M70" s="8">
        <f t="shared" si="3"/>
        <v>4337.5972385278801</v>
      </c>
      <c r="N70" s="8">
        <f t="shared" si="3"/>
        <v>3514.6434708223096</v>
      </c>
      <c r="O70" s="8">
        <f t="shared" si="3"/>
        <v>10348.623430822314</v>
      </c>
      <c r="Q70" s="8">
        <f>IFERROR(+Q15-Q18+Q68, 0)</f>
        <v>63221.374227162072</v>
      </c>
    </row>
    <row r="71" spans="1:17" s="6" customFormat="1" x14ac:dyDescent="0.3">
      <c r="B71" s="16"/>
      <c r="C71" s="16"/>
      <c r="D71" s="4">
        <f t="shared" ref="D71:O71" si="4">IFERROR(D70/D10, 0)</f>
        <v>9.6117538025110001E-7</v>
      </c>
      <c r="E71" s="4">
        <f t="shared" si="4"/>
        <v>0.10220394651959444</v>
      </c>
      <c r="F71" s="4">
        <f t="shared" si="4"/>
        <v>0.10220155524159481</v>
      </c>
      <c r="G71" s="4">
        <f t="shared" si="4"/>
        <v>0.10220262273747879</v>
      </c>
      <c r="H71" s="4">
        <f t="shared" si="4"/>
        <v>0.10219352782460199</v>
      </c>
      <c r="I71" s="4">
        <f t="shared" si="4"/>
        <v>0.10221618250797647</v>
      </c>
      <c r="J71" s="4">
        <f t="shared" si="4"/>
        <v>0.10220772992231172</v>
      </c>
      <c r="K71" s="4">
        <f t="shared" si="4"/>
        <v>0.10221413183555708</v>
      </c>
      <c r="L71" s="4">
        <f t="shared" si="4"/>
        <v>0.10220142875660322</v>
      </c>
      <c r="M71" s="4">
        <f t="shared" si="4"/>
        <v>0.1021957694498134</v>
      </c>
      <c r="N71" s="4">
        <f t="shared" si="4"/>
        <v>0.10221443858724182</v>
      </c>
      <c r="O71" s="4">
        <f t="shared" si="4"/>
        <v>0.26025106706624873</v>
      </c>
      <c r="P71" s="18"/>
      <c r="Q71" s="4">
        <f>IFERROR(Q70/Q10, 0)</f>
        <v>8.9964103690073238E-2</v>
      </c>
    </row>
    <row r="72" spans="1:17" x14ac:dyDescent="0.3">
      <c r="A72" s="5"/>
      <c r="B72" s="6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x14ac:dyDescent="0.3">
      <c r="A73" s="25"/>
      <c r="B73" s="6" t="s">
        <v>125</v>
      </c>
      <c r="C73" s="6"/>
      <c r="D73" s="3">
        <v>67292.009999999995</v>
      </c>
      <c r="E73" s="3">
        <v>9497</v>
      </c>
      <c r="F73" s="3">
        <v>3191</v>
      </c>
      <c r="G73" s="3">
        <v>6415</v>
      </c>
      <c r="H73" s="3">
        <v>7187</v>
      </c>
      <c r="I73" s="3">
        <v>5900</v>
      </c>
      <c r="J73" s="3">
        <v>3669</v>
      </c>
      <c r="K73" s="3">
        <v>3136</v>
      </c>
      <c r="L73" s="3">
        <v>4562</v>
      </c>
      <c r="M73" s="3">
        <v>5816</v>
      </c>
      <c r="N73" s="3">
        <v>4760</v>
      </c>
      <c r="O73" s="3">
        <v>-1401</v>
      </c>
      <c r="Q73" s="2">
        <f>SUM(OSRRefD28_0x)+IFERROR(SUM(OSRRefE28_0x),0)</f>
        <v>120024.01</v>
      </c>
    </row>
    <row r="74" spans="1:17" x14ac:dyDescent="0.3">
      <c r="A74" s="5"/>
      <c r="B74" s="6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</row>
    <row r="75" spans="1:17" s="15" customFormat="1" ht="15" thickBot="1" x14ac:dyDescent="0.35">
      <c r="A75" s="6"/>
      <c r="B75" s="17" t="s">
        <v>124</v>
      </c>
      <c r="C75" s="17"/>
      <c r="D75" s="7">
        <f t="shared" ref="D75:O75" si="5">IFERROR(+D70-D73, 0)</f>
        <v>-67291.869999999981</v>
      </c>
      <c r="E75" s="7">
        <f t="shared" si="5"/>
        <v>8750.0837958223128</v>
      </c>
      <c r="F75" s="7">
        <f t="shared" si="5"/>
        <v>519.93847082230786</v>
      </c>
      <c r="G75" s="7">
        <f t="shared" si="5"/>
        <v>-2175.7374114721169</v>
      </c>
      <c r="H75" s="7">
        <f t="shared" si="5"/>
        <v>-3755.4435291776899</v>
      </c>
      <c r="I75" s="7">
        <f t="shared" si="5"/>
        <v>-2410.3395291776833</v>
      </c>
      <c r="J75" s="7">
        <f t="shared" si="5"/>
        <v>570.06559852787905</v>
      </c>
      <c r="K75" s="7">
        <f t="shared" si="5"/>
        <v>524.90134582231258</v>
      </c>
      <c r="L75" s="7">
        <f t="shared" si="5"/>
        <v>-560.09865417768742</v>
      </c>
      <c r="M75" s="7">
        <f t="shared" si="5"/>
        <v>-1478.4027614721199</v>
      </c>
      <c r="N75" s="7">
        <f t="shared" si="5"/>
        <v>-1245.3565291776904</v>
      </c>
      <c r="O75" s="7">
        <f t="shared" si="5"/>
        <v>11749.623430822314</v>
      </c>
      <c r="Q75" s="7">
        <f>IFERROR(+Q70-Q73, 0)</f>
        <v>-56802.635772837923</v>
      </c>
    </row>
    <row r="76" spans="1:17" ht="15" thickTop="1" x14ac:dyDescent="0.3">
      <c r="A76" s="5"/>
      <c r="B76" s="5"/>
      <c r="C76" s="5"/>
      <c r="D76" s="4">
        <f t="shared" ref="D76:O76" si="6">IFERROR(D75/D10, 0)</f>
        <v>-0.4619949195015618</v>
      </c>
      <c r="E76" s="4">
        <f t="shared" si="6"/>
        <v>4.9010192878872122E-2</v>
      </c>
      <c r="F76" s="4">
        <f t="shared" si="6"/>
        <v>1.4319429105544144E-2</v>
      </c>
      <c r="G76" s="4">
        <f t="shared" si="6"/>
        <v>-5.2453950468239759E-2</v>
      </c>
      <c r="H76" s="4">
        <f t="shared" si="6"/>
        <v>-0.11183905206163644</v>
      </c>
      <c r="I76" s="4">
        <f t="shared" si="6"/>
        <v>-7.0601626513698987E-2</v>
      </c>
      <c r="J76" s="4">
        <f t="shared" si="6"/>
        <v>1.3744800446724027E-2</v>
      </c>
      <c r="K76" s="4">
        <f t="shared" si="6"/>
        <v>1.4655498822378618E-2</v>
      </c>
      <c r="L76" s="4">
        <f t="shared" si="6"/>
        <v>-1.4303921500055862E-2</v>
      </c>
      <c r="M76" s="4">
        <f t="shared" si="6"/>
        <v>-3.4831843404771461E-2</v>
      </c>
      <c r="N76" s="4">
        <f t="shared" si="6"/>
        <v>-3.6218017425554465E-2</v>
      </c>
      <c r="O76" s="4">
        <f t="shared" si="6"/>
        <v>0.29548394102259112</v>
      </c>
      <c r="P76" s="18"/>
      <c r="Q76" s="4">
        <f>IFERROR(Q75/Q10, 0)</f>
        <v>-8.0830229918373686E-2</v>
      </c>
    </row>
    <row r="77" spans="1:17" x14ac:dyDescent="0.3">
      <c r="A77" s="5"/>
      <c r="B77" s="5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</row>
    <row r="78" spans="1:17" x14ac:dyDescent="0.3">
      <c r="A78" s="5"/>
      <c r="B78" s="5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</row>
    <row r="79" spans="1:17" s="15" customFormat="1" ht="15" thickBot="1" x14ac:dyDescent="0.35">
      <c r="A79" s="6"/>
      <c r="B79" s="17" t="s">
        <v>294</v>
      </c>
      <c r="C79" s="17"/>
      <c r="D79" s="7">
        <f t="shared" ref="D79:O79" si="7">IFERROR(SUM(D75:D78), 0)</f>
        <v>-67292.331994919485</v>
      </c>
      <c r="E79" s="7">
        <f t="shared" si="7"/>
        <v>8750.1328060151918</v>
      </c>
      <c r="F79" s="7">
        <f t="shared" si="7"/>
        <v>519.95279025141338</v>
      </c>
      <c r="G79" s="7">
        <f t="shared" si="7"/>
        <v>-2175.7898654225851</v>
      </c>
      <c r="H79" s="7">
        <f t="shared" si="7"/>
        <v>-3755.5553682297514</v>
      </c>
      <c r="I79" s="7">
        <f t="shared" si="7"/>
        <v>-2410.4101308041968</v>
      </c>
      <c r="J79" s="7">
        <f t="shared" si="7"/>
        <v>570.07934332832576</v>
      </c>
      <c r="K79" s="7">
        <f t="shared" si="7"/>
        <v>524.91600132113501</v>
      </c>
      <c r="L79" s="7">
        <f t="shared" si="7"/>
        <v>-560.11295809918749</v>
      </c>
      <c r="M79" s="7">
        <f t="shared" si="7"/>
        <v>-1478.4375933155247</v>
      </c>
      <c r="N79" s="7">
        <f t="shared" si="7"/>
        <v>-1245.392747195116</v>
      </c>
      <c r="O79" s="7">
        <f t="shared" si="7"/>
        <v>11749.918914763337</v>
      </c>
      <c r="Q79" s="7">
        <f>IFERROR(SUM(Q75:Q78), 0)</f>
        <v>-56802.716603067842</v>
      </c>
    </row>
    <row r="80" spans="1:17" ht="15" thickTop="1" x14ac:dyDescent="0.3">
      <c r="A80" s="5"/>
      <c r="C80" s="5"/>
      <c r="D80" s="4">
        <f t="shared" ref="D80:O80" si="8">IFERROR(D79/D10, 0)</f>
        <v>-0.46199809134543601</v>
      </c>
      <c r="E80" s="4">
        <f t="shared" si="8"/>
        <v>4.9010467390415334E-2</v>
      </c>
      <c r="F80" s="4">
        <f t="shared" si="8"/>
        <v>1.4319823471534382E-2</v>
      </c>
      <c r="G80" s="4">
        <f t="shared" si="8"/>
        <v>-5.2455215058766727E-2</v>
      </c>
      <c r="H80" s="4">
        <f t="shared" si="8"/>
        <v>-0.11184238268649309</v>
      </c>
      <c r="I80" s="4">
        <f t="shared" si="8"/>
        <v>-7.0603694516818888E-2</v>
      </c>
      <c r="J80" s="4">
        <f t="shared" si="8"/>
        <v>1.3745131846373135E-2</v>
      </c>
      <c r="K80" s="4">
        <f t="shared" si="8"/>
        <v>1.4655908010976519E-2</v>
      </c>
      <c r="L80" s="4">
        <f t="shared" si="8"/>
        <v>-1.4304286796720573E-2</v>
      </c>
      <c r="M80" s="4">
        <f t="shared" si="8"/>
        <v>-3.4832664058889941E-2</v>
      </c>
      <c r="N80" s="4">
        <f t="shared" si="8"/>
        <v>-3.6219070734189791E-2</v>
      </c>
      <c r="O80" s="4">
        <f t="shared" si="8"/>
        <v>0.29549137196366909</v>
      </c>
      <c r="P80" s="18"/>
      <c r="Q80" s="4">
        <f>IFERROR(Q79/Q10, 0)</f>
        <v>-8.0830344939903584E-2</v>
      </c>
    </row>
    <row r="81" spans="1:17" x14ac:dyDescent="0.3">
      <c r="A81" s="5"/>
      <c r="B81" s="30">
        <v>44462.678401886573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1"/>
    </row>
    <row r="82" spans="1:17" x14ac:dyDescent="0.3">
      <c r="A82" s="5"/>
      <c r="B82" s="31" t="s">
        <v>54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1"/>
    </row>
    <row r="83" spans="1:17" x14ac:dyDescent="0.3">
      <c r="A83" s="5"/>
      <c r="B83" s="2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Q83" s="11"/>
    </row>
    <row r="84" spans="1:17" x14ac:dyDescent="0.3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Q84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92D050"/>
    <outlinePr summaryBelow="0" summaryRight="0"/>
    <pageSetUpPr fitToPage="1"/>
  </sheetPr>
  <dimension ref="A2:R84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15" width="15" customWidth="1"/>
    <col min="16" max="16" width="1.88671875" customWidth="1"/>
    <col min="17" max="17" width="15" customWidth="1"/>
  </cols>
  <sheetData>
    <row r="2" spans="1:18" x14ac:dyDescent="0.3">
      <c r="B2" s="27" t="s">
        <v>23</v>
      </c>
    </row>
    <row r="3" spans="1:18" x14ac:dyDescent="0.3">
      <c r="B3" s="27" t="s">
        <v>122</v>
      </c>
    </row>
    <row r="4" spans="1:18" x14ac:dyDescent="0.3">
      <c r="B4" s="33" t="s">
        <v>158</v>
      </c>
    </row>
    <row r="5" spans="1:18" x14ac:dyDescent="0.3">
      <c r="A5" s="15"/>
      <c r="B5" s="15" t="str">
        <f>CONCATENATE("Department ","501", " - ", "ID Card Services")</f>
        <v>Department 501 - ID Card Services</v>
      </c>
    </row>
    <row r="6" spans="1:18" x14ac:dyDescent="0.3">
      <c r="B6" s="5"/>
      <c r="C6" s="5"/>
    </row>
    <row r="7" spans="1:18" x14ac:dyDescent="0.3">
      <c r="B7" s="5"/>
      <c r="C7" s="5"/>
      <c r="D7" s="12" t="s">
        <v>77</v>
      </c>
      <c r="E7" s="12" t="s">
        <v>257</v>
      </c>
      <c r="F7" s="12" t="s">
        <v>257</v>
      </c>
      <c r="G7" s="12" t="s">
        <v>257</v>
      </c>
      <c r="H7" s="12" t="s">
        <v>257</v>
      </c>
      <c r="I7" s="12" t="s">
        <v>257</v>
      </c>
      <c r="J7" s="12" t="s">
        <v>257</v>
      </c>
      <c r="K7" s="12" t="s">
        <v>257</v>
      </c>
      <c r="L7" s="12" t="s">
        <v>257</v>
      </c>
      <c r="M7" s="12" t="s">
        <v>257</v>
      </c>
      <c r="N7" s="12" t="s">
        <v>257</v>
      </c>
      <c r="O7" s="12" t="s">
        <v>257</v>
      </c>
    </row>
    <row r="8" spans="1:18" x14ac:dyDescent="0.3">
      <c r="A8" s="6"/>
      <c r="B8" s="32"/>
      <c r="C8" s="6"/>
      <c r="D8" s="12" t="str">
        <f>CONCATENATE("Period ", 1)</f>
        <v>Period 1</v>
      </c>
      <c r="E8" s="12" t="str">
        <f>CONCATENATE("Period ", 2)</f>
        <v>Period 2</v>
      </c>
      <c r="F8" s="12" t="str">
        <f>CONCATENATE("Period ", 3)</f>
        <v>Period 3</v>
      </c>
      <c r="G8" s="12" t="str">
        <f>CONCATENATE("Period ", 4)</f>
        <v>Period 4</v>
      </c>
      <c r="H8" s="12" t="str">
        <f>CONCATENATE("Period ", 5)</f>
        <v>Period 5</v>
      </c>
      <c r="I8" s="12" t="str">
        <f>CONCATENATE("Period ", 6)</f>
        <v>Period 6</v>
      </c>
      <c r="J8" s="12" t="str">
        <f>CONCATENATE("Period ", 7)</f>
        <v>Period 7</v>
      </c>
      <c r="K8" s="12" t="str">
        <f>CONCATENATE("Period ", 8)</f>
        <v>Period 8</v>
      </c>
      <c r="L8" s="12" t="str">
        <f>CONCATENATE("Period ", 9)</f>
        <v>Period 9</v>
      </c>
      <c r="M8" s="12" t="str">
        <f>CONCATENATE("Period ", 10)</f>
        <v>Period 10</v>
      </c>
      <c r="N8" s="12" t="str">
        <f>CONCATENATE("Period ", 11)</f>
        <v>Period 11</v>
      </c>
      <c r="O8" s="12" t="str">
        <f>CONCATENATE("Period ", 12)</f>
        <v>Period 12</v>
      </c>
      <c r="Q8" s="12" t="s">
        <v>197</v>
      </c>
    </row>
    <row r="9" spans="1:18" ht="15.6" x14ac:dyDescent="0.3">
      <c r="A9" s="5"/>
      <c r="B9" s="2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</row>
    <row r="10" spans="1:18" collapsed="1" x14ac:dyDescent="0.3">
      <c r="A10" s="5"/>
      <c r="B10" s="16" t="s">
        <v>291</v>
      </c>
      <c r="C10" s="5"/>
      <c r="D10" s="3">
        <f>SUM(OSRRefD11x_0)</f>
        <v>145655</v>
      </c>
      <c r="E10" s="3">
        <f>SUM(OSRRefE11x_0)</f>
        <v>178536</v>
      </c>
      <c r="F10" s="3">
        <f>SUM(OSRRefE11x_1)</f>
        <v>36310</v>
      </c>
      <c r="G10" s="3">
        <f>SUM(OSRRefE11x_2)</f>
        <v>41479</v>
      </c>
      <c r="H10" s="3">
        <f>SUM(OSRRefE11x_3)</f>
        <v>33579</v>
      </c>
      <c r="I10" s="3">
        <f>SUM(OSRRefE11x_4)</f>
        <v>34140</v>
      </c>
      <c r="J10" s="3">
        <f>SUM(OSRRefE11x_5)</f>
        <v>41475</v>
      </c>
      <c r="K10" s="3">
        <f>SUM(OSRRefE11x_6)</f>
        <v>35816</v>
      </c>
      <c r="L10" s="3">
        <f>SUM(OSRRefE11x_7)</f>
        <v>39157</v>
      </c>
      <c r="M10" s="3">
        <f>SUM(OSRRefE11x_8)</f>
        <v>42444</v>
      </c>
      <c r="N10" s="3">
        <f>SUM(OSRRefE11x_9)</f>
        <v>34385</v>
      </c>
      <c r="O10" s="3">
        <f>SUM(OSRRefE11x_10)</f>
        <v>39764</v>
      </c>
      <c r="P10" s="24"/>
      <c r="Q10" s="3">
        <f>SUM(OSRRefG11x)</f>
        <v>702740</v>
      </c>
      <c r="R10" s="24"/>
    </row>
    <row r="11" spans="1:18" s="9" customFormat="1" hidden="1" outlineLevel="1" x14ac:dyDescent="0.3">
      <c r="A11" s="22"/>
      <c r="B11" s="10" t="str">
        <f>CONCATENATE("          ","4100", " - ","NON-TAXABLE SALES")</f>
        <v xml:space="preserve">          4100 - NON-TAXABLE SALES</v>
      </c>
      <c r="C11" s="23"/>
      <c r="D11" s="2">
        <f>--145655</f>
        <v>145655</v>
      </c>
      <c r="E11" s="2">
        <v>178536</v>
      </c>
      <c r="F11" s="2">
        <v>36310</v>
      </c>
      <c r="G11" s="2">
        <v>41479</v>
      </c>
      <c r="H11" s="2">
        <v>33579</v>
      </c>
      <c r="I11" s="2">
        <v>34140</v>
      </c>
      <c r="J11" s="2">
        <v>41475</v>
      </c>
      <c r="K11" s="2">
        <v>35816</v>
      </c>
      <c r="L11" s="2">
        <v>39157</v>
      </c>
      <c r="M11" s="2">
        <v>42444</v>
      </c>
      <c r="N11" s="2">
        <v>34385</v>
      </c>
      <c r="O11" s="2">
        <v>39764</v>
      </c>
      <c r="Q11" s="2">
        <f>SUM(OSRRefD11_0x)+IFERROR(SUM(OSRRefE11_0x),0)</f>
        <v>702740</v>
      </c>
    </row>
    <row r="12" spans="1:18" x14ac:dyDescent="0.3">
      <c r="A12" s="5"/>
      <c r="B12" s="6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</row>
    <row r="13" spans="1:18" s="9" customFormat="1" x14ac:dyDescent="0.3">
      <c r="A13" s="22"/>
      <c r="B13" s="16" t="s">
        <v>218</v>
      </c>
      <c r="C13" s="23"/>
      <c r="D13" s="3">
        <f t="shared" ref="D13:O13" si="0">SUM(0)</f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Q13" s="3">
        <f>SUM(0)</f>
        <v>0</v>
      </c>
    </row>
    <row r="14" spans="1:18" x14ac:dyDescent="0.3">
      <c r="A14" s="5"/>
      <c r="B14" s="6"/>
      <c r="C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Q14" s="3"/>
    </row>
    <row r="15" spans="1:18" s="15" customFormat="1" x14ac:dyDescent="0.3">
      <c r="A15" s="6"/>
      <c r="B15" s="17" t="s">
        <v>105</v>
      </c>
      <c r="C15" s="17"/>
      <c r="D15" s="8">
        <f t="shared" ref="D15:O15" si="1">IFERROR(+D10-D13, 0)</f>
        <v>145655</v>
      </c>
      <c r="E15" s="8">
        <f t="shared" si="1"/>
        <v>178536</v>
      </c>
      <c r="F15" s="8">
        <f t="shared" si="1"/>
        <v>36310</v>
      </c>
      <c r="G15" s="8">
        <f t="shared" si="1"/>
        <v>41479</v>
      </c>
      <c r="H15" s="8">
        <f t="shared" si="1"/>
        <v>33579</v>
      </c>
      <c r="I15" s="8">
        <f t="shared" si="1"/>
        <v>34140</v>
      </c>
      <c r="J15" s="8">
        <f t="shared" si="1"/>
        <v>41475</v>
      </c>
      <c r="K15" s="8">
        <f t="shared" si="1"/>
        <v>35816</v>
      </c>
      <c r="L15" s="8">
        <f t="shared" si="1"/>
        <v>39157</v>
      </c>
      <c r="M15" s="8">
        <f t="shared" si="1"/>
        <v>42444</v>
      </c>
      <c r="N15" s="8">
        <f t="shared" si="1"/>
        <v>34385</v>
      </c>
      <c r="O15" s="8">
        <f t="shared" si="1"/>
        <v>39764</v>
      </c>
      <c r="Q15" s="8">
        <f>IFERROR(+Q10-Q13, 0)</f>
        <v>702740</v>
      </c>
    </row>
    <row r="16" spans="1:18" s="6" customFormat="1" x14ac:dyDescent="0.3">
      <c r="B16" s="16"/>
      <c r="C16" s="16"/>
      <c r="D16" s="4">
        <f t="shared" ref="D16:O16" si="2">IFERROR(D15/D10, 0)</f>
        <v>1</v>
      </c>
      <c r="E16" s="4">
        <f t="shared" si="2"/>
        <v>1</v>
      </c>
      <c r="F16" s="4">
        <f t="shared" si="2"/>
        <v>1</v>
      </c>
      <c r="G16" s="4">
        <f t="shared" si="2"/>
        <v>1</v>
      </c>
      <c r="H16" s="4">
        <f t="shared" si="2"/>
        <v>1</v>
      </c>
      <c r="I16" s="4">
        <f t="shared" si="2"/>
        <v>1</v>
      </c>
      <c r="J16" s="4">
        <f t="shared" si="2"/>
        <v>1</v>
      </c>
      <c r="K16" s="4">
        <f t="shared" si="2"/>
        <v>1</v>
      </c>
      <c r="L16" s="4">
        <f t="shared" si="2"/>
        <v>1</v>
      </c>
      <c r="M16" s="4">
        <f t="shared" si="2"/>
        <v>1</v>
      </c>
      <c r="N16" s="4">
        <f t="shared" si="2"/>
        <v>1</v>
      </c>
      <c r="O16" s="4">
        <f t="shared" si="2"/>
        <v>1</v>
      </c>
      <c r="P16" s="18"/>
      <c r="Q16" s="4">
        <f>IFERROR(Q15/Q10, 0)</f>
        <v>1</v>
      </c>
    </row>
    <row r="17" spans="1:17" x14ac:dyDescent="0.3">
      <c r="A17" s="5"/>
      <c r="B17" s="6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Q17" s="1"/>
    </row>
    <row r="18" spans="1:17" s="15" customFormat="1" x14ac:dyDescent="0.3">
      <c r="A18" s="6"/>
      <c r="B18" s="16" t="s">
        <v>255</v>
      </c>
      <c r="C18" s="6"/>
      <c r="D18" s="13">
        <f>SUM(OSRRefD20x_0)</f>
        <v>145763.01999999999</v>
      </c>
      <c r="E18" s="13">
        <f>SUM(OSRRefE20x_0)</f>
        <v>162688.91620417769</v>
      </c>
      <c r="F18" s="13">
        <f>SUM(OSRRefE20x_1)</f>
        <v>34999.061529177692</v>
      </c>
      <c r="G18" s="13">
        <f>SUM(OSRRefE20x_2)</f>
        <v>39639.737411472117</v>
      </c>
      <c r="H18" s="13">
        <f>SUM(OSRRefE20x_3)</f>
        <v>32547.44352917769</v>
      </c>
      <c r="I18" s="13">
        <f>SUM(OSRRefE20x_4)</f>
        <v>33050.339529177683</v>
      </c>
      <c r="J18" s="13">
        <f>SUM(OSRRefE20x_5)</f>
        <v>39635.934401472121</v>
      </c>
      <c r="K18" s="13">
        <f>SUM(OSRRefE20x_6)</f>
        <v>34555.098654177687</v>
      </c>
      <c r="L18" s="13">
        <f>SUM(OSRRefE20x_7)</f>
        <v>37555.098654177687</v>
      </c>
      <c r="M18" s="13">
        <f>SUM(OSRRefE20x_8)</f>
        <v>40506.40276147212</v>
      </c>
      <c r="N18" s="13">
        <f>SUM(OSRRefE20x_9)</f>
        <v>33270.35652917769</v>
      </c>
      <c r="O18" s="13">
        <f>SUM(OSRRefE20x_10)</f>
        <v>31815.376569177686</v>
      </c>
      <c r="Q18" s="13">
        <f>SUM(OSRRefG20x)</f>
        <v>666026.78577283793</v>
      </c>
    </row>
    <row r="19" spans="1:17" s="34" customFormat="1" collapsed="1" x14ac:dyDescent="0.3">
      <c r="A19" s="35"/>
      <c r="B19" s="14" t="str">
        <f>CONCATENATE("     ","*Benefits                                         ")</f>
        <v xml:space="preserve">     *Benefits                                         </v>
      </c>
      <c r="C19" s="14"/>
      <c r="D19" s="1">
        <f>SUM(OSRRefD21_0x_0)</f>
        <v>3801.83</v>
      </c>
      <c r="E19" s="1">
        <f>SUM(OSRRefE21_0x_0)</f>
        <v>4450.3779618699982</v>
      </c>
      <c r="F19" s="1">
        <f>SUM(OSRRefE21_0x_1)</f>
        <v>3373.0232868699995</v>
      </c>
      <c r="G19" s="1">
        <f>SUM(OSRRefE21_0x_2)</f>
        <v>3918.4396085875023</v>
      </c>
      <c r="H19" s="1">
        <f>SUM(OSRRefE21_0x_3)</f>
        <v>3261.4052868700001</v>
      </c>
      <c r="I19" s="1">
        <f>SUM(OSRRefE21_0x_4)</f>
        <v>3284.3012868699998</v>
      </c>
      <c r="J19" s="1">
        <f>SUM(OSRRefE21_0x_5)</f>
        <v>3880.1365985875027</v>
      </c>
      <c r="K19" s="1">
        <f>SUM(OSRRefE21_0x_6)</f>
        <v>3352.8104118699998</v>
      </c>
      <c r="L19" s="1">
        <f>SUM(OSRRefE21_0x_7)</f>
        <v>3352.8104118699998</v>
      </c>
      <c r="M19" s="1">
        <f>SUM(OSRRefE21_0x_8)</f>
        <v>3889.6049585875021</v>
      </c>
      <c r="N19" s="1">
        <f>SUM(OSRRefE21_0x_9)</f>
        <v>3294.3182868699996</v>
      </c>
      <c r="O19" s="1">
        <f>SUM(OSRRefE21_0x_10)</f>
        <v>3801.3383268699977</v>
      </c>
      <c r="Q19" s="2">
        <f>SUM(OSRRefD20_0x)+IFERROR(SUM(OSRRefE20_0x),0)</f>
        <v>43660.396425722502</v>
      </c>
    </row>
    <row r="20" spans="1:17" s="34" customFormat="1" hidden="1" outlineLevel="1" x14ac:dyDescent="0.3">
      <c r="A20" s="35"/>
      <c r="B20" s="10" t="str">
        <f>CONCATENATE("          ","6111", " - ","F.I.C.A.")</f>
        <v xml:space="preserve">          6111 - F.I.C.A.</v>
      </c>
      <c r="C20" s="14"/>
      <c r="D20" s="2">
        <v>1188.3599999999999</v>
      </c>
      <c r="E20" s="2">
        <v>1673.63160887769</v>
      </c>
      <c r="F20" s="2">
        <v>673.19318387769204</v>
      </c>
      <c r="G20" s="2">
        <v>841.49147984711601</v>
      </c>
      <c r="H20" s="2">
        <v>673.19318387769204</v>
      </c>
      <c r="I20" s="2">
        <v>673.19318387769204</v>
      </c>
      <c r="J20" s="2">
        <v>801.54281984711599</v>
      </c>
      <c r="K20" s="2">
        <v>673.19318387769204</v>
      </c>
      <c r="L20" s="2">
        <v>673.19318387769204</v>
      </c>
      <c r="M20" s="2">
        <v>841.49147984711601</v>
      </c>
      <c r="N20" s="2">
        <v>673.19318387769204</v>
      </c>
      <c r="O20" s="2">
        <v>1273.80062387769</v>
      </c>
      <c r="P20" s="9"/>
      <c r="Q20" s="2">
        <f>SUM(OSRRefD21_0_0x)+IFERROR(SUM(OSRRefE21_0_0x),0)</f>
        <v>10659.477115562882</v>
      </c>
    </row>
    <row r="21" spans="1:17" s="34" customFormat="1" hidden="1" outlineLevel="1" x14ac:dyDescent="0.3">
      <c r="A21" s="35"/>
      <c r="B21" s="10" t="str">
        <f>CONCATENATE("          ","6112", " - ","COMPENSATION INSURANCE")</f>
        <v xml:space="preserve">          6112 - COMPENSATION INSURANCE</v>
      </c>
      <c r="C21" s="14"/>
      <c r="D21" s="2">
        <v>157.99</v>
      </c>
      <c r="E21" s="2">
        <v>341.15579639999999</v>
      </c>
      <c r="F21" s="2">
        <v>316.00079640000001</v>
      </c>
      <c r="G21" s="2">
        <v>381.1949955</v>
      </c>
      <c r="H21" s="2">
        <v>279.49679639999999</v>
      </c>
      <c r="I21" s="2">
        <v>286.98479639999999</v>
      </c>
      <c r="J21" s="2">
        <v>381.73319550000002</v>
      </c>
      <c r="K21" s="2">
        <v>309.39029640000001</v>
      </c>
      <c r="L21" s="2">
        <v>309.39029640000001</v>
      </c>
      <c r="M21" s="2">
        <v>371.76479549999999</v>
      </c>
      <c r="N21" s="2">
        <v>290.2607964</v>
      </c>
      <c r="O21" s="2">
        <v>259.65359640000003</v>
      </c>
      <c r="P21" s="9"/>
      <c r="Q21" s="2">
        <f>SUM(OSRRefD21_0_1x)+IFERROR(SUM(OSRRefE21_0_1x),0)</f>
        <v>3685.0161576999999</v>
      </c>
    </row>
    <row r="22" spans="1:17" s="34" customFormat="1" hidden="1" outlineLevel="1" x14ac:dyDescent="0.3">
      <c r="A22" s="35"/>
      <c r="B22" s="10" t="str">
        <f>CONCATENATE("          ","6113", " - ","GROUP INSURANCE")</f>
        <v xml:space="preserve">          6113 - GROUP INSURANCE</v>
      </c>
      <c r="C22" s="14"/>
      <c r="D22" s="2">
        <v>1054.3499999999999</v>
      </c>
      <c r="E22" s="2">
        <v>1022.5</v>
      </c>
      <c r="F22" s="2">
        <v>1022.5</v>
      </c>
      <c r="G22" s="2">
        <v>1022.5</v>
      </c>
      <c r="H22" s="2">
        <v>1022.5</v>
      </c>
      <c r="I22" s="2">
        <v>1022.5</v>
      </c>
      <c r="J22" s="2">
        <v>1022.5</v>
      </c>
      <c r="K22" s="2">
        <v>1022.5</v>
      </c>
      <c r="L22" s="2">
        <v>1022.5</v>
      </c>
      <c r="M22" s="2">
        <v>1022.5</v>
      </c>
      <c r="N22" s="2">
        <v>1022.5</v>
      </c>
      <c r="O22" s="2">
        <v>1022.5</v>
      </c>
      <c r="P22" s="9"/>
      <c r="Q22" s="2">
        <f>SUM(OSRRefD21_0_2x)+IFERROR(SUM(OSRRefE21_0_2x),0)</f>
        <v>12301.85</v>
      </c>
    </row>
    <row r="23" spans="1:17" s="34" customFormat="1" hidden="1" outlineLevel="1" x14ac:dyDescent="0.3">
      <c r="A23" s="35"/>
      <c r="B23" s="10" t="str">
        <f>CONCATENATE("          ","6114", " - ","STATE UNEMPLOYMENT INSURANCE")</f>
        <v xml:space="preserve">          6114 - STATE UNEMPLOYMENT INSURANCE</v>
      </c>
      <c r="C23" s="14"/>
      <c r="D23" s="2">
        <v>31.34</v>
      </c>
      <c r="E23" s="2">
        <v>45.924818746153797</v>
      </c>
      <c r="F23" s="2">
        <v>42.5385687461538</v>
      </c>
      <c r="G23" s="2">
        <v>51.3147109326923</v>
      </c>
      <c r="H23" s="2">
        <v>37.624568746153798</v>
      </c>
      <c r="I23" s="2">
        <v>38.6325687461539</v>
      </c>
      <c r="J23" s="2">
        <v>51.387160932692296</v>
      </c>
      <c r="K23" s="2">
        <v>41.648693746153803</v>
      </c>
      <c r="L23" s="2">
        <v>41.648693746153803</v>
      </c>
      <c r="M23" s="2">
        <v>50.045260932692301</v>
      </c>
      <c r="N23" s="2">
        <v>39.073568746153903</v>
      </c>
      <c r="O23" s="2">
        <v>34.953368746153799</v>
      </c>
      <c r="P23" s="9"/>
      <c r="Q23" s="2">
        <f>SUM(OSRRefD21_0_3x)+IFERROR(SUM(OSRRefE21_0_3x),0)</f>
        <v>506.13198276730748</v>
      </c>
    </row>
    <row r="24" spans="1:17" s="34" customFormat="1" hidden="1" outlineLevel="1" x14ac:dyDescent="0.3">
      <c r="A24" s="35"/>
      <c r="B24" s="10" t="str">
        <f>CONCATENATE("          ","6115", " - ","P.E.R.S.")</f>
        <v xml:space="preserve">          6115 - P.E.R.S.</v>
      </c>
      <c r="C24" s="14"/>
      <c r="D24" s="2">
        <v>586.58000000000004</v>
      </c>
      <c r="E24" s="2">
        <v>576.92767246153903</v>
      </c>
      <c r="F24" s="2">
        <v>576.92767246153903</v>
      </c>
      <c r="G24" s="2">
        <v>721.15959057692396</v>
      </c>
      <c r="H24" s="2">
        <v>576.92767246153903</v>
      </c>
      <c r="I24" s="2">
        <v>576.92767246153903</v>
      </c>
      <c r="J24" s="2">
        <v>721.15959057692396</v>
      </c>
      <c r="K24" s="2">
        <v>576.92767246153903</v>
      </c>
      <c r="L24" s="2">
        <v>576.92767246153903</v>
      </c>
      <c r="M24" s="2">
        <v>721.15959057692396</v>
      </c>
      <c r="N24" s="2">
        <v>576.92767246153903</v>
      </c>
      <c r="O24" s="2">
        <v>576.92767246153903</v>
      </c>
      <c r="P24" s="9"/>
      <c r="Q24" s="2">
        <f>SUM(OSRRefD21_0_4x)+IFERROR(SUM(OSRRefE21_0_4x),0)</f>
        <v>7365.4801514230849</v>
      </c>
    </row>
    <row r="25" spans="1:17" s="34" customFormat="1" hidden="1" outlineLevel="1" x14ac:dyDescent="0.3">
      <c r="A25" s="35"/>
      <c r="B25" s="10" t="str">
        <f>CONCATENATE("          ","6116", " - ","EDUCATIONAL BENEFITS")</f>
        <v xml:space="preserve">          6116 - EDUCATIONAL BENEFITS</v>
      </c>
      <c r="C25" s="14"/>
      <c r="D25" s="2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9"/>
      <c r="Q25" s="2">
        <f>SUM(OSRRefD21_0_5x)+IFERROR(SUM(OSRRefE21_0_5x),0)</f>
        <v>0</v>
      </c>
    </row>
    <row r="26" spans="1:17" s="34" customFormat="1" hidden="1" outlineLevel="1" x14ac:dyDescent="0.3">
      <c r="A26" s="35"/>
      <c r="B26" s="10" t="str">
        <f>CONCATENATE("          ","6117", " - ","RETIREMENT STAFF HOURLY")</f>
        <v xml:space="preserve">          6117 - RETIREMENT STAFF HOURLY</v>
      </c>
      <c r="C26" s="14"/>
      <c r="D26" s="2">
        <v>102.54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  <c r="Q26" s="2">
        <f>SUM(OSRRefD21_0_6x)+IFERROR(SUM(OSRRefE21_0_6x),0)</f>
        <v>102.54</v>
      </c>
    </row>
    <row r="27" spans="1:17" s="34" customFormat="1" hidden="1" outlineLevel="1" x14ac:dyDescent="0.3">
      <c r="A27" s="35"/>
      <c r="B27" s="10" t="str">
        <f>CONCATENATE("          ","6118", " - ","VACATION")</f>
        <v xml:space="preserve">          6118 - VACATION</v>
      </c>
      <c r="C27" s="14"/>
      <c r="D27" s="2">
        <v>413.76</v>
      </c>
      <c r="E27" s="2">
        <v>201.25383923076899</v>
      </c>
      <c r="F27" s="2">
        <v>201.25383923076899</v>
      </c>
      <c r="G27" s="2">
        <v>251.56729903846201</v>
      </c>
      <c r="H27" s="2">
        <v>201.25383923076899</v>
      </c>
      <c r="I27" s="2">
        <v>201.25383923076899</v>
      </c>
      <c r="J27" s="2">
        <v>251.56729903846201</v>
      </c>
      <c r="K27" s="2">
        <v>201.25383923076899</v>
      </c>
      <c r="L27" s="2">
        <v>201.25383923076899</v>
      </c>
      <c r="M27" s="2">
        <v>251.56729903846201</v>
      </c>
      <c r="N27" s="2">
        <v>201.25383923076899</v>
      </c>
      <c r="O27" s="2">
        <v>201.25383923076899</v>
      </c>
      <c r="P27" s="9"/>
      <c r="Q27" s="2">
        <f>SUM(OSRRefD21_0_7x)+IFERROR(SUM(OSRRefE21_0_7x),0)</f>
        <v>2778.4926109615371</v>
      </c>
    </row>
    <row r="28" spans="1:17" s="34" customFormat="1" hidden="1" outlineLevel="1" x14ac:dyDescent="0.3">
      <c r="A28" s="35"/>
      <c r="B28" s="10" t="str">
        <f>CONCATENATE("          ","6119", " - ","SICK LEAVE")</f>
        <v xml:space="preserve">          6119 - SICK LEAVE</v>
      </c>
      <c r="C28" s="14"/>
      <c r="D28" s="2">
        <v>266.91000000000003</v>
      </c>
      <c r="E28" s="2">
        <v>588.98422615384595</v>
      </c>
      <c r="F28" s="2">
        <v>540.60922615384595</v>
      </c>
      <c r="G28" s="2">
        <v>649.21153269230797</v>
      </c>
      <c r="H28" s="2">
        <v>470.40922615384602</v>
      </c>
      <c r="I28" s="2">
        <v>484.809226153846</v>
      </c>
      <c r="J28" s="2">
        <v>650.24653269230805</v>
      </c>
      <c r="K28" s="2">
        <v>527.89672615384598</v>
      </c>
      <c r="L28" s="2">
        <v>527.89672615384598</v>
      </c>
      <c r="M28" s="2">
        <v>631.07653269230798</v>
      </c>
      <c r="N28" s="2">
        <v>491.10922615384601</v>
      </c>
      <c r="O28" s="2">
        <v>432.249226153846</v>
      </c>
      <c r="P28" s="9"/>
      <c r="Q28" s="2">
        <f>SUM(OSRRefD21_0_8x)+IFERROR(SUM(OSRRefE21_0_8x),0)</f>
        <v>6261.4084073076929</v>
      </c>
    </row>
    <row r="29" spans="1:17" s="34" customFormat="1" collapsed="1" x14ac:dyDescent="0.3">
      <c r="A29" s="35"/>
      <c r="B29" s="14" t="str">
        <f>CONCATENATE("     ","*Payroll                                          ")</f>
        <v xml:space="preserve">     *Payroll                                          </v>
      </c>
      <c r="C29" s="14"/>
      <c r="D29" s="1">
        <f>SUM(OSRRefD21_1x_0)</f>
        <v>18970.560000000001</v>
      </c>
      <c r="E29" s="1">
        <f>SUM(OSRRefE21_1x_0)</f>
        <v>21533.538242307688</v>
      </c>
      <c r="F29" s="1">
        <f>SUM(OSRRefE21_1x_1)</f>
        <v>19921.038242307688</v>
      </c>
      <c r="G29" s="1">
        <f>SUM(OSRRefE21_1x_2)</f>
        <v>24016.297802884619</v>
      </c>
      <c r="H29" s="1">
        <f>SUM(OSRRefE21_1x_3)</f>
        <v>17581.038242307688</v>
      </c>
      <c r="I29" s="1">
        <f>SUM(OSRRefE21_1x_4)</f>
        <v>18061.038242307688</v>
      </c>
      <c r="J29" s="1">
        <f>SUM(OSRRefE21_1x_5)</f>
        <v>24050.797802884619</v>
      </c>
      <c r="K29" s="1">
        <f>SUM(OSRRefE21_1x_6)</f>
        <v>19497.288242307688</v>
      </c>
      <c r="L29" s="1">
        <f>SUM(OSRRefE21_1x_7)</f>
        <v>19497.288242307688</v>
      </c>
      <c r="M29" s="1">
        <f>SUM(OSRRefE21_1x_8)</f>
        <v>23411.797802884619</v>
      </c>
      <c r="N29" s="1">
        <f>SUM(OSRRefE21_1x_9)</f>
        <v>18271.038242307688</v>
      </c>
      <c r="O29" s="1">
        <f>SUM(OSRRefE21_1x_10)</f>
        <v>16309.03824230769</v>
      </c>
      <c r="Q29" s="2">
        <f>SUM(OSRRefD20_1x)+IFERROR(SUM(OSRRefE20_1x),0)</f>
        <v>241120.75934711541</v>
      </c>
    </row>
    <row r="30" spans="1:17" s="34" customFormat="1" hidden="1" outlineLevel="1" x14ac:dyDescent="0.3">
      <c r="A30" s="35"/>
      <c r="B30" s="10" t="str">
        <f>CONCATENATE("          ","6001", " - ","ADMINISTRATIVE SALARIES")</f>
        <v xml:space="preserve">          6001 - ADMINISTRATIVE SALARIES</v>
      </c>
      <c r="C30" s="14"/>
      <c r="D30" s="2">
        <v>5599.1</v>
      </c>
      <c r="E30" s="2">
        <v>4139.8076923076896</v>
      </c>
      <c r="F30" s="2">
        <v>4139.8076923076896</v>
      </c>
      <c r="G30" s="2">
        <v>5174.7596153846198</v>
      </c>
      <c r="H30" s="2">
        <v>4139.8076923076896</v>
      </c>
      <c r="I30" s="2">
        <v>4139.8076923076896</v>
      </c>
      <c r="J30" s="2">
        <v>5174.7596153846198</v>
      </c>
      <c r="K30" s="2">
        <v>4139.8076923076896</v>
      </c>
      <c r="L30" s="2">
        <v>4139.8076923076896</v>
      </c>
      <c r="M30" s="2">
        <v>5174.7596153846198</v>
      </c>
      <c r="N30" s="2">
        <v>4139.8076923076896</v>
      </c>
      <c r="O30" s="2">
        <v>4139.8076923076896</v>
      </c>
      <c r="P30" s="9"/>
      <c r="Q30" s="2">
        <f>SUM(OSRRefD21_1_0x)+IFERROR(SUM(OSRRefE21_1_0x),0)</f>
        <v>54241.840384615367</v>
      </c>
    </row>
    <row r="31" spans="1:17" s="34" customFormat="1" hidden="1" outlineLevel="1" x14ac:dyDescent="0.3">
      <c r="A31" s="35"/>
      <c r="B31" s="10" t="str">
        <f>CONCATENATE("          ","6002", " - ","STAFF SALARIES")</f>
        <v xml:space="preserve">          6002 - STAFF SALARIES</v>
      </c>
      <c r="C31" s="14"/>
      <c r="D31" s="2">
        <v>5113.62</v>
      </c>
      <c r="E31" s="2">
        <v>2233.2305500000002</v>
      </c>
      <c r="F31" s="2">
        <v>2233.2305500000002</v>
      </c>
      <c r="G31" s="2">
        <v>2791.5381874999998</v>
      </c>
      <c r="H31" s="2">
        <v>2233.2305500000002</v>
      </c>
      <c r="I31" s="2">
        <v>2233.2305500000002</v>
      </c>
      <c r="J31" s="2">
        <v>2791.5381874999998</v>
      </c>
      <c r="K31" s="2">
        <v>2233.2305500000002</v>
      </c>
      <c r="L31" s="2">
        <v>2233.2305500000002</v>
      </c>
      <c r="M31" s="2">
        <v>2791.5381874999998</v>
      </c>
      <c r="N31" s="2">
        <v>2233.2305500000002</v>
      </c>
      <c r="O31" s="2">
        <v>2233.2305500000002</v>
      </c>
      <c r="P31" s="9"/>
      <c r="Q31" s="2">
        <f>SUM(OSRRefD21_1_1x)+IFERROR(SUM(OSRRefE21_1_1x),0)</f>
        <v>31354.0789625</v>
      </c>
    </row>
    <row r="32" spans="1:17" s="34" customFormat="1" hidden="1" outlineLevel="1" x14ac:dyDescent="0.3">
      <c r="A32" s="35"/>
      <c r="B32" s="10" t="str">
        <f>CONCATENATE("          ","6003", " - ","STAFF HOURLY-9 MONTH")</f>
        <v xml:space="preserve">          6003 - STAFF HOURLY-9 MONTH</v>
      </c>
      <c r="C32" s="14"/>
      <c r="D32" s="2"/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9"/>
      <c r="Q32" s="2">
        <f>SUM(OSRRefD21_1_2x)+IFERROR(SUM(OSRRefE21_1_2x),0)</f>
        <v>0</v>
      </c>
    </row>
    <row r="33" spans="1:17" s="34" customFormat="1" hidden="1" outlineLevel="1" x14ac:dyDescent="0.3">
      <c r="A33" s="35"/>
      <c r="B33" s="10" t="str">
        <f>CONCATENATE("          ","6004", " - ","STAFF HOURLY")</f>
        <v xml:space="preserve">          6004 - STAFF HOURLY</v>
      </c>
      <c r="C33" s="14"/>
      <c r="D33" s="2"/>
      <c r="E33" s="2">
        <v>2088</v>
      </c>
      <c r="F33" s="2">
        <v>2088</v>
      </c>
      <c r="G33" s="2">
        <v>2610</v>
      </c>
      <c r="H33" s="2">
        <v>2088</v>
      </c>
      <c r="I33" s="2">
        <v>2088</v>
      </c>
      <c r="J33" s="2">
        <v>2088</v>
      </c>
      <c r="K33" s="2">
        <v>2088</v>
      </c>
      <c r="L33" s="2">
        <v>2088</v>
      </c>
      <c r="M33" s="2">
        <v>2610</v>
      </c>
      <c r="N33" s="2">
        <v>2088</v>
      </c>
      <c r="O33" s="2">
        <v>2088</v>
      </c>
      <c r="P33" s="9"/>
      <c r="Q33" s="2">
        <f>SUM(OSRRefD21_1_3x)+IFERROR(SUM(OSRRefE21_1_3x),0)</f>
        <v>24012</v>
      </c>
    </row>
    <row r="34" spans="1:17" s="34" customFormat="1" hidden="1" outlineLevel="1" x14ac:dyDescent="0.3">
      <c r="A34" s="35"/>
      <c r="B34" s="10" t="str">
        <f>CONCATENATE("          ","6005", " - ","TEMPORARY WAGES-HOURLY")</f>
        <v xml:space="preserve">          6005 - TEMPORARY WAGES-HOURLY</v>
      </c>
      <c r="C34" s="14"/>
      <c r="D34" s="2">
        <v>6179.64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9"/>
      <c r="Q34" s="2">
        <f>SUM(OSRRefD21_1_4x)+IFERROR(SUM(OSRRefE21_1_4x),0)</f>
        <v>6179.64</v>
      </c>
    </row>
    <row r="35" spans="1:17" s="34" customFormat="1" hidden="1" outlineLevel="1" x14ac:dyDescent="0.3">
      <c r="A35" s="35"/>
      <c r="B35" s="10" t="str">
        <f>CONCATENATE("          ","6006", " - ","TEMPORARY PART TIME")</f>
        <v xml:space="preserve">          6006 - TEMPORARY PART TIME</v>
      </c>
      <c r="C35" s="14"/>
      <c r="D35" s="2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9"/>
      <c r="Q35" s="2">
        <f>SUM(OSRRefD21_1_5x)+IFERROR(SUM(OSRRefE21_1_5x),0)</f>
        <v>0</v>
      </c>
    </row>
    <row r="36" spans="1:17" s="34" customFormat="1" hidden="1" outlineLevel="1" x14ac:dyDescent="0.3">
      <c r="A36" s="35"/>
      <c r="B36" s="10" t="str">
        <f>CONCATENATE("          ","6007", " - ","STUDENT HOURLY")</f>
        <v xml:space="preserve">          6007 - STUDENT HOURLY</v>
      </c>
      <c r="C36" s="14"/>
      <c r="D36" s="2">
        <v>2078.1999999999998</v>
      </c>
      <c r="E36" s="2">
        <v>13072.5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7848</v>
      </c>
      <c r="P36" s="9"/>
      <c r="Q36" s="2">
        <f>SUM(OSRRefD21_1_6x)+IFERROR(SUM(OSRRefE21_1_6x),0)</f>
        <v>22998.7</v>
      </c>
    </row>
    <row r="37" spans="1:17" s="34" customFormat="1" hidden="1" outlineLevel="1" x14ac:dyDescent="0.3">
      <c r="A37" s="35"/>
      <c r="B37" s="10" t="str">
        <f>CONCATENATE("          ","6008", " - ","STUDENT HOURLY-FICA EXEMPT")</f>
        <v xml:space="preserve">          6008 - STUDENT HOURLY-FICA EXEMPT</v>
      </c>
      <c r="C37" s="14"/>
      <c r="D37" s="2"/>
      <c r="E37" s="2">
        <v>0</v>
      </c>
      <c r="F37" s="2">
        <v>11460</v>
      </c>
      <c r="G37" s="2">
        <v>13440</v>
      </c>
      <c r="H37" s="2">
        <v>9120</v>
      </c>
      <c r="I37" s="2">
        <v>9600</v>
      </c>
      <c r="J37" s="2">
        <v>13996.5</v>
      </c>
      <c r="K37" s="2">
        <v>11036.25</v>
      </c>
      <c r="L37" s="2">
        <v>11036.25</v>
      </c>
      <c r="M37" s="2">
        <v>12835.5</v>
      </c>
      <c r="N37" s="2">
        <v>9810</v>
      </c>
      <c r="O37" s="2">
        <v>0</v>
      </c>
      <c r="P37" s="9"/>
      <c r="Q37" s="2">
        <f>SUM(OSRRefD21_1_7x)+IFERROR(SUM(OSRRefE21_1_7x),0)</f>
        <v>102334.5</v>
      </c>
    </row>
    <row r="38" spans="1:17" s="34" customFormat="1" hidden="1" outlineLevel="1" x14ac:dyDescent="0.3">
      <c r="A38" s="35"/>
      <c r="B38" s="10" t="str">
        <f>CONCATENATE("          ","6009", " - ","TEMPORARY-SEASONAL")</f>
        <v xml:space="preserve">          6009 - TEMPORARY-SEASONAL</v>
      </c>
      <c r="C38" s="14"/>
      <c r="D38" s="2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9"/>
      <c r="Q38" s="2">
        <f>SUM(OSRRefD21_1_8x)+IFERROR(SUM(OSRRefE21_1_8x),0)</f>
        <v>0</v>
      </c>
    </row>
    <row r="39" spans="1:17" s="34" customFormat="1" hidden="1" outlineLevel="1" x14ac:dyDescent="0.3">
      <c r="A39" s="35"/>
      <c r="B39" s="10" t="str">
        <f>CONCATENATE("          ","6010", " - ","GRATUITY")</f>
        <v xml:space="preserve">          6010 - GRATUITY</v>
      </c>
      <c r="C39" s="14"/>
      <c r="D39" s="2"/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9"/>
      <c r="Q39" s="2">
        <f>SUM(OSRRefD21_1_9x)+IFERROR(SUM(OSRRefE21_1_9x),0)</f>
        <v>0</v>
      </c>
    </row>
    <row r="40" spans="1:17" s="34" customFormat="1" collapsed="1" x14ac:dyDescent="0.3">
      <c r="A40" s="35"/>
      <c r="B40" s="14" t="str">
        <f>CONCATENATE("     ","Advertising/Promo                                 ")</f>
        <v xml:space="preserve">     Advertising/Promo                                 </v>
      </c>
      <c r="C40" s="14"/>
      <c r="D40" s="1">
        <f>SUM(OSRRefD21_2x_0)</f>
        <v>0</v>
      </c>
      <c r="E40" s="1">
        <f>SUM(OSRRefE21_2x_0)</f>
        <v>100</v>
      </c>
      <c r="F40" s="1">
        <f>SUM(OSRRefE21_2x_1)</f>
        <v>100</v>
      </c>
      <c r="G40" s="1">
        <f>SUM(OSRRefE21_2x_2)</f>
        <v>100</v>
      </c>
      <c r="H40" s="1">
        <f>SUM(OSRRefE21_2x_3)</f>
        <v>100</v>
      </c>
      <c r="I40" s="1">
        <f>SUM(OSRRefE21_2x_4)</f>
        <v>100</v>
      </c>
      <c r="J40" s="1">
        <f>SUM(OSRRefE21_2x_5)</f>
        <v>100</v>
      </c>
      <c r="K40" s="1">
        <f>SUM(OSRRefE21_2x_6)</f>
        <v>100</v>
      </c>
      <c r="L40" s="1">
        <f>SUM(OSRRefE21_2x_7)</f>
        <v>100</v>
      </c>
      <c r="M40" s="1">
        <f>SUM(OSRRefE21_2x_8)</f>
        <v>100</v>
      </c>
      <c r="N40" s="1">
        <f>SUM(OSRRefE21_2x_9)</f>
        <v>100</v>
      </c>
      <c r="O40" s="1">
        <f>SUM(OSRRefE21_2x_10)</f>
        <v>100</v>
      </c>
      <c r="Q40" s="2">
        <f>SUM(OSRRefD20_2x)+IFERROR(SUM(OSRRefE20_2x),0)</f>
        <v>1100</v>
      </c>
    </row>
    <row r="41" spans="1:17" s="34" customFormat="1" hidden="1" outlineLevel="1" x14ac:dyDescent="0.3">
      <c r="A41" s="35"/>
      <c r="B41" s="10" t="str">
        <f>CONCATENATE("          ","6362", " - ","ADVERTISING EXPENSE")</f>
        <v xml:space="preserve">          6362 - ADVERTISING EXPENSE</v>
      </c>
      <c r="C41" s="14"/>
      <c r="D41" s="2"/>
      <c r="E41" s="2">
        <v>100</v>
      </c>
      <c r="F41" s="2">
        <v>100</v>
      </c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9"/>
      <c r="Q41" s="2">
        <f>SUM(OSRRefD21_2_0x)+IFERROR(SUM(OSRRefE21_2_0x),0)</f>
        <v>1100</v>
      </c>
    </row>
    <row r="42" spans="1:17" s="34" customFormat="1" collapsed="1" x14ac:dyDescent="0.3">
      <c r="A42" s="35"/>
      <c r="B42" s="14" t="str">
        <f>CONCATENATE("     ","Bank/card Fees                                    ")</f>
        <v xml:space="preserve">     Bank/card Fees                                    </v>
      </c>
      <c r="C42" s="14"/>
      <c r="D42" s="1">
        <f>SUM(OSRRefD21_3x_0)</f>
        <v>44.12</v>
      </c>
      <c r="E42" s="1">
        <f>SUM(OSRRefE21_3x_0)</f>
        <v>1250</v>
      </c>
      <c r="F42" s="1">
        <f>SUM(OSRRefE21_3x_1)</f>
        <v>1250</v>
      </c>
      <c r="G42" s="1">
        <f>SUM(OSRRefE21_3x_2)</f>
        <v>1250</v>
      </c>
      <c r="H42" s="1">
        <f>SUM(OSRRefE21_3x_3)</f>
        <v>1250</v>
      </c>
      <c r="I42" s="1">
        <f>SUM(OSRRefE21_3x_4)</f>
        <v>1250</v>
      </c>
      <c r="J42" s="1">
        <f>SUM(OSRRefE21_3x_5)</f>
        <v>1250</v>
      </c>
      <c r="K42" s="1">
        <f>SUM(OSRRefE21_3x_6)</f>
        <v>1250</v>
      </c>
      <c r="L42" s="1">
        <f>SUM(OSRRefE21_3x_7)</f>
        <v>1250</v>
      </c>
      <c r="M42" s="1">
        <f>SUM(OSRRefE21_3x_8)</f>
        <v>1250</v>
      </c>
      <c r="N42" s="1">
        <f>SUM(OSRRefE21_3x_9)</f>
        <v>1250</v>
      </c>
      <c r="O42" s="1">
        <f>SUM(OSRRefE21_3x_10)</f>
        <v>1250</v>
      </c>
      <c r="Q42" s="2">
        <f>SUM(OSRRefD20_3x)+IFERROR(SUM(OSRRefE20_3x),0)</f>
        <v>13794.12</v>
      </c>
    </row>
    <row r="43" spans="1:17" s="34" customFormat="1" hidden="1" outlineLevel="1" x14ac:dyDescent="0.3">
      <c r="A43" s="35"/>
      <c r="B43" s="10" t="str">
        <f>CONCATENATE("          ","6381", " - ","BANK/CREDIT CARD FEES")</f>
        <v xml:space="preserve">          6381 - BANK/CREDIT CARD FEES</v>
      </c>
      <c r="C43" s="14"/>
      <c r="D43" s="2">
        <v>44.12</v>
      </c>
      <c r="E43" s="2">
        <v>1250</v>
      </c>
      <c r="F43" s="2">
        <v>1250</v>
      </c>
      <c r="G43" s="2">
        <v>1250</v>
      </c>
      <c r="H43" s="2">
        <v>1250</v>
      </c>
      <c r="I43" s="2">
        <v>1250</v>
      </c>
      <c r="J43" s="2">
        <v>1250</v>
      </c>
      <c r="K43" s="2">
        <v>1250</v>
      </c>
      <c r="L43" s="2">
        <v>1250</v>
      </c>
      <c r="M43" s="2">
        <v>1250</v>
      </c>
      <c r="N43" s="2">
        <v>1250</v>
      </c>
      <c r="O43" s="2">
        <v>1250</v>
      </c>
      <c r="P43" s="9"/>
      <c r="Q43" s="2">
        <f>SUM(OSRRefD21_3_0x)+IFERROR(SUM(OSRRefE21_3_0x),0)</f>
        <v>13794.12</v>
      </c>
    </row>
    <row r="44" spans="1:17" s="34" customFormat="1" collapsed="1" x14ac:dyDescent="0.3">
      <c r="A44" s="35"/>
      <c r="B44" s="14" t="str">
        <f>CONCATENATE("     ","Employees' Appreciation                           ")</f>
        <v xml:space="preserve">     Employees' Appreciation                           </v>
      </c>
      <c r="C44" s="14"/>
      <c r="D44" s="1">
        <f>SUM(OSRRefD21_4x_0)</f>
        <v>0</v>
      </c>
      <c r="E44" s="1">
        <f>SUM(OSRRefE21_4x_0)</f>
        <v>20</v>
      </c>
      <c r="F44" s="1">
        <f>SUM(OSRRefE21_4x_1)</f>
        <v>20</v>
      </c>
      <c r="G44" s="1">
        <f>SUM(OSRRefE21_4x_2)</f>
        <v>20</v>
      </c>
      <c r="H44" s="1">
        <f>SUM(OSRRefE21_4x_3)</f>
        <v>20</v>
      </c>
      <c r="I44" s="1">
        <f>SUM(OSRRefE21_4x_4)</f>
        <v>20</v>
      </c>
      <c r="J44" s="1">
        <f>SUM(OSRRefE21_4x_5)</f>
        <v>20</v>
      </c>
      <c r="K44" s="1">
        <f>SUM(OSRRefE21_4x_6)</f>
        <v>20</v>
      </c>
      <c r="L44" s="1">
        <f>SUM(OSRRefE21_4x_7)</f>
        <v>20</v>
      </c>
      <c r="M44" s="1">
        <f>SUM(OSRRefE21_4x_8)</f>
        <v>20</v>
      </c>
      <c r="N44" s="1">
        <f>SUM(OSRRefE21_4x_9)</f>
        <v>20</v>
      </c>
      <c r="O44" s="1">
        <f>SUM(OSRRefE21_4x_10)</f>
        <v>20</v>
      </c>
      <c r="Q44" s="2">
        <f>SUM(OSRRefD20_4x)+IFERROR(SUM(OSRRefE20_4x),0)</f>
        <v>220</v>
      </c>
    </row>
    <row r="45" spans="1:17" s="34" customFormat="1" hidden="1" outlineLevel="1" x14ac:dyDescent="0.3">
      <c r="A45" s="35"/>
      <c r="B45" s="10" t="str">
        <f>CONCATENATE("          ","6277", " - ","EMPLOYEE APPRECIATION")</f>
        <v xml:space="preserve">          6277 - EMPLOYEE APPRECIATION</v>
      </c>
      <c r="C45" s="14"/>
      <c r="D45" s="2"/>
      <c r="E45" s="2">
        <v>20</v>
      </c>
      <c r="F45" s="2">
        <v>20</v>
      </c>
      <c r="G45" s="2">
        <v>20</v>
      </c>
      <c r="H45" s="2">
        <v>20</v>
      </c>
      <c r="I45" s="2">
        <v>20</v>
      </c>
      <c r="J45" s="2">
        <v>20</v>
      </c>
      <c r="K45" s="2">
        <v>20</v>
      </c>
      <c r="L45" s="2">
        <v>20</v>
      </c>
      <c r="M45" s="2">
        <v>20</v>
      </c>
      <c r="N45" s="2">
        <v>20</v>
      </c>
      <c r="O45" s="2">
        <v>20</v>
      </c>
      <c r="P45" s="9"/>
      <c r="Q45" s="2">
        <f>SUM(OSRRefD21_4_0x)+IFERROR(SUM(OSRRefE21_4_0x),0)</f>
        <v>220</v>
      </c>
    </row>
    <row r="46" spans="1:17" s="34" customFormat="1" collapsed="1" x14ac:dyDescent="0.3">
      <c r="A46" s="35"/>
      <c r="B46" s="14" t="str">
        <f>CONCATENATE("     ","Freight out/Postage                               ")</f>
        <v xml:space="preserve">     Freight out/Postage                               </v>
      </c>
      <c r="C46" s="14"/>
      <c r="D46" s="1">
        <f>SUM(OSRRefD21_5x_0)</f>
        <v>0</v>
      </c>
      <c r="E46" s="1">
        <f>SUM(OSRRefE21_5x_0)</f>
        <v>10</v>
      </c>
      <c r="F46" s="1">
        <f>SUM(OSRRefE21_5x_1)</f>
        <v>10</v>
      </c>
      <c r="G46" s="1">
        <f>SUM(OSRRefE21_5x_2)</f>
        <v>10</v>
      </c>
      <c r="H46" s="1">
        <f>SUM(OSRRefE21_5x_3)</f>
        <v>10</v>
      </c>
      <c r="I46" s="1">
        <f>SUM(OSRRefE21_5x_4)</f>
        <v>10</v>
      </c>
      <c r="J46" s="1">
        <f>SUM(OSRRefE21_5x_5)</f>
        <v>10</v>
      </c>
      <c r="K46" s="1">
        <f>SUM(OSRRefE21_5x_6)</f>
        <v>10</v>
      </c>
      <c r="L46" s="1">
        <f>SUM(OSRRefE21_5x_7)</f>
        <v>10</v>
      </c>
      <c r="M46" s="1">
        <f>SUM(OSRRefE21_5x_8)</f>
        <v>10</v>
      </c>
      <c r="N46" s="1">
        <f>SUM(OSRRefE21_5x_9)</f>
        <v>10</v>
      </c>
      <c r="O46" s="1">
        <f>SUM(OSRRefE21_5x_10)</f>
        <v>10</v>
      </c>
      <c r="Q46" s="2">
        <f>SUM(OSRRefD20_5x)+IFERROR(SUM(OSRRefE20_5x),0)</f>
        <v>110</v>
      </c>
    </row>
    <row r="47" spans="1:17" s="34" customFormat="1" hidden="1" outlineLevel="1" x14ac:dyDescent="0.3">
      <c r="A47" s="35"/>
      <c r="B47" s="10" t="str">
        <f>CONCATENATE("          ","6307", " - ","POSTAGE")</f>
        <v xml:space="preserve">          6307 - POSTAGE</v>
      </c>
      <c r="C47" s="14"/>
      <c r="D47" s="2"/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  <c r="M47" s="2">
        <v>10</v>
      </c>
      <c r="N47" s="2">
        <v>10</v>
      </c>
      <c r="O47" s="2">
        <v>10</v>
      </c>
      <c r="P47" s="9"/>
      <c r="Q47" s="2">
        <f>SUM(OSRRefD21_5_0x)+IFERROR(SUM(OSRRefE21_5_0x),0)</f>
        <v>110</v>
      </c>
    </row>
    <row r="48" spans="1:17" s="34" customFormat="1" collapsed="1" x14ac:dyDescent="0.3">
      <c r="A48" s="35"/>
      <c r="B48" s="14" t="str">
        <f>CONCATENATE("     ","General                                           ")</f>
        <v xml:space="preserve">     General                                           </v>
      </c>
      <c r="C48" s="14"/>
      <c r="D48" s="1">
        <f>SUM(OSRRefD21_6x_0)</f>
        <v>0</v>
      </c>
      <c r="E48" s="1">
        <f>SUM(OSRRefE21_6x_0)</f>
        <v>50</v>
      </c>
      <c r="F48" s="1">
        <f>SUM(OSRRefE21_6x_1)</f>
        <v>50</v>
      </c>
      <c r="G48" s="1">
        <f>SUM(OSRRefE21_6x_2)</f>
        <v>50</v>
      </c>
      <c r="H48" s="1">
        <f>SUM(OSRRefE21_6x_3)</f>
        <v>50</v>
      </c>
      <c r="I48" s="1">
        <f>SUM(OSRRefE21_6x_4)</f>
        <v>50</v>
      </c>
      <c r="J48" s="1">
        <f>SUM(OSRRefE21_6x_5)</f>
        <v>50</v>
      </c>
      <c r="K48" s="1">
        <f>SUM(OSRRefE21_6x_6)</f>
        <v>50</v>
      </c>
      <c r="L48" s="1">
        <f>SUM(OSRRefE21_6x_7)</f>
        <v>50</v>
      </c>
      <c r="M48" s="1">
        <f>SUM(OSRRefE21_6x_8)</f>
        <v>50</v>
      </c>
      <c r="N48" s="1">
        <f>SUM(OSRRefE21_6x_9)</f>
        <v>50</v>
      </c>
      <c r="O48" s="1">
        <f>SUM(OSRRefE21_6x_10)</f>
        <v>50</v>
      </c>
      <c r="Q48" s="2">
        <f>SUM(OSRRefD20_6x)+IFERROR(SUM(OSRRefE20_6x),0)</f>
        <v>550</v>
      </c>
    </row>
    <row r="49" spans="1:17" s="34" customFormat="1" hidden="1" outlineLevel="1" x14ac:dyDescent="0.3">
      <c r="A49" s="35"/>
      <c r="B49" s="10" t="str">
        <f>CONCATENATE("          ","6279", " - ","GENERAL EXPENSE")</f>
        <v xml:space="preserve">          6279 - GENERAL EXPENSE</v>
      </c>
      <c r="C49" s="14"/>
      <c r="D49" s="2"/>
      <c r="E49" s="2">
        <v>50</v>
      </c>
      <c r="F49" s="2">
        <v>50</v>
      </c>
      <c r="G49" s="2">
        <v>50</v>
      </c>
      <c r="H49" s="2">
        <v>50</v>
      </c>
      <c r="I49" s="2">
        <v>50</v>
      </c>
      <c r="J49" s="2">
        <v>50</v>
      </c>
      <c r="K49" s="2">
        <v>50</v>
      </c>
      <c r="L49" s="2">
        <v>50</v>
      </c>
      <c r="M49" s="2">
        <v>50</v>
      </c>
      <c r="N49" s="2">
        <v>50</v>
      </c>
      <c r="O49" s="2">
        <v>50</v>
      </c>
      <c r="P49" s="9"/>
      <c r="Q49" s="2">
        <f>SUM(OSRRefD21_6_0x)+IFERROR(SUM(OSRRefE21_6_0x),0)</f>
        <v>550</v>
      </c>
    </row>
    <row r="50" spans="1:17" s="34" customFormat="1" collapsed="1" x14ac:dyDescent="0.3">
      <c r="A50" s="35"/>
      <c r="B50" s="14" t="str">
        <f>CONCATENATE("     ","Insurance                                         ")</f>
        <v xml:space="preserve">     Insurance                                         </v>
      </c>
      <c r="C50" s="14"/>
      <c r="D50" s="1">
        <f>SUM(OSRRefD21_7x_0)</f>
        <v>39.43</v>
      </c>
      <c r="E50" s="1">
        <f>SUM(OSRRefE21_7x_0)</f>
        <v>40</v>
      </c>
      <c r="F50" s="1">
        <f>SUM(OSRRefE21_7x_1)</f>
        <v>40</v>
      </c>
      <c r="G50" s="1">
        <f>SUM(OSRRefE21_7x_2)</f>
        <v>40</v>
      </c>
      <c r="H50" s="1">
        <f>SUM(OSRRefE21_7x_3)</f>
        <v>40</v>
      </c>
      <c r="I50" s="1">
        <f>SUM(OSRRefE21_7x_4)</f>
        <v>40</v>
      </c>
      <c r="J50" s="1">
        <f>SUM(OSRRefE21_7x_5)</f>
        <v>40</v>
      </c>
      <c r="K50" s="1">
        <f>SUM(OSRRefE21_7x_6)</f>
        <v>40</v>
      </c>
      <c r="L50" s="1">
        <f>SUM(OSRRefE21_7x_7)</f>
        <v>40</v>
      </c>
      <c r="M50" s="1">
        <f>SUM(OSRRefE21_7x_8)</f>
        <v>40</v>
      </c>
      <c r="N50" s="1">
        <f>SUM(OSRRefE21_7x_9)</f>
        <v>40</v>
      </c>
      <c r="O50" s="1">
        <f>SUM(OSRRefE21_7x_10)</f>
        <v>40</v>
      </c>
      <c r="Q50" s="2">
        <f>SUM(OSRRefD20_7x)+IFERROR(SUM(OSRRefE20_7x),0)</f>
        <v>479.43</v>
      </c>
    </row>
    <row r="51" spans="1:17" s="34" customFormat="1" hidden="1" outlineLevel="1" x14ac:dyDescent="0.3">
      <c r="A51" s="35"/>
      <c r="B51" s="10" t="str">
        <f>CONCATENATE("          ","6314", " - ","LIABILITY INSURANCE")</f>
        <v xml:space="preserve">          6314 - LIABILITY INSURANCE</v>
      </c>
      <c r="C51" s="14"/>
      <c r="D51" s="2">
        <v>39.43</v>
      </c>
      <c r="E51" s="2">
        <v>40</v>
      </c>
      <c r="F51" s="2">
        <v>40</v>
      </c>
      <c r="G51" s="2">
        <v>40</v>
      </c>
      <c r="H51" s="2">
        <v>40</v>
      </c>
      <c r="I51" s="2">
        <v>40</v>
      </c>
      <c r="J51" s="2">
        <v>40</v>
      </c>
      <c r="K51" s="2">
        <v>40</v>
      </c>
      <c r="L51" s="2">
        <v>40</v>
      </c>
      <c r="M51" s="2">
        <v>40</v>
      </c>
      <c r="N51" s="2">
        <v>40</v>
      </c>
      <c r="O51" s="2">
        <v>40</v>
      </c>
      <c r="P51" s="9"/>
      <c r="Q51" s="2">
        <f>SUM(OSRRefD21_7_0x)+IFERROR(SUM(OSRRefE21_7_0x),0)</f>
        <v>479.43</v>
      </c>
    </row>
    <row r="52" spans="1:17" s="34" customFormat="1" collapsed="1" x14ac:dyDescent="0.3">
      <c r="A52" s="35"/>
      <c r="B52" s="14" t="str">
        <f>CONCATENATE("     ","Rent                                              ")</f>
        <v xml:space="preserve">     Rent                                              </v>
      </c>
      <c r="C52" s="14"/>
      <c r="D52" s="1">
        <f>SUM(OSRRefD21_8x_0)</f>
        <v>800</v>
      </c>
      <c r="E52" s="1">
        <f>SUM(OSRRefE21_8x_0)</f>
        <v>800</v>
      </c>
      <c r="F52" s="1">
        <f>SUM(OSRRefE21_8x_1)</f>
        <v>800</v>
      </c>
      <c r="G52" s="1">
        <f>SUM(OSRRefE21_8x_2)</f>
        <v>800</v>
      </c>
      <c r="H52" s="1">
        <f>SUM(OSRRefE21_8x_3)</f>
        <v>800</v>
      </c>
      <c r="I52" s="1">
        <f>SUM(OSRRefE21_8x_4)</f>
        <v>800</v>
      </c>
      <c r="J52" s="1">
        <f>SUM(OSRRefE21_8x_5)</f>
        <v>800</v>
      </c>
      <c r="K52" s="1">
        <f>SUM(OSRRefE21_8x_6)</f>
        <v>800</v>
      </c>
      <c r="L52" s="1">
        <f>SUM(OSRRefE21_8x_7)</f>
        <v>800</v>
      </c>
      <c r="M52" s="1">
        <f>SUM(OSRRefE21_8x_8)</f>
        <v>800</v>
      </c>
      <c r="N52" s="1">
        <f>SUM(OSRRefE21_8x_9)</f>
        <v>800</v>
      </c>
      <c r="O52" s="1">
        <f>SUM(OSRRefE21_8x_10)</f>
        <v>800</v>
      </c>
      <c r="Q52" s="2">
        <f>SUM(OSRRefD20_8x)+IFERROR(SUM(OSRRefE20_8x),0)</f>
        <v>9600</v>
      </c>
    </row>
    <row r="53" spans="1:17" s="34" customFormat="1" hidden="1" outlineLevel="1" x14ac:dyDescent="0.3">
      <c r="A53" s="35"/>
      <c r="B53" s="10" t="str">
        <f>CONCATENATE("          ","6273", " - ","RENT")</f>
        <v xml:space="preserve">          6273 - RENT</v>
      </c>
      <c r="C53" s="14"/>
      <c r="D53" s="2">
        <v>800</v>
      </c>
      <c r="E53" s="2">
        <v>800</v>
      </c>
      <c r="F53" s="2">
        <v>800</v>
      </c>
      <c r="G53" s="2">
        <v>800</v>
      </c>
      <c r="H53" s="2">
        <v>800</v>
      </c>
      <c r="I53" s="2">
        <v>800</v>
      </c>
      <c r="J53" s="2">
        <v>800</v>
      </c>
      <c r="K53" s="2">
        <v>800</v>
      </c>
      <c r="L53" s="2">
        <v>800</v>
      </c>
      <c r="M53" s="2">
        <v>800</v>
      </c>
      <c r="N53" s="2">
        <v>800</v>
      </c>
      <c r="O53" s="2">
        <v>800</v>
      </c>
      <c r="P53" s="9"/>
      <c r="Q53" s="2">
        <f>SUM(OSRRefD21_8_0x)+IFERROR(SUM(OSRRefE21_8_0x),0)</f>
        <v>9600</v>
      </c>
    </row>
    <row r="54" spans="1:17" s="34" customFormat="1" collapsed="1" x14ac:dyDescent="0.3">
      <c r="A54" s="35"/>
      <c r="B54" s="14" t="str">
        <f>CONCATENATE("     ","Repair and Maintenance                            ")</f>
        <v xml:space="preserve">     Repair and Maintenance                            </v>
      </c>
      <c r="C54" s="14"/>
      <c r="D54" s="1">
        <f>SUM(OSRRefD21_9x_0)</f>
        <v>122000.62</v>
      </c>
      <c r="E54" s="1">
        <f>SUM(OSRRefE21_9x_0)</f>
        <v>128200</v>
      </c>
      <c r="F54" s="1">
        <f>SUM(OSRRefE21_9x_1)</f>
        <v>3200</v>
      </c>
      <c r="G54" s="1">
        <f>SUM(OSRRefE21_9x_2)</f>
        <v>3200</v>
      </c>
      <c r="H54" s="1">
        <f>SUM(OSRRefE21_9x_3)</f>
        <v>3200</v>
      </c>
      <c r="I54" s="1">
        <f>SUM(OSRRefE21_9x_4)</f>
        <v>3200</v>
      </c>
      <c r="J54" s="1">
        <f>SUM(OSRRefE21_9x_5)</f>
        <v>3200</v>
      </c>
      <c r="K54" s="1">
        <f>SUM(OSRRefE21_9x_6)</f>
        <v>3200</v>
      </c>
      <c r="L54" s="1">
        <f>SUM(OSRRefE21_9x_7)</f>
        <v>3200</v>
      </c>
      <c r="M54" s="1">
        <f>SUM(OSRRefE21_9x_8)</f>
        <v>3200</v>
      </c>
      <c r="N54" s="1">
        <f>SUM(OSRRefE21_9x_9)</f>
        <v>3200</v>
      </c>
      <c r="O54" s="1">
        <f>SUM(OSRRefE21_9x_10)</f>
        <v>3200</v>
      </c>
      <c r="Q54" s="2">
        <f>SUM(OSRRefD20_9x)+IFERROR(SUM(OSRRefE20_9x),0)</f>
        <v>282200.62</v>
      </c>
    </row>
    <row r="55" spans="1:17" s="34" customFormat="1" hidden="1" outlineLevel="1" x14ac:dyDescent="0.3">
      <c r="A55" s="35"/>
      <c r="B55" s="10" t="str">
        <f>CONCATENATE("          ","6371", " - ","COMPUTER SOFTWARE MAINTENANCE")</f>
        <v xml:space="preserve">          6371 - COMPUTER SOFTWARE MAINTENANCE</v>
      </c>
      <c r="C55" s="14"/>
      <c r="D55" s="2"/>
      <c r="E55" s="2">
        <v>125000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2">
        <f>SUM(OSRRefD21_9_0x)+IFERROR(SUM(OSRRefE21_9_0x),0)</f>
        <v>125000</v>
      </c>
    </row>
    <row r="56" spans="1:17" s="34" customFormat="1" hidden="1" outlineLevel="1" x14ac:dyDescent="0.3">
      <c r="A56" s="35"/>
      <c r="B56" s="10" t="str">
        <f>CONCATENATE("          ","6372", " - ","COMPUTER HARDWARE MAINTENANCE")</f>
        <v xml:space="preserve">          6372 - COMPUTER HARDWARE MAINTENANCE</v>
      </c>
      <c r="C56" s="14"/>
      <c r="D56" s="2"/>
      <c r="E56" s="2">
        <v>3200</v>
      </c>
      <c r="F56" s="2">
        <v>3200</v>
      </c>
      <c r="G56" s="2">
        <v>3200</v>
      </c>
      <c r="H56" s="2">
        <v>3200</v>
      </c>
      <c r="I56" s="2">
        <v>3200</v>
      </c>
      <c r="J56" s="2">
        <v>3200</v>
      </c>
      <c r="K56" s="2">
        <v>3200</v>
      </c>
      <c r="L56" s="2">
        <v>3200</v>
      </c>
      <c r="M56" s="2">
        <v>3200</v>
      </c>
      <c r="N56" s="2">
        <v>3200</v>
      </c>
      <c r="O56" s="2">
        <v>3200</v>
      </c>
      <c r="P56" s="9"/>
      <c r="Q56" s="2">
        <f>SUM(OSRRefD21_9_1x)+IFERROR(SUM(OSRRefE21_9_1x),0)</f>
        <v>35200</v>
      </c>
    </row>
    <row r="57" spans="1:17" s="34" customFormat="1" hidden="1" outlineLevel="1" x14ac:dyDescent="0.3">
      <c r="A57" s="35"/>
      <c r="B57" s="10" t="str">
        <f>CONCATENATE("          ","6373", " - ","MAINTENANCE CONTRACTS")</f>
        <v xml:space="preserve">          6373 - MAINTENANCE CONTRACTS</v>
      </c>
      <c r="C57" s="14"/>
      <c r="D57" s="2">
        <v>122000.62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2">
        <f>SUM(OSRRefD21_9_2x)+IFERROR(SUM(OSRRefE21_9_2x),0)</f>
        <v>122000.62</v>
      </c>
    </row>
    <row r="58" spans="1:17" s="34" customFormat="1" collapsed="1" x14ac:dyDescent="0.3">
      <c r="A58" s="35"/>
      <c r="B58" s="14" t="str">
        <f>CONCATENATE("     ","Subscriptions &amp; Dues                              ")</f>
        <v xml:space="preserve">     Subscriptions &amp; Dues                              </v>
      </c>
      <c r="C58" s="14"/>
      <c r="D58" s="1">
        <f>SUM(OSRRefD21_10x_0)</f>
        <v>0</v>
      </c>
      <c r="E58" s="1">
        <f>SUM(OSRRefE21_10x_0)</f>
        <v>85</v>
      </c>
      <c r="F58" s="1">
        <f>SUM(OSRRefE21_10x_1)</f>
        <v>85</v>
      </c>
      <c r="G58" s="1">
        <f>SUM(OSRRefE21_10x_2)</f>
        <v>85</v>
      </c>
      <c r="H58" s="1">
        <f>SUM(OSRRefE21_10x_3)</f>
        <v>85</v>
      </c>
      <c r="I58" s="1">
        <f>SUM(OSRRefE21_10x_4)</f>
        <v>85</v>
      </c>
      <c r="J58" s="1">
        <f>SUM(OSRRefE21_10x_5)</f>
        <v>85</v>
      </c>
      <c r="K58" s="1">
        <f>SUM(OSRRefE21_10x_6)</f>
        <v>85</v>
      </c>
      <c r="L58" s="1">
        <f>SUM(OSRRefE21_10x_7)</f>
        <v>85</v>
      </c>
      <c r="M58" s="1">
        <f>SUM(OSRRefE21_10x_8)</f>
        <v>85</v>
      </c>
      <c r="N58" s="1">
        <f>SUM(OSRRefE21_10x_9)</f>
        <v>85</v>
      </c>
      <c r="O58" s="1">
        <f>SUM(OSRRefE21_10x_10)</f>
        <v>85</v>
      </c>
      <c r="Q58" s="2">
        <f>SUM(OSRRefD20_10x)+IFERROR(SUM(OSRRefE20_10x),0)</f>
        <v>935</v>
      </c>
    </row>
    <row r="59" spans="1:17" s="34" customFormat="1" hidden="1" outlineLevel="1" x14ac:dyDescent="0.3">
      <c r="A59" s="35"/>
      <c r="B59" s="10" t="str">
        <f>CONCATENATE("          ","6258", " - ","MEMBERSHIP DUES")</f>
        <v xml:space="preserve">          6258 - MEMBERSHIP DUES</v>
      </c>
      <c r="C59" s="14"/>
      <c r="D59" s="2"/>
      <c r="E59" s="2">
        <v>85</v>
      </c>
      <c r="F59" s="2">
        <v>85</v>
      </c>
      <c r="G59" s="2">
        <v>85</v>
      </c>
      <c r="H59" s="2">
        <v>85</v>
      </c>
      <c r="I59" s="2">
        <v>85</v>
      </c>
      <c r="J59" s="2">
        <v>85</v>
      </c>
      <c r="K59" s="2">
        <v>85</v>
      </c>
      <c r="L59" s="2">
        <v>85</v>
      </c>
      <c r="M59" s="2">
        <v>85</v>
      </c>
      <c r="N59" s="2">
        <v>85</v>
      </c>
      <c r="O59" s="2">
        <v>85</v>
      </c>
      <c r="P59" s="9"/>
      <c r="Q59" s="2">
        <f>SUM(OSRRefD21_10_0x)+IFERROR(SUM(OSRRefE21_10_0x),0)</f>
        <v>935</v>
      </c>
    </row>
    <row r="60" spans="1:17" s="34" customFormat="1" collapsed="1" x14ac:dyDescent="0.3">
      <c r="A60" s="35"/>
      <c r="B60" s="14" t="str">
        <f>CONCATENATE("     ","Supplies                                          ")</f>
        <v xml:space="preserve">     Supplies                                          </v>
      </c>
      <c r="C60" s="14"/>
      <c r="D60" s="1">
        <f>SUM(OSRRefD21_11x_0)</f>
        <v>356.71</v>
      </c>
      <c r="E60" s="1">
        <f>SUM(OSRRefE21_11x_0)</f>
        <v>5800</v>
      </c>
      <c r="F60" s="1">
        <f>SUM(OSRRefE21_11x_1)</f>
        <v>5800</v>
      </c>
      <c r="G60" s="1">
        <f>SUM(OSRRefE21_11x_2)</f>
        <v>5800</v>
      </c>
      <c r="H60" s="1">
        <f>SUM(OSRRefE21_11x_3)</f>
        <v>5800</v>
      </c>
      <c r="I60" s="1">
        <f>SUM(OSRRefE21_11x_4)</f>
        <v>5800</v>
      </c>
      <c r="J60" s="1">
        <f>SUM(OSRRefE21_11x_5)</f>
        <v>5800</v>
      </c>
      <c r="K60" s="1">
        <f>SUM(OSRRefE21_11x_6)</f>
        <v>5800</v>
      </c>
      <c r="L60" s="1">
        <f>SUM(OSRRefE21_11x_7)</f>
        <v>5800</v>
      </c>
      <c r="M60" s="1">
        <f>SUM(OSRRefE21_11x_8)</f>
        <v>5800</v>
      </c>
      <c r="N60" s="1">
        <f>SUM(OSRRefE21_11x_9)</f>
        <v>5800</v>
      </c>
      <c r="O60" s="1">
        <f>SUM(OSRRefE21_11x_10)</f>
        <v>5800</v>
      </c>
      <c r="Q60" s="2">
        <f>SUM(OSRRefD20_11x)+IFERROR(SUM(OSRRefE20_11x),0)</f>
        <v>64156.71</v>
      </c>
    </row>
    <row r="61" spans="1:17" s="34" customFormat="1" hidden="1" outlineLevel="1" x14ac:dyDescent="0.3">
      <c r="A61" s="35"/>
      <c r="B61" s="10" t="str">
        <f>CONCATENATE("          ","6234", " - ","EXPENDABLE SUPPLIES &amp; EQUIPMEN")</f>
        <v xml:space="preserve">          6234 - EXPENDABLE SUPPLIES &amp; EQUIPMEN</v>
      </c>
      <c r="C61" s="14"/>
      <c r="D61" s="2"/>
      <c r="E61" s="2">
        <v>5800</v>
      </c>
      <c r="F61" s="2">
        <v>5800</v>
      </c>
      <c r="G61" s="2">
        <v>5800</v>
      </c>
      <c r="H61" s="2">
        <v>5800</v>
      </c>
      <c r="I61" s="2">
        <v>5800</v>
      </c>
      <c r="J61" s="2">
        <v>5800</v>
      </c>
      <c r="K61" s="2">
        <v>5800</v>
      </c>
      <c r="L61" s="2">
        <v>5800</v>
      </c>
      <c r="M61" s="2">
        <v>5800</v>
      </c>
      <c r="N61" s="2">
        <v>5800</v>
      </c>
      <c r="O61" s="2">
        <v>5800</v>
      </c>
      <c r="P61" s="9"/>
      <c r="Q61" s="2">
        <f>SUM(OSRRefD21_11_0x)+IFERROR(SUM(OSRRefE21_11_0x),0)</f>
        <v>63800</v>
      </c>
    </row>
    <row r="62" spans="1:17" s="34" customFormat="1" hidden="1" outlineLevel="1" x14ac:dyDescent="0.3">
      <c r="A62" s="35"/>
      <c r="B62" s="10" t="str">
        <f>CONCATENATE("          ","6241", " - ","OFFICE EXPENSE")</f>
        <v xml:space="preserve">          6241 - OFFICE EXPENSE</v>
      </c>
      <c r="C62" s="14"/>
      <c r="D62" s="2">
        <v>356.71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2">
        <f>SUM(OSRRefD21_11_1x)+IFERROR(SUM(OSRRefE21_11_1x),0)</f>
        <v>356.71</v>
      </c>
    </row>
    <row r="63" spans="1:17" s="34" customFormat="1" collapsed="1" x14ac:dyDescent="0.3">
      <c r="A63" s="35"/>
      <c r="B63" s="14" t="str">
        <f>CONCATENATE("     ","Telephone/Data Lines                              ")</f>
        <v xml:space="preserve">     Telephone/Data Lines                              </v>
      </c>
      <c r="C63" s="14"/>
      <c r="D63" s="1">
        <f>SUM(OSRRefD21_12x_0)</f>
        <v>-250.25</v>
      </c>
      <c r="E63" s="1">
        <f>SUM(OSRRefE21_12x_0)</f>
        <v>350</v>
      </c>
      <c r="F63" s="1">
        <f>SUM(OSRRefE21_12x_1)</f>
        <v>350</v>
      </c>
      <c r="G63" s="1">
        <f>SUM(OSRRefE21_12x_2)</f>
        <v>350</v>
      </c>
      <c r="H63" s="1">
        <f>SUM(OSRRefE21_12x_3)</f>
        <v>350</v>
      </c>
      <c r="I63" s="1">
        <f>SUM(OSRRefE21_12x_4)</f>
        <v>350</v>
      </c>
      <c r="J63" s="1">
        <f>SUM(OSRRefE21_12x_5)</f>
        <v>350</v>
      </c>
      <c r="K63" s="1">
        <f>SUM(OSRRefE21_12x_6)</f>
        <v>350</v>
      </c>
      <c r="L63" s="1">
        <f>SUM(OSRRefE21_12x_7)</f>
        <v>350</v>
      </c>
      <c r="M63" s="1">
        <f>SUM(OSRRefE21_12x_8)</f>
        <v>350</v>
      </c>
      <c r="N63" s="1">
        <f>SUM(OSRRefE21_12x_9)</f>
        <v>350</v>
      </c>
      <c r="O63" s="1">
        <f>SUM(OSRRefE21_12x_10)</f>
        <v>350</v>
      </c>
      <c r="Q63" s="2">
        <f>SUM(OSRRefD20_12x)+IFERROR(SUM(OSRRefE20_12x),0)</f>
        <v>3599.75</v>
      </c>
    </row>
    <row r="64" spans="1:17" s="34" customFormat="1" hidden="1" outlineLevel="1" x14ac:dyDescent="0.3">
      <c r="A64" s="35"/>
      <c r="B64" s="10" t="str">
        <f>CONCATENATE("          ","6309", " - ","TELEPHONE")</f>
        <v xml:space="preserve">          6309 - TELEPHONE</v>
      </c>
      <c r="C64" s="14"/>
      <c r="D64" s="2">
        <v>-250.25</v>
      </c>
      <c r="E64" s="2">
        <v>350</v>
      </c>
      <c r="F64" s="2">
        <v>350</v>
      </c>
      <c r="G64" s="2">
        <v>350</v>
      </c>
      <c r="H64" s="2">
        <v>350</v>
      </c>
      <c r="I64" s="2">
        <v>350</v>
      </c>
      <c r="J64" s="2">
        <v>350</v>
      </c>
      <c r="K64" s="2">
        <v>350</v>
      </c>
      <c r="L64" s="2">
        <v>350</v>
      </c>
      <c r="M64" s="2">
        <v>350</v>
      </c>
      <c r="N64" s="2">
        <v>350</v>
      </c>
      <c r="O64" s="2">
        <v>350</v>
      </c>
      <c r="P64" s="9"/>
      <c r="Q64" s="2">
        <f>SUM(OSRRefD21_12_0x)+IFERROR(SUM(OSRRefE21_12_0x),0)</f>
        <v>3599.75</v>
      </c>
    </row>
    <row r="65" spans="1:17" s="34" customFormat="1" collapsed="1" x14ac:dyDescent="0.3">
      <c r="A65" s="35"/>
      <c r="B65" s="14" t="str">
        <f>CONCATENATE("     ","Training                                          ")</f>
        <v xml:space="preserve">     Training                                          </v>
      </c>
      <c r="C65" s="14"/>
      <c r="D65" s="1">
        <f>SUM(OSRRefD21_13x_0)</f>
        <v>0</v>
      </c>
      <c r="E65" s="1">
        <f>SUM(OSRRefE21_13x_0)</f>
        <v>0</v>
      </c>
      <c r="F65" s="1">
        <f>SUM(OSRRefE21_13x_1)</f>
        <v>0</v>
      </c>
      <c r="G65" s="1">
        <f>SUM(OSRRefE21_13x_2)</f>
        <v>0</v>
      </c>
      <c r="H65" s="1">
        <f>SUM(OSRRefE21_13x_3)</f>
        <v>0</v>
      </c>
      <c r="I65" s="1">
        <f>SUM(OSRRefE21_13x_4)</f>
        <v>0</v>
      </c>
      <c r="J65" s="1">
        <f>SUM(OSRRefE21_13x_5)</f>
        <v>0</v>
      </c>
      <c r="K65" s="1">
        <f>SUM(OSRRefE21_13x_6)</f>
        <v>0</v>
      </c>
      <c r="L65" s="1">
        <f>SUM(OSRRefE21_13x_7)</f>
        <v>3000</v>
      </c>
      <c r="M65" s="1">
        <f>SUM(OSRRefE21_13x_8)</f>
        <v>1500</v>
      </c>
      <c r="N65" s="1">
        <f>SUM(OSRRefE21_13x_9)</f>
        <v>0</v>
      </c>
      <c r="O65" s="1">
        <f>SUM(OSRRefE21_13x_10)</f>
        <v>0</v>
      </c>
      <c r="Q65" s="2">
        <f>SUM(OSRRefD20_13x)+IFERROR(SUM(OSRRefE20_13x),0)</f>
        <v>4500</v>
      </c>
    </row>
    <row r="66" spans="1:17" s="34" customFormat="1" hidden="1" outlineLevel="1" x14ac:dyDescent="0.3">
      <c r="A66" s="35"/>
      <c r="B66" s="10" t="str">
        <f>CONCATENATE("          ","6376", " - ","TRAINING")</f>
        <v xml:space="preserve">          6376 - TRAINING</v>
      </c>
      <c r="C66" s="14"/>
      <c r="D66" s="2"/>
      <c r="E66" s="2"/>
      <c r="F66" s="2"/>
      <c r="G66" s="2"/>
      <c r="H66" s="2"/>
      <c r="I66" s="2"/>
      <c r="J66" s="2"/>
      <c r="K66" s="2"/>
      <c r="L66" s="2">
        <v>3000</v>
      </c>
      <c r="M66" s="2">
        <v>1500</v>
      </c>
      <c r="N66" s="2"/>
      <c r="O66" s="2"/>
      <c r="P66" s="9"/>
      <c r="Q66" s="2">
        <f>SUM(OSRRefD21_13_0x)+IFERROR(SUM(OSRRefE21_13_0x),0)</f>
        <v>4500</v>
      </c>
    </row>
    <row r="67" spans="1:17" s="28" customFormat="1" x14ac:dyDescent="0.3">
      <c r="A67" s="21"/>
      <c r="B67" s="21"/>
      <c r="C67" s="2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</row>
    <row r="68" spans="1:17" s="9" customFormat="1" x14ac:dyDescent="0.3">
      <c r="A68" s="22"/>
      <c r="B68" s="16" t="s">
        <v>293</v>
      </c>
      <c r="C68" s="23"/>
      <c r="D68" s="3">
        <f>--108.16</f>
        <v>108.16</v>
      </c>
      <c r="E68" s="3">
        <v>2400</v>
      </c>
      <c r="F68" s="3">
        <v>2400</v>
      </c>
      <c r="G68" s="3">
        <v>2400</v>
      </c>
      <c r="H68" s="3">
        <v>2400</v>
      </c>
      <c r="I68" s="3">
        <v>2400</v>
      </c>
      <c r="J68" s="3">
        <v>2400</v>
      </c>
      <c r="K68" s="3">
        <v>2400</v>
      </c>
      <c r="L68" s="3">
        <v>2400</v>
      </c>
      <c r="M68" s="3">
        <v>2400</v>
      </c>
      <c r="N68" s="3">
        <v>2400</v>
      </c>
      <c r="O68" s="3">
        <v>2400</v>
      </c>
      <c r="Q68" s="2">
        <f>SUM(OSRRefD23_0x)+IFERROR(SUM(OSRRefE23_0x),0)</f>
        <v>26508.16</v>
      </c>
    </row>
    <row r="69" spans="1:17" x14ac:dyDescent="0.3">
      <c r="A69" s="5"/>
      <c r="B69" s="6"/>
      <c r="C69" s="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</row>
    <row r="70" spans="1:17" s="15" customFormat="1" x14ac:dyDescent="0.3">
      <c r="A70" s="6"/>
      <c r="B70" s="17" t="s">
        <v>276</v>
      </c>
      <c r="C70" s="17"/>
      <c r="D70" s="8">
        <f t="shared" ref="D70:O70" si="3">IFERROR(+D15-D18+D68, 0)</f>
        <v>0.14000000001047397</v>
      </c>
      <c r="E70" s="8">
        <f t="shared" si="3"/>
        <v>18247.083795822313</v>
      </c>
      <c r="F70" s="8">
        <f t="shared" si="3"/>
        <v>3710.9384708223079</v>
      </c>
      <c r="G70" s="8">
        <f t="shared" si="3"/>
        <v>4239.2625885278831</v>
      </c>
      <c r="H70" s="8">
        <f t="shared" si="3"/>
        <v>3431.5564708223101</v>
      </c>
      <c r="I70" s="8">
        <f t="shared" si="3"/>
        <v>3489.6604708223167</v>
      </c>
      <c r="J70" s="8">
        <f t="shared" si="3"/>
        <v>4239.065598527879</v>
      </c>
      <c r="K70" s="8">
        <f t="shared" si="3"/>
        <v>3660.9013458223126</v>
      </c>
      <c r="L70" s="8">
        <f t="shared" si="3"/>
        <v>4001.9013458223126</v>
      </c>
      <c r="M70" s="8">
        <f t="shared" si="3"/>
        <v>4337.5972385278801</v>
      </c>
      <c r="N70" s="8">
        <f t="shared" si="3"/>
        <v>3514.6434708223096</v>
      </c>
      <c r="O70" s="8">
        <f t="shared" si="3"/>
        <v>10348.623430822314</v>
      </c>
      <c r="Q70" s="8">
        <f>IFERROR(+Q15-Q18+Q68, 0)</f>
        <v>63221.374227162072</v>
      </c>
    </row>
    <row r="71" spans="1:17" s="6" customFormat="1" x14ac:dyDescent="0.3">
      <c r="B71" s="16"/>
      <c r="C71" s="16"/>
      <c r="D71" s="4">
        <f t="shared" ref="D71:O71" si="4">IFERROR(D70/D10, 0)</f>
        <v>9.6117538025110001E-7</v>
      </c>
      <c r="E71" s="4">
        <f t="shared" si="4"/>
        <v>0.10220394651959444</v>
      </c>
      <c r="F71" s="4">
        <f t="shared" si="4"/>
        <v>0.10220155524159481</v>
      </c>
      <c r="G71" s="4">
        <f t="shared" si="4"/>
        <v>0.10220262273747879</v>
      </c>
      <c r="H71" s="4">
        <f t="shared" si="4"/>
        <v>0.10219352782460199</v>
      </c>
      <c r="I71" s="4">
        <f t="shared" si="4"/>
        <v>0.10221618250797647</v>
      </c>
      <c r="J71" s="4">
        <f t="shared" si="4"/>
        <v>0.10220772992231172</v>
      </c>
      <c r="K71" s="4">
        <f t="shared" si="4"/>
        <v>0.10221413183555708</v>
      </c>
      <c r="L71" s="4">
        <f t="shared" si="4"/>
        <v>0.10220142875660322</v>
      </c>
      <c r="M71" s="4">
        <f t="shared" si="4"/>
        <v>0.1021957694498134</v>
      </c>
      <c r="N71" s="4">
        <f t="shared" si="4"/>
        <v>0.10221443858724182</v>
      </c>
      <c r="O71" s="4">
        <f t="shared" si="4"/>
        <v>0.26025106706624873</v>
      </c>
      <c r="P71" s="18"/>
      <c r="Q71" s="4">
        <f>IFERROR(Q70/Q10, 0)</f>
        <v>8.9964103690073238E-2</v>
      </c>
    </row>
    <row r="72" spans="1:17" x14ac:dyDescent="0.3">
      <c r="A72" s="5"/>
      <c r="B72" s="6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</row>
    <row r="73" spans="1:17" s="15" customFormat="1" x14ac:dyDescent="0.3">
      <c r="A73" s="25"/>
      <c r="B73" s="6" t="s">
        <v>125</v>
      </c>
      <c r="C73" s="6"/>
      <c r="D73" s="3">
        <v>67292.009999999995</v>
      </c>
      <c r="E73" s="3">
        <v>9497</v>
      </c>
      <c r="F73" s="3">
        <v>3191</v>
      </c>
      <c r="G73" s="3">
        <v>6415</v>
      </c>
      <c r="H73" s="3">
        <v>7187</v>
      </c>
      <c r="I73" s="3">
        <v>5900</v>
      </c>
      <c r="J73" s="3">
        <v>3669</v>
      </c>
      <c r="K73" s="3">
        <v>3136</v>
      </c>
      <c r="L73" s="3">
        <v>4562</v>
      </c>
      <c r="M73" s="3">
        <v>5816</v>
      </c>
      <c r="N73" s="3">
        <v>4760</v>
      </c>
      <c r="O73" s="3">
        <v>-1401</v>
      </c>
      <c r="Q73" s="2">
        <f>SUM(OSRRefD28_0x)+IFERROR(SUM(OSRRefE28_0x),0)</f>
        <v>120024.01</v>
      </c>
    </row>
    <row r="74" spans="1:17" x14ac:dyDescent="0.3">
      <c r="A74" s="5"/>
      <c r="B74" s="6"/>
      <c r="C74" s="6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</row>
    <row r="75" spans="1:17" s="15" customFormat="1" ht="15" thickBot="1" x14ac:dyDescent="0.35">
      <c r="A75" s="6"/>
      <c r="B75" s="17" t="s">
        <v>124</v>
      </c>
      <c r="C75" s="17"/>
      <c r="D75" s="7">
        <f t="shared" ref="D75:O75" si="5">IFERROR(+D70-D73, 0)</f>
        <v>-67291.869999999981</v>
      </c>
      <c r="E75" s="7">
        <f t="shared" si="5"/>
        <v>8750.0837958223128</v>
      </c>
      <c r="F75" s="7">
        <f t="shared" si="5"/>
        <v>519.93847082230786</v>
      </c>
      <c r="G75" s="7">
        <f t="shared" si="5"/>
        <v>-2175.7374114721169</v>
      </c>
      <c r="H75" s="7">
        <f t="shared" si="5"/>
        <v>-3755.4435291776899</v>
      </c>
      <c r="I75" s="7">
        <f t="shared" si="5"/>
        <v>-2410.3395291776833</v>
      </c>
      <c r="J75" s="7">
        <f t="shared" si="5"/>
        <v>570.06559852787905</v>
      </c>
      <c r="K75" s="7">
        <f t="shared" si="5"/>
        <v>524.90134582231258</v>
      </c>
      <c r="L75" s="7">
        <f t="shared" si="5"/>
        <v>-560.09865417768742</v>
      </c>
      <c r="M75" s="7">
        <f t="shared" si="5"/>
        <v>-1478.4027614721199</v>
      </c>
      <c r="N75" s="7">
        <f t="shared" si="5"/>
        <v>-1245.3565291776904</v>
      </c>
      <c r="O75" s="7">
        <f t="shared" si="5"/>
        <v>11749.623430822314</v>
      </c>
      <c r="Q75" s="7">
        <f>IFERROR(+Q70-Q73, 0)</f>
        <v>-56802.635772837923</v>
      </c>
    </row>
    <row r="76" spans="1:17" ht="15" thickTop="1" x14ac:dyDescent="0.3">
      <c r="A76" s="5"/>
      <c r="B76" s="5"/>
      <c r="C76" s="5"/>
      <c r="D76" s="4">
        <f t="shared" ref="D76:O76" si="6">IFERROR(D75/D10, 0)</f>
        <v>-0.4619949195015618</v>
      </c>
      <c r="E76" s="4">
        <f t="shared" si="6"/>
        <v>4.9010192878872122E-2</v>
      </c>
      <c r="F76" s="4">
        <f t="shared" si="6"/>
        <v>1.4319429105544144E-2</v>
      </c>
      <c r="G76" s="4">
        <f t="shared" si="6"/>
        <v>-5.2453950468239759E-2</v>
      </c>
      <c r="H76" s="4">
        <f t="shared" si="6"/>
        <v>-0.11183905206163644</v>
      </c>
      <c r="I76" s="4">
        <f t="shared" si="6"/>
        <v>-7.0601626513698987E-2</v>
      </c>
      <c r="J76" s="4">
        <f t="shared" si="6"/>
        <v>1.3744800446724027E-2</v>
      </c>
      <c r="K76" s="4">
        <f t="shared" si="6"/>
        <v>1.4655498822378618E-2</v>
      </c>
      <c r="L76" s="4">
        <f t="shared" si="6"/>
        <v>-1.4303921500055862E-2</v>
      </c>
      <c r="M76" s="4">
        <f t="shared" si="6"/>
        <v>-3.4831843404771461E-2</v>
      </c>
      <c r="N76" s="4">
        <f t="shared" si="6"/>
        <v>-3.6218017425554465E-2</v>
      </c>
      <c r="O76" s="4">
        <f t="shared" si="6"/>
        <v>0.29548394102259112</v>
      </c>
      <c r="P76" s="18"/>
      <c r="Q76" s="4">
        <f>IFERROR(Q75/Q10, 0)</f>
        <v>-8.0830229918373686E-2</v>
      </c>
    </row>
    <row r="77" spans="1:17" x14ac:dyDescent="0.3">
      <c r="A77" s="5"/>
      <c r="B77" s="5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Q77" s="3"/>
    </row>
    <row r="78" spans="1:17" x14ac:dyDescent="0.3">
      <c r="A78" s="5"/>
      <c r="B78" s="5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</row>
    <row r="79" spans="1:17" s="15" customFormat="1" ht="15" thickBot="1" x14ac:dyDescent="0.35">
      <c r="A79" s="6"/>
      <c r="B79" s="17" t="s">
        <v>294</v>
      </c>
      <c r="C79" s="17"/>
      <c r="D79" s="7">
        <f t="shared" ref="D79:O79" si="7">IFERROR(SUM(D75:D78), 0)</f>
        <v>-67292.331994919485</v>
      </c>
      <c r="E79" s="7">
        <f t="shared" si="7"/>
        <v>8750.1328060151918</v>
      </c>
      <c r="F79" s="7">
        <f t="shared" si="7"/>
        <v>519.95279025141338</v>
      </c>
      <c r="G79" s="7">
        <f t="shared" si="7"/>
        <v>-2175.7898654225851</v>
      </c>
      <c r="H79" s="7">
        <f t="shared" si="7"/>
        <v>-3755.5553682297514</v>
      </c>
      <c r="I79" s="7">
        <f t="shared" si="7"/>
        <v>-2410.4101308041968</v>
      </c>
      <c r="J79" s="7">
        <f t="shared" si="7"/>
        <v>570.07934332832576</v>
      </c>
      <c r="K79" s="7">
        <f t="shared" si="7"/>
        <v>524.91600132113501</v>
      </c>
      <c r="L79" s="7">
        <f t="shared" si="7"/>
        <v>-560.11295809918749</v>
      </c>
      <c r="M79" s="7">
        <f t="shared" si="7"/>
        <v>-1478.4375933155247</v>
      </c>
      <c r="N79" s="7">
        <f t="shared" si="7"/>
        <v>-1245.392747195116</v>
      </c>
      <c r="O79" s="7">
        <f t="shared" si="7"/>
        <v>11749.918914763337</v>
      </c>
      <c r="Q79" s="7">
        <f>IFERROR(SUM(Q75:Q78), 0)</f>
        <v>-56802.716603067842</v>
      </c>
    </row>
    <row r="80" spans="1:17" ht="15" thickTop="1" x14ac:dyDescent="0.3">
      <c r="A80" s="5"/>
      <c r="C80" s="5"/>
      <c r="D80" s="4">
        <f t="shared" ref="D80:O80" si="8">IFERROR(D79/D10, 0)</f>
        <v>-0.46199809134543601</v>
      </c>
      <c r="E80" s="4">
        <f t="shared" si="8"/>
        <v>4.9010467390415334E-2</v>
      </c>
      <c r="F80" s="4">
        <f t="shared" si="8"/>
        <v>1.4319823471534382E-2</v>
      </c>
      <c r="G80" s="4">
        <f t="shared" si="8"/>
        <v>-5.2455215058766727E-2</v>
      </c>
      <c r="H80" s="4">
        <f t="shared" si="8"/>
        <v>-0.11184238268649309</v>
      </c>
      <c r="I80" s="4">
        <f t="shared" si="8"/>
        <v>-7.0603694516818888E-2</v>
      </c>
      <c r="J80" s="4">
        <f t="shared" si="8"/>
        <v>1.3745131846373135E-2</v>
      </c>
      <c r="K80" s="4">
        <f t="shared" si="8"/>
        <v>1.4655908010976519E-2</v>
      </c>
      <c r="L80" s="4">
        <f t="shared" si="8"/>
        <v>-1.4304286796720573E-2</v>
      </c>
      <c r="M80" s="4">
        <f t="shared" si="8"/>
        <v>-3.4832664058889941E-2</v>
      </c>
      <c r="N80" s="4">
        <f t="shared" si="8"/>
        <v>-3.6219070734189791E-2</v>
      </c>
      <c r="O80" s="4">
        <f t="shared" si="8"/>
        <v>0.29549137196366909</v>
      </c>
      <c r="P80" s="18"/>
      <c r="Q80" s="4">
        <f>IFERROR(Q79/Q10, 0)</f>
        <v>-8.0830344939903584E-2</v>
      </c>
    </row>
    <row r="81" spans="1:17" x14ac:dyDescent="0.3">
      <c r="A81" s="5"/>
      <c r="B81" s="30">
        <v>44462.678423958336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1"/>
    </row>
    <row r="82" spans="1:17" x14ac:dyDescent="0.3">
      <c r="A82" s="5"/>
      <c r="B82" s="31" t="s">
        <v>54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1"/>
    </row>
    <row r="83" spans="1:17" x14ac:dyDescent="0.3">
      <c r="A83" s="5"/>
      <c r="B83" s="2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Q83" s="11"/>
    </row>
    <row r="84" spans="1:17" x14ac:dyDescent="0.3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Q84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s">
        <v>137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rgb="FF92D05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e">
        <f ca="1">CONCATENATE("Department ",_xll.OneStop.ReportPlayer.OSRFunctions.OSRPar("Department"), " - ", _xll.OneStop.ReportPlayer.OSRFunctions.OSRGet("d_dim0","Description"))</f>
        <v>#NAME?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rgb="FF92D05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158</v>
      </c>
    </row>
    <row r="5" spans="1:8" x14ac:dyDescent="0.3">
      <c r="A5" s="15"/>
      <c r="B5" s="15" t="e">
        <f ca="1">CONCATENATE("Department ",_xll.OneStop.ReportPlayer.OSRFunctions.OSRPar("Department"), " - ", _xll.OneStop.ReportPlayer.OSRFunctions.OSRGet("d_dim0","Description"))</f>
        <v>#NAME?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257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rgb="FF92D050"/>
    <outlinePr summaryBelow="0" summaryRight="0"/>
    <pageSetUpPr fitToPage="1"/>
  </sheetPr>
  <dimension ref="A2:H41"/>
  <sheetViews>
    <sheetView zoomScale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RowHeight="14.4" outlineLevelRow="1" x14ac:dyDescent="0.3"/>
  <cols>
    <col min="1" max="1" width="1.88671875" customWidth="1"/>
    <col min="2" max="2" width="33.44140625" bestFit="1" customWidth="1"/>
    <col min="3" max="3" width="1.88671875" customWidth="1"/>
    <col min="4" max="5" width="15" customWidth="1"/>
    <col min="6" max="6" width="1.88671875" customWidth="1"/>
    <col min="7" max="7" width="15" customWidth="1"/>
  </cols>
  <sheetData>
    <row r="2" spans="1:8" x14ac:dyDescent="0.3">
      <c r="B2" s="27" t="s">
        <v>23</v>
      </c>
    </row>
    <row r="3" spans="1:8" x14ac:dyDescent="0.3">
      <c r="B3" s="27" t="s">
        <v>122</v>
      </c>
    </row>
    <row r="4" spans="1:8" x14ac:dyDescent="0.3">
      <c r="B4" s="33" t="s">
        <v>200</v>
      </c>
    </row>
    <row r="5" spans="1:8" x14ac:dyDescent="0.3">
      <c r="A5" s="15"/>
      <c r="B5" s="15" t="e">
        <f ca="1">CONCATENATE("Department ",_xll.OneStop.ReportPlayer.OSRFunctions.OSRPar("Department"), " - ", _xll.OneStop.ReportPlayer.OSRFunctions.OSRGet("d_dim0","Description"))</f>
        <v>#NAME?</v>
      </c>
    </row>
    <row r="6" spans="1:8" x14ac:dyDescent="0.3">
      <c r="B6" s="5"/>
      <c r="C6" s="5"/>
    </row>
    <row r="7" spans="1:8" x14ac:dyDescent="0.3">
      <c r="B7" s="5"/>
      <c r="C7" s="5"/>
      <c r="D7" s="12" t="s">
        <v>77</v>
      </c>
      <c r="E7" s="12" t="s">
        <v>292</v>
      </c>
    </row>
    <row r="8" spans="1:8" x14ac:dyDescent="0.3">
      <c r="A8" s="6"/>
      <c r="B8" s="32"/>
      <c r="C8" s="6"/>
      <c r="D8" s="12" t="e">
        <f ca="1">CONCATENATE("Period ", _xll.OneStop.ReportPlayer.OSRFunctions.OSRGet("Period","PeriodInYear"))</f>
        <v>#NAME?</v>
      </c>
      <c r="E8" s="12" t="e">
        <f ca="1">CONCATENATE("Period ", _xll.OneStop.ReportPlayer.OSRFunctions.OSRGet("Period","PeriodInYear"))</f>
        <v>#NAME?</v>
      </c>
      <c r="G8" s="12" t="s">
        <v>197</v>
      </c>
    </row>
    <row r="9" spans="1:8" ht="15.6" x14ac:dyDescent="0.3">
      <c r="A9" s="5"/>
      <c r="B9" s="26"/>
      <c r="C9" s="5"/>
      <c r="D9" s="5"/>
      <c r="E9" s="5"/>
      <c r="G9" s="5"/>
    </row>
    <row r="10" spans="1:8" collapsed="1" x14ac:dyDescent="0.3">
      <c r="A10" s="5"/>
      <c r="B10" s="16" t="s">
        <v>291</v>
      </c>
      <c r="C10" s="5"/>
      <c r="D10" s="3" t="e">
        <f ca="1">SUM(_xll.OneStop.ReportPlayer.OSRFunctions.OSRRef(D11))</f>
        <v>#NAME?</v>
      </c>
      <c r="E10" s="3" t="e">
        <f ca="1">SUM(_xll.OneStop.ReportPlayer.OSRFunctions.OSRRef(E11))</f>
        <v>#NAME?</v>
      </c>
      <c r="F10" s="24"/>
      <c r="G10" s="3" t="e">
        <f ca="1">SUM(_xll.OneStop.ReportPlayer.OSRFunctions.OSRRef(G11))</f>
        <v>#NAME?</v>
      </c>
      <c r="H10" s="24"/>
    </row>
    <row r="11" spans="1:8" s="9" customFormat="1" hidden="1" outlineLevel="1" x14ac:dyDescent="0.3">
      <c r="A11" s="22"/>
      <c r="B11" s="10" t="e">
        <f ca="1">CONCATENATE("          ",_xll.OneStop.ReportPlayer.OSRFunctions.OSRGet("d_Account","Code"), " - ",_xll.OneStop.ReportPlayer.OSRFunctions.OSRGet("d_Account","Description"))</f>
        <v>#NAME?</v>
      </c>
      <c r="C11" s="23"/>
      <c r="D11" s="2" t="e">
        <f ca="1">-_xll.OneStop.ReportPlayer.OSRFunctions.OSRGet("GL_F_Trans","Value1")</f>
        <v>#NAME?</v>
      </c>
      <c r="E11" s="2" t="e">
        <f ca="1">_xll.OneStop.ReportPlayer.OSRFunctions.OSRGet("GL_F_Trans","Value1")</f>
        <v>#NAME?</v>
      </c>
      <c r="G11" s="2" t="e">
        <f ca="1">SUM(_xll.OneStop.ReportPlayer.OSRFunctions.OSRRef(D11))+IFERROR(SUM(_xll.OneStop.ReportPlayer.OSRFunctions.OSRRef(E11)),0)</f>
        <v>#NAME?</v>
      </c>
    </row>
    <row r="12" spans="1:8" x14ac:dyDescent="0.3">
      <c r="A12" s="5"/>
      <c r="B12" s="6"/>
      <c r="C12" s="5"/>
      <c r="D12" s="3"/>
      <c r="E12" s="3"/>
      <c r="G12" s="3"/>
    </row>
    <row r="13" spans="1:8" s="9" customFormat="1" collapsed="1" x14ac:dyDescent="0.3">
      <c r="A13" s="22"/>
      <c r="B13" s="16" t="s">
        <v>218</v>
      </c>
      <c r="C13" s="23"/>
      <c r="D13" s="3" t="e">
        <f ca="1">SUM(_xll.OneStop.ReportPlayer.OSRFunctions.OSRRef(D14))</f>
        <v>#NAME?</v>
      </c>
      <c r="E13" s="3" t="e">
        <f ca="1">SUM(_xll.OneStop.ReportPlayer.OSRFunctions.OSRRef(E14))</f>
        <v>#NAME?</v>
      </c>
      <c r="G13" s="3" t="e">
        <f ca="1">SUM(_xll.OneStop.ReportPlayer.OSRFunctions.OSRRef(G14))</f>
        <v>#NAME?</v>
      </c>
    </row>
    <row r="14" spans="1:8" s="9" customFormat="1" hidden="1" outlineLevel="1" x14ac:dyDescent="0.3">
      <c r="A14" s="22"/>
      <c r="B14" s="10" t="e">
        <f ca="1">CONCATENATE("          ",_xll.OneStop.ReportPlayer.OSRFunctions.OSRGet("d_Account","Code"), " - ",_xll.OneStop.ReportPlayer.OSRFunctions.OSRGet("d_Account","Description"))</f>
        <v>#NAME?</v>
      </c>
      <c r="C14" s="23"/>
      <c r="D14" s="2" t="e">
        <f ca="1">_xll.OneStop.ReportPlayer.OSRFunctions.OSRGet("GL_F_Trans","Value1")</f>
        <v>#NAME?</v>
      </c>
      <c r="E14" s="2" t="e">
        <f ca="1">_xll.OneStop.ReportPlayer.OSRFunctions.OSRGet("GL_F_Trans","Value1")</f>
        <v>#NAME?</v>
      </c>
      <c r="G14" s="2" t="e">
        <f ca="1">SUM(_xll.OneStop.ReportPlayer.OSRFunctions.OSRRef(D14))+IFERROR(SUM(_xll.OneStop.ReportPlayer.OSRFunctions.OSRRef(E14)),0)</f>
        <v>#NAME?</v>
      </c>
    </row>
    <row r="15" spans="1:8" x14ac:dyDescent="0.3">
      <c r="A15" s="5"/>
      <c r="B15" s="6"/>
      <c r="C15" s="6"/>
      <c r="D15" s="3"/>
      <c r="E15" s="3"/>
      <c r="G15" s="3"/>
    </row>
    <row r="16" spans="1:8" s="15" customFormat="1" x14ac:dyDescent="0.3">
      <c r="A16" s="6"/>
      <c r="B16" s="17" t="s">
        <v>105</v>
      </c>
      <c r="C16" s="17"/>
      <c r="D16" s="8">
        <f t="shared" ref="D16:E16" ca="1" si="0">IFERROR(+D10-D13, 0)</f>
        <v>0</v>
      </c>
      <c r="E16" s="8">
        <f t="shared" ca="1" si="0"/>
        <v>0</v>
      </c>
      <c r="G16" s="8">
        <f ca="1">IFERROR(+G10-G13, 0)</f>
        <v>0</v>
      </c>
    </row>
    <row r="17" spans="1:7" s="6" customFormat="1" x14ac:dyDescent="0.3">
      <c r="B17" s="16"/>
      <c r="C17" s="16"/>
      <c r="D17" s="4">
        <f t="shared" ref="D17:E17" ca="1" si="1">IFERROR(D16/D10, 0)</f>
        <v>0</v>
      </c>
      <c r="E17" s="4">
        <f t="shared" ca="1" si="1"/>
        <v>0</v>
      </c>
      <c r="F17" s="18"/>
      <c r="G17" s="4">
        <f ca="1">IFERROR(G16/G10, 0)</f>
        <v>0</v>
      </c>
    </row>
    <row r="18" spans="1:7" x14ac:dyDescent="0.3">
      <c r="A18" s="5"/>
      <c r="B18" s="6"/>
      <c r="C18" s="5"/>
      <c r="D18" s="1"/>
      <c r="E18" s="1"/>
      <c r="G18" s="1"/>
    </row>
    <row r="19" spans="1:7" s="15" customFormat="1" x14ac:dyDescent="0.3">
      <c r="A19" s="6"/>
      <c r="B19" s="16" t="s">
        <v>255</v>
      </c>
      <c r="C19" s="6"/>
      <c r="D19" s="13" t="e">
        <f ca="1">SUM(_xll.OneStop.ReportPlayer.OSRFunctions.OSRRef(D20))</f>
        <v>#NAME?</v>
      </c>
      <c r="E19" s="13" t="e">
        <f ca="1">SUM(_xll.OneStop.ReportPlayer.OSRFunctions.OSRRef(E20))</f>
        <v>#NAME?</v>
      </c>
      <c r="G19" s="13" t="e">
        <f ca="1">SUM(_xll.OneStop.ReportPlayer.OSRFunctions.OSRRef(G20))</f>
        <v>#NAME?</v>
      </c>
    </row>
    <row r="20" spans="1:7" s="34" customFormat="1" collapsed="1" x14ac:dyDescent="0.3">
      <c r="A20" s="35"/>
      <c r="B20" s="14" t="e">
        <f ca="1">CONCATENATE("     ",_xll.OneStop.ReportPlayer.OSRFunctions.OSRGet("d_Account","AccountCategory"))</f>
        <v>#NAME?</v>
      </c>
      <c r="C20" s="14"/>
      <c r="D20" s="1" t="e">
        <f ca="1">SUM(_xll.OneStop.ReportPlayer.OSRFunctions.OSRRef(D21))</f>
        <v>#NAME?</v>
      </c>
      <c r="E20" s="1" t="e">
        <f ca="1">SUM(_xll.OneStop.ReportPlayer.OSRFunctions.OSRRef(E21))</f>
        <v>#NAME?</v>
      </c>
      <c r="G20" s="2" t="e">
        <f ca="1">SUM(_xll.OneStop.ReportPlayer.OSRFunctions.OSRRef(D20))+IFERROR(SUM(_xll.OneStop.ReportPlayer.OSRFunctions.OSRRef(E20)),0)</f>
        <v>#NAME?</v>
      </c>
    </row>
    <row r="21" spans="1:7" s="34" customFormat="1" hidden="1" outlineLevel="1" x14ac:dyDescent="0.3">
      <c r="A21" s="35"/>
      <c r="B21" s="10" t="e">
        <f ca="1">CONCATENATE("          ",_xll.OneStop.ReportPlayer.OSRFunctions.OSRGet("d_Account","Code"), " - ",_xll.OneStop.ReportPlayer.OSRFunctions.OSRGet("d_Account","Description"))</f>
        <v>#NAME?</v>
      </c>
      <c r="C21" s="14"/>
      <c r="D21" s="2" t="e">
        <f ca="1">_xll.OneStop.ReportPlayer.OSRFunctions.OSRGet("GL_F_Trans","Value1")</f>
        <v>#NAME?</v>
      </c>
      <c r="E21" s="2" t="e">
        <f ca="1">_xll.OneStop.ReportPlayer.OSRFunctions.OSRGet("GL_F_Trans","Value1")</f>
        <v>#NAME?</v>
      </c>
      <c r="F21" s="9"/>
      <c r="G21" s="2" t="e">
        <f ca="1">SUM(_xll.OneStop.ReportPlayer.OSRFunctions.OSRRef(D21))+IFERROR(SUM(_xll.OneStop.ReportPlayer.OSRFunctions.OSRRef(E21)),0)</f>
        <v>#NAME?</v>
      </c>
    </row>
    <row r="22" spans="1:7" s="28" customFormat="1" x14ac:dyDescent="0.3">
      <c r="A22" s="21"/>
      <c r="B22" s="21"/>
      <c r="C22" s="21"/>
      <c r="D22" s="1"/>
      <c r="E22" s="1"/>
      <c r="G22" s="1"/>
    </row>
    <row r="23" spans="1:7" s="9" customFormat="1" x14ac:dyDescent="0.3">
      <c r="A23" s="22"/>
      <c r="B23" s="16" t="s">
        <v>293</v>
      </c>
      <c r="C23" s="23"/>
      <c r="D23" s="3" t="e">
        <f ca="1">-_xll.OneStop.ReportPlayer.OSRFunctions.OSRGet("GL_F_Trans","Value1")</f>
        <v>#NAME?</v>
      </c>
      <c r="E23" s="3" t="e">
        <f ca="1">_xll.OneStop.ReportPlayer.OSRFunctions.OSRGet("GL_F_Trans","Value1")</f>
        <v>#NAME?</v>
      </c>
      <c r="G23" s="2" t="e">
        <f ca="1">SUM(_xll.OneStop.ReportPlayer.OSRFunctions.OSRRef(D23))+IFERROR(SUM(_xll.OneStop.ReportPlayer.OSRFunctions.OSRRef(E23)),0)</f>
        <v>#NAME?</v>
      </c>
    </row>
    <row r="24" spans="1:7" x14ac:dyDescent="0.3">
      <c r="A24" s="5"/>
      <c r="B24" s="6"/>
      <c r="C24" s="6"/>
      <c r="D24" s="3"/>
      <c r="E24" s="3"/>
      <c r="G24" s="3"/>
    </row>
    <row r="25" spans="1:7" s="15" customFormat="1" x14ac:dyDescent="0.3">
      <c r="A25" s="6"/>
      <c r="B25" s="17" t="s">
        <v>276</v>
      </c>
      <c r="C25" s="17"/>
      <c r="D25" s="8">
        <f t="shared" ref="D25:E25" ca="1" si="2">IFERROR(+D16-D19+D23, 0)</f>
        <v>0</v>
      </c>
      <c r="E25" s="8">
        <f t="shared" ca="1" si="2"/>
        <v>0</v>
      </c>
      <c r="G25" s="8">
        <f ca="1">IFERROR(+G16-G19+G23, 0)</f>
        <v>0</v>
      </c>
    </row>
    <row r="26" spans="1:7" s="6" customFormat="1" x14ac:dyDescent="0.3">
      <c r="B26" s="16"/>
      <c r="C26" s="16"/>
      <c r="D26" s="4">
        <f t="shared" ref="D26:E26" ca="1" si="3">IFERROR(D25/D10, 0)</f>
        <v>0</v>
      </c>
      <c r="E26" s="4">
        <f t="shared" ca="1" si="3"/>
        <v>0</v>
      </c>
      <c r="F26" s="18"/>
      <c r="G26" s="4">
        <f ca="1">IFERROR(G25/G10, 0)</f>
        <v>0</v>
      </c>
    </row>
    <row r="27" spans="1:7" x14ac:dyDescent="0.3">
      <c r="A27" s="5"/>
      <c r="B27" s="6"/>
      <c r="C27" s="5"/>
      <c r="D27" s="3"/>
      <c r="E27" s="3"/>
      <c r="G27" s="3"/>
    </row>
    <row r="28" spans="1:7" s="15" customFormat="1" x14ac:dyDescent="0.3">
      <c r="A28" s="25"/>
      <c r="B28" s="6" t="s">
        <v>125</v>
      </c>
      <c r="C28" s="6"/>
      <c r="D28" s="3" t="e">
        <f ca="1">_xll.OneStop.ReportPlayer.OSRFunctions.OSRGet("GL_F_Trans","Value1")</f>
        <v>#NAME?</v>
      </c>
      <c r="E28" s="3" t="e">
        <f ca="1">_xll.OneStop.ReportPlayer.OSRFunctions.OSRGet("GL_F_Trans","Value1")</f>
        <v>#NAME?</v>
      </c>
      <c r="G28" s="2" t="e">
        <f ca="1">SUM(_xll.OneStop.ReportPlayer.OSRFunctions.OSRRef(D28))+IFERROR(SUM(_xll.OneStop.ReportPlayer.OSRFunctions.OSRRef(E28)),0)</f>
        <v>#NAME?</v>
      </c>
    </row>
    <row r="29" spans="1:7" x14ac:dyDescent="0.3">
      <c r="A29" s="5"/>
      <c r="B29" s="6"/>
      <c r="C29" s="6"/>
      <c r="D29" s="3"/>
      <c r="E29" s="3"/>
      <c r="G29" s="3"/>
    </row>
    <row r="30" spans="1:7" s="15" customFormat="1" ht="15" thickBot="1" x14ac:dyDescent="0.35">
      <c r="A30" s="6"/>
      <c r="B30" s="17" t="s">
        <v>124</v>
      </c>
      <c r="C30" s="17"/>
      <c r="D30" s="7">
        <f t="shared" ref="D30:E30" ca="1" si="4">IFERROR(+D25-D28, 0)</f>
        <v>0</v>
      </c>
      <c r="E30" s="7">
        <f t="shared" ca="1" si="4"/>
        <v>0</v>
      </c>
      <c r="G30" s="7">
        <f ca="1">IFERROR(+G25-G28, 0)</f>
        <v>0</v>
      </c>
    </row>
    <row r="31" spans="1:7" ht="15" thickTop="1" x14ac:dyDescent="0.3">
      <c r="A31" s="5"/>
      <c r="B31" s="5"/>
      <c r="C31" s="5"/>
      <c r="D31" s="4">
        <f t="shared" ref="D31:E31" ca="1" si="5">IFERROR(D30/D10, 0)</f>
        <v>0</v>
      </c>
      <c r="E31" s="4">
        <f t="shared" ca="1" si="5"/>
        <v>0</v>
      </c>
      <c r="F31" s="18"/>
      <c r="G31" s="4">
        <f ca="1">IFERROR(G30/G10, 0)</f>
        <v>0</v>
      </c>
    </row>
    <row r="32" spans="1:7" x14ac:dyDescent="0.3">
      <c r="A32" s="5"/>
      <c r="B32" s="5"/>
      <c r="C32" s="5"/>
      <c r="D32" s="3"/>
      <c r="E32" s="3"/>
      <c r="G32" s="3"/>
    </row>
    <row r="33" spans="1:7" s="15" customFormat="1" x14ac:dyDescent="0.3">
      <c r="A33" s="25"/>
      <c r="B33" s="6" t="s">
        <v>182</v>
      </c>
      <c r="C33" s="6"/>
      <c r="D33" s="3" t="e">
        <f ca="1">-_xll.OneStop.ReportPlayer.OSRFunctions.OSRGet("GL_F_Trans","Value1")</f>
        <v>#NAME?</v>
      </c>
      <c r="E33" s="3" t="e">
        <f ca="1">-_xll.OneStop.ReportPlayer.OSRFunctions.OSRGet("GL_F_Trans","Value1")</f>
        <v>#NAME?</v>
      </c>
      <c r="G33" s="2" t="e">
        <f ca="1">SUM(_xll.OneStop.ReportPlayer.OSRFunctions.OSRRef(D33))+IFERROR(SUM(_xll.OneStop.ReportPlayer.OSRFunctions.OSRRef(E33)),0)</f>
        <v>#NAME?</v>
      </c>
    </row>
    <row r="34" spans="1:7" s="15" customFormat="1" x14ac:dyDescent="0.3">
      <c r="A34" s="25"/>
      <c r="B34" s="6" t="s">
        <v>79</v>
      </c>
      <c r="C34" s="6"/>
      <c r="D34" s="3" t="e">
        <f ca="1">-_xll.OneStop.ReportPlayer.OSRFunctions.OSRGet("GL_F_Trans","Value1")</f>
        <v>#NAME?</v>
      </c>
      <c r="E34" s="3" t="e">
        <f ca="1">-_xll.OneStop.ReportPlayer.OSRFunctions.OSRGet("GL_F_Trans","Value1")</f>
        <v>#NAME?</v>
      </c>
      <c r="G34" s="2" t="e">
        <f ca="1">SUM(_xll.OneStop.ReportPlayer.OSRFunctions.OSRRef(D34))+IFERROR(SUM(_xll.OneStop.ReportPlayer.OSRFunctions.OSRRef(E34)),0)</f>
        <v>#NAME?</v>
      </c>
    </row>
    <row r="35" spans="1:7" x14ac:dyDescent="0.3">
      <c r="A35" s="5"/>
      <c r="B35" s="5"/>
      <c r="C35" s="5"/>
      <c r="D35" s="3"/>
      <c r="E35" s="3"/>
      <c r="G35" s="3"/>
    </row>
    <row r="36" spans="1:7" s="15" customFormat="1" ht="15" thickBot="1" x14ac:dyDescent="0.35">
      <c r="A36" s="6"/>
      <c r="B36" s="17" t="s">
        <v>294</v>
      </c>
      <c r="C36" s="17"/>
      <c r="D36" s="7">
        <f t="shared" ref="D36:E36" ca="1" si="6">IFERROR(SUM(D30:D35), 0)</f>
        <v>0</v>
      </c>
      <c r="E36" s="7">
        <f t="shared" ca="1" si="6"/>
        <v>0</v>
      </c>
      <c r="G36" s="7">
        <f ca="1">IFERROR(SUM(G30:G35), 0)</f>
        <v>0</v>
      </c>
    </row>
    <row r="37" spans="1:7" ht="15" thickTop="1" x14ac:dyDescent="0.3">
      <c r="A37" s="5"/>
      <c r="C37" s="5"/>
      <c r="D37" s="4">
        <f t="shared" ref="D37:E37" ca="1" si="7">IFERROR(D36/D10, 0)</f>
        <v>0</v>
      </c>
      <c r="E37" s="4">
        <f t="shared" ca="1" si="7"/>
        <v>0</v>
      </c>
      <c r="F37" s="18"/>
      <c r="G37" s="4">
        <f ca="1">IFERROR(G36/G10, 0)</f>
        <v>0</v>
      </c>
    </row>
    <row r="38" spans="1:7" x14ac:dyDescent="0.3">
      <c r="A38" s="5"/>
      <c r="B38" s="30" t="e">
        <f ca="1">_xll.OneStop.ReportPlayer.OSRFunctions.OSRGet("CurrentDate","Date")</f>
        <v>#NAME?</v>
      </c>
      <c r="D38" s="11"/>
      <c r="E38" s="11"/>
      <c r="G38" s="11"/>
    </row>
    <row r="39" spans="1:7" x14ac:dyDescent="0.3">
      <c r="A39" s="5"/>
      <c r="B39" s="31" t="e">
        <f ca="1">_xll.OneStop.ReportPlayer.OSRFunctions.OSRGet("User","UserId")</f>
        <v>#NAME?</v>
      </c>
      <c r="D39" s="11"/>
      <c r="E39" s="11"/>
      <c r="G39" s="11"/>
    </row>
    <row r="40" spans="1:7" x14ac:dyDescent="0.3">
      <c r="A40" s="5"/>
      <c r="B40" s="29"/>
      <c r="D40" s="11"/>
      <c r="E40" s="11"/>
      <c r="G40" s="11"/>
    </row>
    <row r="41" spans="1:7" x14ac:dyDescent="0.3">
      <c r="D41" s="11"/>
      <c r="E41" s="11"/>
      <c r="G41" s="11"/>
    </row>
  </sheetData>
  <pageMargins left="0.25" right="0.25" top="0.75" bottom="0.75" header="0.3" footer="0.3"/>
  <pageSetup scale="83" orientation="landscape"/>
  <colBreaks count="1" manualBreakCount="1">
    <brk id="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92</vt:i4>
      </vt:variant>
      <vt:variant>
        <vt:lpstr>Named Ranges</vt:lpstr>
      </vt:variant>
      <vt:variant>
        <vt:i4>14826</vt:i4>
      </vt:variant>
    </vt:vector>
  </HeadingPairs>
  <TitlesOfParts>
    <vt:vector size="14918" baseType="lpstr">
      <vt:lpstr>Interface</vt:lpstr>
      <vt:lpstr>DataSetting</vt:lpstr>
      <vt:lpstr>Summary</vt:lpstr>
      <vt:lpstr>OSR_Summary_18VAVWG</vt:lpstr>
      <vt:lpstr>OSR_Current ...69b7dd8c_1IEQKFK</vt:lpstr>
      <vt:lpstr>OSR_Div 1_7H47HR</vt:lpstr>
      <vt:lpstr>OSR_Dept (2)_...dd5b15a0_2T6PUA</vt:lpstr>
      <vt:lpstr>OSR_Div 2_1PQ800A</vt:lpstr>
      <vt:lpstr>OSR_Div 1 (2...9b2bdc94_1Y8VZ4A</vt:lpstr>
      <vt:lpstr>OSR_Div 3_18723PH</vt:lpstr>
      <vt:lpstr>OSR_Div 1 (3...74ea2e91_1YANJVT</vt:lpstr>
      <vt:lpstr>OSR_300_IYZXI6</vt:lpstr>
      <vt:lpstr>OSR_Div 1 (4)...cdd6f638_NQSRHK</vt:lpstr>
      <vt:lpstr>OSR_300 &amp; 317_1C00ID4</vt:lpstr>
      <vt:lpstr>OSR_Div 1 (5)...14c61d9ac_RUIH7</vt:lpstr>
      <vt:lpstr>OSR_310_1CMTOSB</vt:lpstr>
      <vt:lpstr>OSR_Div 1 (6)...754b1b2a_ZV1FUK</vt:lpstr>
      <vt:lpstr>OSR_330_10VFP5Y</vt:lpstr>
      <vt:lpstr>OSR_Div 1 (7)...77c4adfc_YECVQC</vt:lpstr>
      <vt:lpstr>OSR_308_UAWDAG</vt:lpstr>
      <vt:lpstr>OSR_Div 1 (8...54681dd8_1N56J6G</vt:lpstr>
      <vt:lpstr>OSR_331_10VKQAJ</vt:lpstr>
      <vt:lpstr>OSR_Div 1 (9)...81df0cf4_TBZUNU</vt:lpstr>
      <vt:lpstr>OSR_332_6NDVBW</vt:lpstr>
      <vt:lpstr>OSR_Div 1 (10...e834aaf2_4B2R3Z</vt:lpstr>
      <vt:lpstr>OSR_Div 4_1740TMT</vt:lpstr>
      <vt:lpstr>OSR_Div 1 (1...42fef80a_1JUNUIZ</vt:lpstr>
      <vt:lpstr>OSR_310 &amp; 491_1NGRCS9</vt:lpstr>
      <vt:lpstr>OSR_Div 4 (2)...a8a8204b_XPPX5M</vt:lpstr>
      <vt:lpstr>OSR_491_9Z9JH5</vt:lpstr>
      <vt:lpstr>OSR_310 &amp; 491...c23f2d59_X1JXXU</vt:lpstr>
      <vt:lpstr>OSR_492_943FP1</vt:lpstr>
      <vt:lpstr>OSR_310 &amp; 49...76bf5af7_1A2901X</vt:lpstr>
      <vt:lpstr>OSR_Div 5_16NAZO2</vt:lpstr>
      <vt:lpstr>OSR_310 &amp; 49...7615ada9_1PJ8EDG</vt:lpstr>
      <vt:lpstr>OSR_Div 6_P37YY7</vt:lpstr>
      <vt:lpstr>OSR_Div 5 (2...bac05800_1LZIM8H</vt:lpstr>
      <vt:lpstr>Div 1</vt:lpstr>
      <vt:lpstr>100</vt:lpstr>
      <vt:lpstr>Div 2</vt:lpstr>
      <vt:lpstr>200</vt:lpstr>
      <vt:lpstr>Div 3</vt:lpstr>
      <vt:lpstr>201</vt:lpstr>
      <vt:lpstr>202</vt:lpstr>
      <vt:lpstr>203</vt:lpstr>
      <vt:lpstr>204</vt:lpstr>
      <vt:lpstr>205</vt:lpstr>
      <vt:lpstr>206</vt:lpstr>
      <vt:lpstr>300</vt:lpstr>
      <vt:lpstr>300 &amp; 317</vt:lpstr>
      <vt:lpstr>301</vt:lpstr>
      <vt:lpstr>330</vt:lpstr>
      <vt:lpstr>307</vt:lpstr>
      <vt:lpstr>308</vt:lpstr>
      <vt:lpstr>311</vt:lpstr>
      <vt:lpstr>324</vt:lpstr>
      <vt:lpstr>331</vt:lpstr>
      <vt:lpstr>315</vt:lpstr>
      <vt:lpstr>326</vt:lpstr>
      <vt:lpstr>332</vt:lpstr>
      <vt:lpstr>316</vt:lpstr>
      <vt:lpstr>Div 6</vt:lpstr>
      <vt:lpstr>317</vt:lpstr>
      <vt:lpstr>310</vt:lpstr>
      <vt:lpstr>309</vt:lpstr>
      <vt:lpstr>313</vt:lpstr>
      <vt:lpstr>321</vt:lpstr>
      <vt:lpstr>325</vt:lpstr>
      <vt:lpstr>327</vt:lpstr>
      <vt:lpstr>Div 4</vt:lpstr>
      <vt:lpstr>310 &amp; 491</vt:lpstr>
      <vt:lpstr>491</vt:lpstr>
      <vt:lpstr>405</vt:lpstr>
      <vt:lpstr>411</vt:lpstr>
      <vt:lpstr>412</vt:lpstr>
      <vt:lpstr>413</vt:lpstr>
      <vt:lpstr>415</vt:lpstr>
      <vt:lpstr>418</vt:lpstr>
      <vt:lpstr>423</vt:lpstr>
      <vt:lpstr>424</vt:lpstr>
      <vt:lpstr>425</vt:lpstr>
      <vt:lpstr>455</vt:lpstr>
      <vt:lpstr>492</vt:lpstr>
      <vt:lpstr>430</vt:lpstr>
      <vt:lpstr>433</vt:lpstr>
      <vt:lpstr>444</vt:lpstr>
      <vt:lpstr>450</vt:lpstr>
      <vt:lpstr>Div 5</vt:lpstr>
      <vt:lpstr>501</vt:lpstr>
      <vt:lpstr>Dept</vt:lpstr>
      <vt:lpstr>OSR_Dept_Y0WUKY</vt:lpstr>
      <vt:lpstr>OSR_Summary (...56e5d78f_5JEYZH</vt:lpstr>
      <vt:lpstr>'300'!OSRRefD11_0x</vt:lpstr>
      <vt:lpstr>'300 &amp; 317'!OSRRefD11_0x</vt:lpstr>
      <vt:lpstr>'307'!OSRRefD11_0x</vt:lpstr>
      <vt:lpstr>'308'!OSRRefD11_0x</vt:lpstr>
      <vt:lpstr>'310'!OSRRefD11_0x</vt:lpstr>
      <vt:lpstr>'310 &amp; 491'!OSRRefD11_0x</vt:lpstr>
      <vt:lpstr>'311'!OSRRefD11_0x</vt:lpstr>
      <vt:lpstr>'315'!OSRRefD11_0x</vt:lpstr>
      <vt:lpstr>'316'!OSRRefD11_0x</vt:lpstr>
      <vt:lpstr>'317'!OSRRefD11_0x</vt:lpstr>
      <vt:lpstr>'321'!OSRRefD11_0x</vt:lpstr>
      <vt:lpstr>'324'!OSRRefD11_0x</vt:lpstr>
      <vt:lpstr>'325'!OSRRefD11_0x</vt:lpstr>
      <vt:lpstr>'326'!OSRRefD11_0x</vt:lpstr>
      <vt:lpstr>'327'!OSRRefD11_0x</vt:lpstr>
      <vt:lpstr>'330'!OSRRefD11_0x</vt:lpstr>
      <vt:lpstr>'331'!OSRRefD11_0x</vt:lpstr>
      <vt:lpstr>'332'!OSRRefD11_0x</vt:lpstr>
      <vt:lpstr>'405'!OSRRefD11_0x</vt:lpstr>
      <vt:lpstr>'415'!OSRRefD11_0x</vt:lpstr>
      <vt:lpstr>'418'!OSRRefD11_0x</vt:lpstr>
      <vt:lpstr>'433'!OSRRefD11_0x</vt:lpstr>
      <vt:lpstr>'444'!OSRRefD11_0x</vt:lpstr>
      <vt:lpstr>'450'!OSRRefD11_0x</vt:lpstr>
      <vt:lpstr>'491'!OSRRefD11_0x</vt:lpstr>
      <vt:lpstr>'492'!OSRRefD11_0x</vt:lpstr>
      <vt:lpstr>'501'!OSRRefD11_0x</vt:lpstr>
      <vt:lpstr>'Div 3'!OSRRefD11_0x</vt:lpstr>
      <vt:lpstr>'Div 4'!OSRRefD11_0x</vt:lpstr>
      <vt:lpstr>'Div 5'!OSRRefD11_0x</vt:lpstr>
      <vt:lpstr>'Div 6'!OSRRefD11_0x</vt:lpstr>
      <vt:lpstr>Summary!OSRRefD11_0x</vt:lpstr>
      <vt:lpstr>'300'!OSRRefD11_1x</vt:lpstr>
      <vt:lpstr>'300 &amp; 317'!OSRRefD11_1x</vt:lpstr>
      <vt:lpstr>'307'!OSRRefD11_1x</vt:lpstr>
      <vt:lpstr>'308'!OSRRefD11_1x</vt:lpstr>
      <vt:lpstr>'310'!OSRRefD11_1x</vt:lpstr>
      <vt:lpstr>'310 &amp; 491'!OSRRefD11_1x</vt:lpstr>
      <vt:lpstr>'311'!OSRRefD11_1x</vt:lpstr>
      <vt:lpstr>'315'!OSRRefD11_1x</vt:lpstr>
      <vt:lpstr>'316'!OSRRefD11_1x</vt:lpstr>
      <vt:lpstr>'317'!OSRRefD11_1x</vt:lpstr>
      <vt:lpstr>'321'!OSRRefD11_1x</vt:lpstr>
      <vt:lpstr>'324'!OSRRefD11_1x</vt:lpstr>
      <vt:lpstr>'325'!OSRRefD11_1x</vt:lpstr>
      <vt:lpstr>'326'!OSRRefD11_1x</vt:lpstr>
      <vt:lpstr>'330'!OSRRefD11_1x</vt:lpstr>
      <vt:lpstr>'331'!OSRRefD11_1x</vt:lpstr>
      <vt:lpstr>'332'!OSRRefD11_1x</vt:lpstr>
      <vt:lpstr>'405'!OSRRefD11_1x</vt:lpstr>
      <vt:lpstr>'415'!OSRRefD11_1x</vt:lpstr>
      <vt:lpstr>'418'!OSRRefD11_1x</vt:lpstr>
      <vt:lpstr>'444'!OSRRefD11_1x</vt:lpstr>
      <vt:lpstr>'491'!OSRRefD11_1x</vt:lpstr>
      <vt:lpstr>'492'!OSRRefD11_1x</vt:lpstr>
      <vt:lpstr>'Div 3'!OSRRefD11_1x</vt:lpstr>
      <vt:lpstr>'Div 4'!OSRRefD11_1x</vt:lpstr>
      <vt:lpstr>'Div 6'!OSRRefD11_1x</vt:lpstr>
      <vt:lpstr>Summary!OSRRefD11_1x</vt:lpstr>
      <vt:lpstr>'300'!OSRRefD11_2x</vt:lpstr>
      <vt:lpstr>'300 &amp; 317'!OSRRefD11_2x</vt:lpstr>
      <vt:lpstr>'308'!OSRRefD11_2x</vt:lpstr>
      <vt:lpstr>'310 &amp; 491'!OSRRefD11_2x</vt:lpstr>
      <vt:lpstr>'311'!OSRRefD11_2x</vt:lpstr>
      <vt:lpstr>'315'!OSRRefD11_2x</vt:lpstr>
      <vt:lpstr>'316'!OSRRefD11_2x</vt:lpstr>
      <vt:lpstr>'317'!OSRRefD11_2x</vt:lpstr>
      <vt:lpstr>'326'!OSRRefD11_2x</vt:lpstr>
      <vt:lpstr>'331'!OSRRefD11_2x</vt:lpstr>
      <vt:lpstr>'332'!OSRRefD11_2x</vt:lpstr>
      <vt:lpstr>'415'!OSRRefD11_2x</vt:lpstr>
      <vt:lpstr>'444'!OSRRefD11_2x</vt:lpstr>
      <vt:lpstr>'491'!OSRRefD11_2x</vt:lpstr>
      <vt:lpstr>'492'!OSRRefD11_2x</vt:lpstr>
      <vt:lpstr>'Div 3'!OSRRefD11_2x</vt:lpstr>
      <vt:lpstr>'Div 4'!OSRRefD11_2x</vt:lpstr>
      <vt:lpstr>'Div 6'!OSRRefD11_2x</vt:lpstr>
      <vt:lpstr>Summary!OSRRefD11_2x</vt:lpstr>
      <vt:lpstr>'300'!OSRRefD11_3x</vt:lpstr>
      <vt:lpstr>'300 &amp; 317'!OSRRefD11_3x</vt:lpstr>
      <vt:lpstr>'308'!OSRRefD11_3x</vt:lpstr>
      <vt:lpstr>'310 &amp; 491'!OSRRefD11_3x</vt:lpstr>
      <vt:lpstr>'311'!OSRRefD11_3x</vt:lpstr>
      <vt:lpstr>'315'!OSRRefD11_3x</vt:lpstr>
      <vt:lpstr>'317'!OSRRefD11_3x</vt:lpstr>
      <vt:lpstr>'331'!OSRRefD11_3x</vt:lpstr>
      <vt:lpstr>'415'!OSRRefD11_3x</vt:lpstr>
      <vt:lpstr>'444'!OSRRefD11_3x</vt:lpstr>
      <vt:lpstr>'491'!OSRRefD11_3x</vt:lpstr>
      <vt:lpstr>'492'!OSRRefD11_3x</vt:lpstr>
      <vt:lpstr>'Div 3'!OSRRefD11_3x</vt:lpstr>
      <vt:lpstr>'Div 4'!OSRRefD11_3x</vt:lpstr>
      <vt:lpstr>'Div 6'!OSRRefD11_3x</vt:lpstr>
      <vt:lpstr>Summary!OSRRefD11_3x</vt:lpstr>
      <vt:lpstr>'300'!OSRRefD11_4x</vt:lpstr>
      <vt:lpstr>'300 &amp; 317'!OSRRefD11_4x</vt:lpstr>
      <vt:lpstr>'Div 3'!OSRRefD11_4x</vt:lpstr>
      <vt:lpstr>'Div 4'!OSRRefD11_4x</vt:lpstr>
      <vt:lpstr>Summary!OSRRefD11_4x</vt:lpstr>
      <vt:lpstr>'Div 4'!OSRRefD11_5x</vt:lpstr>
      <vt:lpstr>Summary!OSRRefD11_5x</vt:lpstr>
      <vt:lpstr>Summary!OSRRefD11_6x</vt:lpstr>
      <vt:lpstr>Summary!OSRRefD11_7x</vt:lpstr>
      <vt:lpstr>Summary!OSRRefD11_8x</vt:lpstr>
      <vt:lpstr>'300'!OSRRefD11x_0</vt:lpstr>
      <vt:lpstr>'300 &amp; 317'!OSRRefD11x_0</vt:lpstr>
      <vt:lpstr>'307'!OSRRefD11x_0</vt:lpstr>
      <vt:lpstr>'308'!OSRRefD11x_0</vt:lpstr>
      <vt:lpstr>'310'!OSRRefD11x_0</vt:lpstr>
      <vt:lpstr>'310 &amp; 491'!OSRRefD11x_0</vt:lpstr>
      <vt:lpstr>'311'!OSRRefD11x_0</vt:lpstr>
      <vt:lpstr>'315'!OSRRefD11x_0</vt:lpstr>
      <vt:lpstr>'316'!OSRRefD11x_0</vt:lpstr>
      <vt:lpstr>'317'!OSRRefD11x_0</vt:lpstr>
      <vt:lpstr>'321'!OSRRefD11x_0</vt:lpstr>
      <vt:lpstr>'324'!OSRRefD11x_0</vt:lpstr>
      <vt:lpstr>'325'!OSRRefD11x_0</vt:lpstr>
      <vt:lpstr>'326'!OSRRefD11x_0</vt:lpstr>
      <vt:lpstr>'327'!OSRRefD11x_0</vt:lpstr>
      <vt:lpstr>'330'!OSRRefD11x_0</vt:lpstr>
      <vt:lpstr>'331'!OSRRefD11x_0</vt:lpstr>
      <vt:lpstr>'332'!OSRRefD11x_0</vt:lpstr>
      <vt:lpstr>'405'!OSRRefD11x_0</vt:lpstr>
      <vt:lpstr>'415'!OSRRefD11x_0</vt:lpstr>
      <vt:lpstr>'418'!OSRRefD11x_0</vt:lpstr>
      <vt:lpstr>'433'!OSRRefD11x_0</vt:lpstr>
      <vt:lpstr>'444'!OSRRefD11x_0</vt:lpstr>
      <vt:lpstr>'450'!OSRRefD11x_0</vt:lpstr>
      <vt:lpstr>'491'!OSRRefD11x_0</vt:lpstr>
      <vt:lpstr>'492'!OSRRefD11x_0</vt:lpstr>
      <vt:lpstr>'501'!OSRRefD11x_0</vt:lpstr>
      <vt:lpstr>'Div 3'!OSRRefD11x_0</vt:lpstr>
      <vt:lpstr>'Div 4'!OSRRefD11x_0</vt:lpstr>
      <vt:lpstr>'Div 5'!OSRRefD11x_0</vt:lpstr>
      <vt:lpstr>'Div 6'!OSRRefD11x_0</vt:lpstr>
      <vt:lpstr>Summary!OSRRefD11x_0</vt:lpstr>
      <vt:lpstr>'300'!OSRRefD14_0x</vt:lpstr>
      <vt:lpstr>'300 &amp; 317'!OSRRefD14_0x</vt:lpstr>
      <vt:lpstr>'307'!OSRRefD14_0x</vt:lpstr>
      <vt:lpstr>'308'!OSRRefD14_0x</vt:lpstr>
      <vt:lpstr>'310'!OSRRefD14_0x</vt:lpstr>
      <vt:lpstr>'310 &amp; 491'!OSRRefD14_0x</vt:lpstr>
      <vt:lpstr>'311'!OSRRefD14_0x</vt:lpstr>
      <vt:lpstr>'315'!OSRRefD14_0x</vt:lpstr>
      <vt:lpstr>'316'!OSRRefD14_0x</vt:lpstr>
      <vt:lpstr>'317'!OSRRefD14_0x</vt:lpstr>
      <vt:lpstr>'321'!OSRRefD14_0x</vt:lpstr>
      <vt:lpstr>'324'!OSRRefD14_0x</vt:lpstr>
      <vt:lpstr>'325'!OSRRefD14_0x</vt:lpstr>
      <vt:lpstr>'326'!OSRRefD14_0x</vt:lpstr>
      <vt:lpstr>'327'!OSRRefD14_0x</vt:lpstr>
      <vt:lpstr>'330'!OSRRefD14_0x</vt:lpstr>
      <vt:lpstr>'331'!OSRRefD14_0x</vt:lpstr>
      <vt:lpstr>'332'!OSRRefD14_0x</vt:lpstr>
      <vt:lpstr>'405'!OSRRefD14_0x</vt:lpstr>
      <vt:lpstr>'415'!OSRRefD14_0x</vt:lpstr>
      <vt:lpstr>'418'!OSRRefD14_0x</vt:lpstr>
      <vt:lpstr>'425'!OSRRefD14_0x</vt:lpstr>
      <vt:lpstr>'433'!OSRRefD14_0x</vt:lpstr>
      <vt:lpstr>'444'!OSRRefD14_0x</vt:lpstr>
      <vt:lpstr>'450'!OSRRefD14_0x</vt:lpstr>
      <vt:lpstr>'491'!OSRRefD14_0x</vt:lpstr>
      <vt:lpstr>'492'!OSRRefD14_0x</vt:lpstr>
      <vt:lpstr>'Div 3'!OSRRefD14_0x</vt:lpstr>
      <vt:lpstr>'Div 4'!OSRRefD14_0x</vt:lpstr>
      <vt:lpstr>'Div 6'!OSRRefD14_0x</vt:lpstr>
      <vt:lpstr>Summary!OSRRefD14_0x</vt:lpstr>
      <vt:lpstr>'300'!OSRRefD14_10x</vt:lpstr>
      <vt:lpstr>'300 &amp; 317'!OSRRefD14_10x</vt:lpstr>
      <vt:lpstr>'315'!OSRRefD14_10x</vt:lpstr>
      <vt:lpstr>'331'!OSRRefD14_10x</vt:lpstr>
      <vt:lpstr>'Div 3'!OSRRefD14_10x</vt:lpstr>
      <vt:lpstr>Summary!OSRRefD14_10x</vt:lpstr>
      <vt:lpstr>'300'!OSRRefD14_11x</vt:lpstr>
      <vt:lpstr>'300 &amp; 317'!OSRRefD14_11x</vt:lpstr>
      <vt:lpstr>'315'!OSRRefD14_11x</vt:lpstr>
      <vt:lpstr>'331'!OSRRefD14_11x</vt:lpstr>
      <vt:lpstr>'Div 3'!OSRRefD14_11x</vt:lpstr>
      <vt:lpstr>Summary!OSRRefD14_11x</vt:lpstr>
      <vt:lpstr>'300'!OSRRefD14_12x</vt:lpstr>
      <vt:lpstr>'300 &amp; 317'!OSRRefD14_12x</vt:lpstr>
      <vt:lpstr>'315'!OSRRefD14_12x</vt:lpstr>
      <vt:lpstr>'331'!OSRRefD14_12x</vt:lpstr>
      <vt:lpstr>'Div 3'!OSRRefD14_12x</vt:lpstr>
      <vt:lpstr>Summary!OSRRefD14_12x</vt:lpstr>
      <vt:lpstr>'300'!OSRRefD14_13x</vt:lpstr>
      <vt:lpstr>'300 &amp; 317'!OSRRefD14_13x</vt:lpstr>
      <vt:lpstr>'315'!OSRRefD14_13x</vt:lpstr>
      <vt:lpstr>'331'!OSRRefD14_13x</vt:lpstr>
      <vt:lpstr>'Div 3'!OSRRefD14_13x</vt:lpstr>
      <vt:lpstr>Summary!OSRRefD14_13x</vt:lpstr>
      <vt:lpstr>'300'!OSRRefD14_14x</vt:lpstr>
      <vt:lpstr>'300 &amp; 317'!OSRRefD14_14x</vt:lpstr>
      <vt:lpstr>'315'!OSRRefD14_14x</vt:lpstr>
      <vt:lpstr>'331'!OSRRefD14_14x</vt:lpstr>
      <vt:lpstr>'Div 3'!OSRRefD14_14x</vt:lpstr>
      <vt:lpstr>Summary!OSRRefD14_14x</vt:lpstr>
      <vt:lpstr>'300'!OSRRefD14_15x</vt:lpstr>
      <vt:lpstr>'300 &amp; 317'!OSRRefD14_15x</vt:lpstr>
      <vt:lpstr>'Div 3'!OSRRefD14_15x</vt:lpstr>
      <vt:lpstr>Summary!OSRRefD14_15x</vt:lpstr>
      <vt:lpstr>'300'!OSRRefD14_16x</vt:lpstr>
      <vt:lpstr>'300 &amp; 317'!OSRRefD14_16x</vt:lpstr>
      <vt:lpstr>'Div 3'!OSRRefD14_16x</vt:lpstr>
      <vt:lpstr>Summary!OSRRefD14_16x</vt:lpstr>
      <vt:lpstr>'300'!OSRRefD14_17x</vt:lpstr>
      <vt:lpstr>'300 &amp; 317'!OSRRefD14_17x</vt:lpstr>
      <vt:lpstr>'Div 3'!OSRRefD14_17x</vt:lpstr>
      <vt:lpstr>Summary!OSRRefD14_17x</vt:lpstr>
      <vt:lpstr>'300'!OSRRefD14_18x</vt:lpstr>
      <vt:lpstr>'300 &amp; 317'!OSRRefD14_18x</vt:lpstr>
      <vt:lpstr>'Div 3'!OSRRefD14_18x</vt:lpstr>
      <vt:lpstr>Summary!OSRRefD14_18x</vt:lpstr>
      <vt:lpstr>'300'!OSRRefD14_19x</vt:lpstr>
      <vt:lpstr>'300 &amp; 317'!OSRRefD14_19x</vt:lpstr>
      <vt:lpstr>'Div 3'!OSRRefD14_19x</vt:lpstr>
      <vt:lpstr>Summary!OSRRefD14_19x</vt:lpstr>
      <vt:lpstr>'300'!OSRRefD14_1x</vt:lpstr>
      <vt:lpstr>'300 &amp; 317'!OSRRefD14_1x</vt:lpstr>
      <vt:lpstr>'308'!OSRRefD14_1x</vt:lpstr>
      <vt:lpstr>'310'!OSRRefD14_1x</vt:lpstr>
      <vt:lpstr>'310 &amp; 491'!OSRRefD14_1x</vt:lpstr>
      <vt:lpstr>'311'!OSRRefD14_1x</vt:lpstr>
      <vt:lpstr>'315'!OSRRefD14_1x</vt:lpstr>
      <vt:lpstr>'317'!OSRRefD14_1x</vt:lpstr>
      <vt:lpstr>'325'!OSRRefD14_1x</vt:lpstr>
      <vt:lpstr>'326'!OSRRefD14_1x</vt:lpstr>
      <vt:lpstr>'331'!OSRRefD14_1x</vt:lpstr>
      <vt:lpstr>'415'!OSRRefD14_1x</vt:lpstr>
      <vt:lpstr>'444'!OSRRefD14_1x</vt:lpstr>
      <vt:lpstr>'491'!OSRRefD14_1x</vt:lpstr>
      <vt:lpstr>'492'!OSRRefD14_1x</vt:lpstr>
      <vt:lpstr>'Div 3'!OSRRefD14_1x</vt:lpstr>
      <vt:lpstr>'Div 4'!OSRRefD14_1x</vt:lpstr>
      <vt:lpstr>'Div 6'!OSRRefD14_1x</vt:lpstr>
      <vt:lpstr>Summary!OSRRefD14_1x</vt:lpstr>
      <vt:lpstr>'300'!OSRRefD14_20x</vt:lpstr>
      <vt:lpstr>'300 &amp; 317'!OSRRefD14_20x</vt:lpstr>
      <vt:lpstr>'Div 3'!OSRRefD14_20x</vt:lpstr>
      <vt:lpstr>Summary!OSRRefD14_20x</vt:lpstr>
      <vt:lpstr>'300 &amp; 317'!OSRRefD14_21x</vt:lpstr>
      <vt:lpstr>'Div 3'!OSRRefD14_21x</vt:lpstr>
      <vt:lpstr>Summary!OSRRefD14_21x</vt:lpstr>
      <vt:lpstr>'300 &amp; 317'!OSRRefD14_22x</vt:lpstr>
      <vt:lpstr>Summary!OSRRefD14_22x</vt:lpstr>
      <vt:lpstr>'300 &amp; 317'!OSRRefD14_23x</vt:lpstr>
      <vt:lpstr>Summary!OSRRefD14_23x</vt:lpstr>
      <vt:lpstr>'300 &amp; 317'!OSRRefD14_24x</vt:lpstr>
      <vt:lpstr>Summary!OSRRefD14_24x</vt:lpstr>
      <vt:lpstr>'300 &amp; 317'!OSRRefD14_25x</vt:lpstr>
      <vt:lpstr>Summary!OSRRefD14_25x</vt:lpstr>
      <vt:lpstr>'300 &amp; 317'!OSRRefD14_26x</vt:lpstr>
      <vt:lpstr>Summary!OSRRefD14_26x</vt:lpstr>
      <vt:lpstr>Summary!OSRRefD14_27x</vt:lpstr>
      <vt:lpstr>Summary!OSRRefD14_28x</vt:lpstr>
      <vt:lpstr>'300'!OSRRefD14_2x</vt:lpstr>
      <vt:lpstr>'300 &amp; 317'!OSRRefD14_2x</vt:lpstr>
      <vt:lpstr>'308'!OSRRefD14_2x</vt:lpstr>
      <vt:lpstr>'310 &amp; 491'!OSRRefD14_2x</vt:lpstr>
      <vt:lpstr>'311'!OSRRefD14_2x</vt:lpstr>
      <vt:lpstr>'315'!OSRRefD14_2x</vt:lpstr>
      <vt:lpstr>'317'!OSRRefD14_2x</vt:lpstr>
      <vt:lpstr>'331'!OSRRefD14_2x</vt:lpstr>
      <vt:lpstr>'415'!OSRRefD14_2x</vt:lpstr>
      <vt:lpstr>'444'!OSRRefD14_2x</vt:lpstr>
      <vt:lpstr>'491'!OSRRefD14_2x</vt:lpstr>
      <vt:lpstr>'492'!OSRRefD14_2x</vt:lpstr>
      <vt:lpstr>'Div 3'!OSRRefD14_2x</vt:lpstr>
      <vt:lpstr>'Div 4'!OSRRefD14_2x</vt:lpstr>
      <vt:lpstr>'Div 6'!OSRRefD14_2x</vt:lpstr>
      <vt:lpstr>Summary!OSRRefD14_2x</vt:lpstr>
      <vt:lpstr>'300'!OSRRefD14_3x</vt:lpstr>
      <vt:lpstr>'300 &amp; 317'!OSRRefD14_3x</vt:lpstr>
      <vt:lpstr>'308'!OSRRefD14_3x</vt:lpstr>
      <vt:lpstr>'311'!OSRRefD14_3x</vt:lpstr>
      <vt:lpstr>'315'!OSRRefD14_3x</vt:lpstr>
      <vt:lpstr>'317'!OSRRefD14_3x</vt:lpstr>
      <vt:lpstr>'331'!OSRRefD14_3x</vt:lpstr>
      <vt:lpstr>'Div 3'!OSRRefD14_3x</vt:lpstr>
      <vt:lpstr>'Div 6'!OSRRefD14_3x</vt:lpstr>
      <vt:lpstr>Summary!OSRRefD14_3x</vt:lpstr>
      <vt:lpstr>'300'!OSRRefD14_4x</vt:lpstr>
      <vt:lpstr>'300 &amp; 317'!OSRRefD14_4x</vt:lpstr>
      <vt:lpstr>'308'!OSRRefD14_4x</vt:lpstr>
      <vt:lpstr>'311'!OSRRefD14_4x</vt:lpstr>
      <vt:lpstr>'315'!OSRRefD14_4x</vt:lpstr>
      <vt:lpstr>'317'!OSRRefD14_4x</vt:lpstr>
      <vt:lpstr>'331'!OSRRefD14_4x</vt:lpstr>
      <vt:lpstr>'Div 3'!OSRRefD14_4x</vt:lpstr>
      <vt:lpstr>'Div 6'!OSRRefD14_4x</vt:lpstr>
      <vt:lpstr>Summary!OSRRefD14_4x</vt:lpstr>
      <vt:lpstr>'300'!OSRRefD14_5x</vt:lpstr>
      <vt:lpstr>'300 &amp; 317'!OSRRefD14_5x</vt:lpstr>
      <vt:lpstr>'308'!OSRRefD14_5x</vt:lpstr>
      <vt:lpstr>'311'!OSRRefD14_5x</vt:lpstr>
      <vt:lpstr>'315'!OSRRefD14_5x</vt:lpstr>
      <vt:lpstr>'317'!OSRRefD14_5x</vt:lpstr>
      <vt:lpstr>'331'!OSRRefD14_5x</vt:lpstr>
      <vt:lpstr>'Div 3'!OSRRefD14_5x</vt:lpstr>
      <vt:lpstr>'Div 6'!OSRRefD14_5x</vt:lpstr>
      <vt:lpstr>Summary!OSRRefD14_5x</vt:lpstr>
      <vt:lpstr>'300'!OSRRefD14_6x</vt:lpstr>
      <vt:lpstr>'300 &amp; 317'!OSRRefD14_6x</vt:lpstr>
      <vt:lpstr>'308'!OSRRefD14_6x</vt:lpstr>
      <vt:lpstr>'311'!OSRRefD14_6x</vt:lpstr>
      <vt:lpstr>'315'!OSRRefD14_6x</vt:lpstr>
      <vt:lpstr>'317'!OSRRefD14_6x</vt:lpstr>
      <vt:lpstr>'331'!OSRRefD14_6x</vt:lpstr>
      <vt:lpstr>'Div 3'!OSRRefD14_6x</vt:lpstr>
      <vt:lpstr>'Div 6'!OSRRefD14_6x</vt:lpstr>
      <vt:lpstr>Summary!OSRRefD14_6x</vt:lpstr>
      <vt:lpstr>'300'!OSRRefD14_7x</vt:lpstr>
      <vt:lpstr>'300 &amp; 317'!OSRRefD14_7x</vt:lpstr>
      <vt:lpstr>'308'!OSRRefD14_7x</vt:lpstr>
      <vt:lpstr>'311'!OSRRefD14_7x</vt:lpstr>
      <vt:lpstr>'315'!OSRRefD14_7x</vt:lpstr>
      <vt:lpstr>'317'!OSRRefD14_7x</vt:lpstr>
      <vt:lpstr>'331'!OSRRefD14_7x</vt:lpstr>
      <vt:lpstr>'Div 3'!OSRRefD14_7x</vt:lpstr>
      <vt:lpstr>'Div 6'!OSRRefD14_7x</vt:lpstr>
      <vt:lpstr>Summary!OSRRefD14_7x</vt:lpstr>
      <vt:lpstr>'300'!OSRRefD14_8x</vt:lpstr>
      <vt:lpstr>'300 &amp; 317'!OSRRefD14_8x</vt:lpstr>
      <vt:lpstr>'308'!OSRRefD14_8x</vt:lpstr>
      <vt:lpstr>'311'!OSRRefD14_8x</vt:lpstr>
      <vt:lpstr>'315'!OSRRefD14_8x</vt:lpstr>
      <vt:lpstr>'317'!OSRRefD14_8x</vt:lpstr>
      <vt:lpstr>'331'!OSRRefD14_8x</vt:lpstr>
      <vt:lpstr>'Div 3'!OSRRefD14_8x</vt:lpstr>
      <vt:lpstr>'Div 6'!OSRRefD14_8x</vt:lpstr>
      <vt:lpstr>Summary!OSRRefD14_8x</vt:lpstr>
      <vt:lpstr>'300'!OSRRefD14_9x</vt:lpstr>
      <vt:lpstr>'300 &amp; 317'!OSRRefD14_9x</vt:lpstr>
      <vt:lpstr>'308'!OSRRefD14_9x</vt:lpstr>
      <vt:lpstr>'311'!OSRRefD14_9x</vt:lpstr>
      <vt:lpstr>'315'!OSRRefD14_9x</vt:lpstr>
      <vt:lpstr>'317'!OSRRefD14_9x</vt:lpstr>
      <vt:lpstr>'331'!OSRRefD14_9x</vt:lpstr>
      <vt:lpstr>'Div 3'!OSRRefD14_9x</vt:lpstr>
      <vt:lpstr>'Div 6'!OSRRefD14_9x</vt:lpstr>
      <vt:lpstr>Summary!OSRRefD14_9x</vt:lpstr>
      <vt:lpstr>'300'!OSRRefD14x_0</vt:lpstr>
      <vt:lpstr>'300 &amp; 317'!OSRRefD14x_0</vt:lpstr>
      <vt:lpstr>'307'!OSRRefD14x_0</vt:lpstr>
      <vt:lpstr>'308'!OSRRefD14x_0</vt:lpstr>
      <vt:lpstr>'310'!OSRRefD14x_0</vt:lpstr>
      <vt:lpstr>'310 &amp; 491'!OSRRefD14x_0</vt:lpstr>
      <vt:lpstr>'311'!OSRRefD14x_0</vt:lpstr>
      <vt:lpstr>'315'!OSRRefD14x_0</vt:lpstr>
      <vt:lpstr>'316'!OSRRefD14x_0</vt:lpstr>
      <vt:lpstr>'317'!OSRRefD14x_0</vt:lpstr>
      <vt:lpstr>'321'!OSRRefD14x_0</vt:lpstr>
      <vt:lpstr>'324'!OSRRefD14x_0</vt:lpstr>
      <vt:lpstr>'325'!OSRRefD14x_0</vt:lpstr>
      <vt:lpstr>'326'!OSRRefD14x_0</vt:lpstr>
      <vt:lpstr>'327'!OSRRefD14x_0</vt:lpstr>
      <vt:lpstr>'330'!OSRRefD14x_0</vt:lpstr>
      <vt:lpstr>'331'!OSRRefD14x_0</vt:lpstr>
      <vt:lpstr>'332'!OSRRefD14x_0</vt:lpstr>
      <vt:lpstr>'405'!OSRRefD14x_0</vt:lpstr>
      <vt:lpstr>'415'!OSRRefD14x_0</vt:lpstr>
      <vt:lpstr>'418'!OSRRefD14x_0</vt:lpstr>
      <vt:lpstr>'425'!OSRRefD14x_0</vt:lpstr>
      <vt:lpstr>'433'!OSRRefD14x_0</vt:lpstr>
      <vt:lpstr>'444'!OSRRefD14x_0</vt:lpstr>
      <vt:lpstr>'450'!OSRRefD14x_0</vt:lpstr>
      <vt:lpstr>'491'!OSRRefD14x_0</vt:lpstr>
      <vt:lpstr>'492'!OSRRefD14x_0</vt:lpstr>
      <vt:lpstr>'Div 3'!OSRRefD14x_0</vt:lpstr>
      <vt:lpstr>'Div 4'!OSRRefD14x_0</vt:lpstr>
      <vt:lpstr>'Div 6'!OSRRefD14x_0</vt:lpstr>
      <vt:lpstr>Summary!OSRRefD14x_0</vt:lpstr>
      <vt:lpstr>'200'!OSRRefD20_0x</vt:lpstr>
      <vt:lpstr>'201'!OSRRefD20_0x</vt:lpstr>
      <vt:lpstr>'202'!OSRRefD20_0x</vt:lpstr>
      <vt:lpstr>'203'!OSRRefD20_0x</vt:lpstr>
      <vt:lpstr>'204'!OSRRefD20_0x</vt:lpstr>
      <vt:lpstr>'205'!OSRRefD20_0x</vt:lpstr>
      <vt:lpstr>'206'!OSRRefD20_0x</vt:lpstr>
      <vt:lpstr>'300'!OSRRefD20_0x</vt:lpstr>
      <vt:lpstr>'300 &amp; 317'!OSRRefD20_0x</vt:lpstr>
      <vt:lpstr>'301'!OSRRefD20_0x</vt:lpstr>
      <vt:lpstr>'307'!OSRRefD20_0x</vt:lpstr>
      <vt:lpstr>'308'!OSRRefD20_0x</vt:lpstr>
      <vt:lpstr>'309'!OSRRefD20_0x</vt:lpstr>
      <vt:lpstr>'310'!OSRRefD20_0x</vt:lpstr>
      <vt:lpstr>'310 &amp; 491'!OSRRefD20_0x</vt:lpstr>
      <vt:lpstr>'311'!OSRRefD20_0x</vt:lpstr>
      <vt:lpstr>'313'!OSRRefD20_0x</vt:lpstr>
      <vt:lpstr>'315'!OSRRefD20_0x</vt:lpstr>
      <vt:lpstr>'316'!OSRRefD20_0x</vt:lpstr>
      <vt:lpstr>'317'!OSRRefD20_0x</vt:lpstr>
      <vt:lpstr>'321'!OSRRefD20_0x</vt:lpstr>
      <vt:lpstr>'325'!OSRRefD20_0x</vt:lpstr>
      <vt:lpstr>'326'!OSRRefD20_0x</vt:lpstr>
      <vt:lpstr>'327'!OSRRefD20_0x</vt:lpstr>
      <vt:lpstr>'330'!OSRRefD20_0x</vt:lpstr>
      <vt:lpstr>'331'!OSRRefD20_0x</vt:lpstr>
      <vt:lpstr>'332'!OSRRefD20_0x</vt:lpstr>
      <vt:lpstr>'405'!OSRRefD20_0x</vt:lpstr>
      <vt:lpstr>'411'!OSRRefD20_0x</vt:lpstr>
      <vt:lpstr>'412'!OSRRefD20_0x</vt:lpstr>
      <vt:lpstr>'413'!OSRRefD20_0x</vt:lpstr>
      <vt:lpstr>'415'!OSRRefD20_0x</vt:lpstr>
      <vt:lpstr>'418'!OSRRefD20_0x</vt:lpstr>
      <vt:lpstr>'423'!OSRRefD20_0x</vt:lpstr>
      <vt:lpstr>'424'!OSRRefD20_0x</vt:lpstr>
      <vt:lpstr>'425'!OSRRefD20_0x</vt:lpstr>
      <vt:lpstr>'430'!OSRRefD20_0x</vt:lpstr>
      <vt:lpstr>'433'!OSRRefD20_0x</vt:lpstr>
      <vt:lpstr>'444'!OSRRefD20_0x</vt:lpstr>
      <vt:lpstr>'450'!OSRRefD20_0x</vt:lpstr>
      <vt:lpstr>'491'!OSRRefD20_0x</vt:lpstr>
      <vt:lpstr>'492'!OSRRefD20_0x</vt:lpstr>
      <vt:lpstr>'501'!OSRRefD20_0x</vt:lpstr>
      <vt:lpstr>'Div 2'!OSRRefD20_0x</vt:lpstr>
      <vt:lpstr>'Div 3'!OSRRefD20_0x</vt:lpstr>
      <vt:lpstr>'Div 4'!OSRRefD20_0x</vt:lpstr>
      <vt:lpstr>'Div 5'!OSRRefD20_0x</vt:lpstr>
      <vt:lpstr>'Div 6'!OSRRefD20_0x</vt:lpstr>
      <vt:lpstr>Summary!OSRRefD20_0x</vt:lpstr>
      <vt:lpstr>'201'!OSRRefD20_10x</vt:lpstr>
      <vt:lpstr>'202'!OSRRefD20_10x</vt:lpstr>
      <vt:lpstr>'203'!OSRRefD20_10x</vt:lpstr>
      <vt:lpstr>'300'!OSRRefD20_10x</vt:lpstr>
      <vt:lpstr>'300 &amp; 317'!OSRRefD20_10x</vt:lpstr>
      <vt:lpstr>'301'!OSRRefD20_10x</vt:lpstr>
      <vt:lpstr>'308'!OSRRefD20_10x</vt:lpstr>
      <vt:lpstr>'310'!OSRRefD20_10x</vt:lpstr>
      <vt:lpstr>'310 &amp; 491'!OSRRefD20_10x</vt:lpstr>
      <vt:lpstr>'311'!OSRRefD20_10x</vt:lpstr>
      <vt:lpstr>'315'!OSRRefD20_10x</vt:lpstr>
      <vt:lpstr>'321'!OSRRefD20_10x</vt:lpstr>
      <vt:lpstr>'325'!OSRRefD20_10x</vt:lpstr>
      <vt:lpstr>'326'!OSRRefD20_10x</vt:lpstr>
      <vt:lpstr>'331'!OSRRefD20_10x</vt:lpstr>
      <vt:lpstr>'405'!OSRRefD20_10x</vt:lpstr>
      <vt:lpstr>'411'!OSRRefD20_10x</vt:lpstr>
      <vt:lpstr>'415'!OSRRefD20_10x</vt:lpstr>
      <vt:lpstr>'418'!OSRRefD20_10x</vt:lpstr>
      <vt:lpstr>'433'!OSRRefD20_10x</vt:lpstr>
      <vt:lpstr>'444'!OSRRefD20_10x</vt:lpstr>
      <vt:lpstr>'450'!OSRRefD20_10x</vt:lpstr>
      <vt:lpstr>'491'!OSRRefD20_10x</vt:lpstr>
      <vt:lpstr>'492'!OSRRefD20_10x</vt:lpstr>
      <vt:lpstr>'501'!OSRRefD20_10x</vt:lpstr>
      <vt:lpstr>'Div 2'!OSRRefD20_10x</vt:lpstr>
      <vt:lpstr>'Div 3'!OSRRefD20_10x</vt:lpstr>
      <vt:lpstr>'Div 4'!OSRRefD20_10x</vt:lpstr>
      <vt:lpstr>'Div 5'!OSRRefD20_10x</vt:lpstr>
      <vt:lpstr>Summary!OSRRefD20_10x</vt:lpstr>
      <vt:lpstr>'201'!OSRRefD20_11x</vt:lpstr>
      <vt:lpstr>'202'!OSRRefD20_11x</vt:lpstr>
      <vt:lpstr>'203'!OSRRefD20_11x</vt:lpstr>
      <vt:lpstr>'300'!OSRRefD20_11x</vt:lpstr>
      <vt:lpstr>'300 &amp; 317'!OSRRefD20_11x</vt:lpstr>
      <vt:lpstr>'301'!OSRRefD20_11x</vt:lpstr>
      <vt:lpstr>'308'!OSRRefD20_11x</vt:lpstr>
      <vt:lpstr>'310'!OSRRefD20_11x</vt:lpstr>
      <vt:lpstr>'310 &amp; 491'!OSRRefD20_11x</vt:lpstr>
      <vt:lpstr>'311'!OSRRefD20_11x</vt:lpstr>
      <vt:lpstr>'315'!OSRRefD20_11x</vt:lpstr>
      <vt:lpstr>'321'!OSRRefD20_11x</vt:lpstr>
      <vt:lpstr>'325'!OSRRefD20_11x</vt:lpstr>
      <vt:lpstr>'326'!OSRRefD20_11x</vt:lpstr>
      <vt:lpstr>'331'!OSRRefD20_11x</vt:lpstr>
      <vt:lpstr>'405'!OSRRefD20_11x</vt:lpstr>
      <vt:lpstr>'411'!OSRRefD20_11x</vt:lpstr>
      <vt:lpstr>'415'!OSRRefD20_11x</vt:lpstr>
      <vt:lpstr>'418'!OSRRefD20_11x</vt:lpstr>
      <vt:lpstr>'433'!OSRRefD20_11x</vt:lpstr>
      <vt:lpstr>'444'!OSRRefD20_11x</vt:lpstr>
      <vt:lpstr>'450'!OSRRefD20_11x</vt:lpstr>
      <vt:lpstr>'491'!OSRRefD20_11x</vt:lpstr>
      <vt:lpstr>'492'!OSRRefD20_11x</vt:lpstr>
      <vt:lpstr>'501'!OSRRefD20_11x</vt:lpstr>
      <vt:lpstr>'Div 2'!OSRRefD20_11x</vt:lpstr>
      <vt:lpstr>'Div 3'!OSRRefD20_11x</vt:lpstr>
      <vt:lpstr>'Div 4'!OSRRefD20_11x</vt:lpstr>
      <vt:lpstr>'Div 5'!OSRRefD20_11x</vt:lpstr>
      <vt:lpstr>Summary!OSRRefD20_11x</vt:lpstr>
      <vt:lpstr>'201'!OSRRefD20_12x</vt:lpstr>
      <vt:lpstr>'203'!OSRRefD20_12x</vt:lpstr>
      <vt:lpstr>'300'!OSRRefD20_12x</vt:lpstr>
      <vt:lpstr>'300 &amp; 317'!OSRRefD20_12x</vt:lpstr>
      <vt:lpstr>'301'!OSRRefD20_12x</vt:lpstr>
      <vt:lpstr>'308'!OSRRefD20_12x</vt:lpstr>
      <vt:lpstr>'310'!OSRRefD20_12x</vt:lpstr>
      <vt:lpstr>'310 &amp; 491'!OSRRefD20_12x</vt:lpstr>
      <vt:lpstr>'311'!OSRRefD20_12x</vt:lpstr>
      <vt:lpstr>'315'!OSRRefD20_12x</vt:lpstr>
      <vt:lpstr>'325'!OSRRefD20_12x</vt:lpstr>
      <vt:lpstr>'326'!OSRRefD20_12x</vt:lpstr>
      <vt:lpstr>'331'!OSRRefD20_12x</vt:lpstr>
      <vt:lpstr>'405'!OSRRefD20_12x</vt:lpstr>
      <vt:lpstr>'411'!OSRRefD20_12x</vt:lpstr>
      <vt:lpstr>'415'!OSRRefD20_12x</vt:lpstr>
      <vt:lpstr>'418'!OSRRefD20_12x</vt:lpstr>
      <vt:lpstr>'433'!OSRRefD20_12x</vt:lpstr>
      <vt:lpstr>'444'!OSRRefD20_12x</vt:lpstr>
      <vt:lpstr>'450'!OSRRefD20_12x</vt:lpstr>
      <vt:lpstr>'491'!OSRRefD20_12x</vt:lpstr>
      <vt:lpstr>'492'!OSRRefD20_12x</vt:lpstr>
      <vt:lpstr>'501'!OSRRefD20_12x</vt:lpstr>
      <vt:lpstr>'Div 2'!OSRRefD20_12x</vt:lpstr>
      <vt:lpstr>'Div 3'!OSRRefD20_12x</vt:lpstr>
      <vt:lpstr>'Div 4'!OSRRefD20_12x</vt:lpstr>
      <vt:lpstr>'Div 5'!OSRRefD20_12x</vt:lpstr>
      <vt:lpstr>Summary!OSRRefD20_12x</vt:lpstr>
      <vt:lpstr>'201'!OSRRefD20_13x</vt:lpstr>
      <vt:lpstr>'203'!OSRRefD20_13x</vt:lpstr>
      <vt:lpstr>'300'!OSRRefD20_13x</vt:lpstr>
      <vt:lpstr>'300 &amp; 317'!OSRRefD20_13x</vt:lpstr>
      <vt:lpstr>'301'!OSRRefD20_13x</vt:lpstr>
      <vt:lpstr>'310'!OSRRefD20_13x</vt:lpstr>
      <vt:lpstr>'310 &amp; 491'!OSRRefD20_13x</vt:lpstr>
      <vt:lpstr>'315'!OSRRefD20_13x</vt:lpstr>
      <vt:lpstr>'325'!OSRRefD20_13x</vt:lpstr>
      <vt:lpstr>'326'!OSRRefD20_13x</vt:lpstr>
      <vt:lpstr>'331'!OSRRefD20_13x</vt:lpstr>
      <vt:lpstr>'405'!OSRRefD20_13x</vt:lpstr>
      <vt:lpstr>'415'!OSRRefD20_13x</vt:lpstr>
      <vt:lpstr>'418'!OSRRefD20_13x</vt:lpstr>
      <vt:lpstr>'433'!OSRRefD20_13x</vt:lpstr>
      <vt:lpstr>'444'!OSRRefD20_13x</vt:lpstr>
      <vt:lpstr>'450'!OSRRefD20_13x</vt:lpstr>
      <vt:lpstr>'491'!OSRRefD20_13x</vt:lpstr>
      <vt:lpstr>'492'!OSRRefD20_13x</vt:lpstr>
      <vt:lpstr>'501'!OSRRefD20_13x</vt:lpstr>
      <vt:lpstr>'Div 2'!OSRRefD20_13x</vt:lpstr>
      <vt:lpstr>'Div 3'!OSRRefD20_13x</vt:lpstr>
      <vt:lpstr>'Div 4'!OSRRefD20_13x</vt:lpstr>
      <vt:lpstr>'Div 5'!OSRRefD20_13x</vt:lpstr>
      <vt:lpstr>Summary!OSRRefD20_13x</vt:lpstr>
      <vt:lpstr>'201'!OSRRefD20_14x</vt:lpstr>
      <vt:lpstr>'203'!OSRRefD20_14x</vt:lpstr>
      <vt:lpstr>'300'!OSRRefD20_14x</vt:lpstr>
      <vt:lpstr>'300 &amp; 317'!OSRRefD20_14x</vt:lpstr>
      <vt:lpstr>'301'!OSRRefD20_14x</vt:lpstr>
      <vt:lpstr>'310'!OSRRefD20_14x</vt:lpstr>
      <vt:lpstr>'310 &amp; 491'!OSRRefD20_14x</vt:lpstr>
      <vt:lpstr>'315'!OSRRefD20_14x</vt:lpstr>
      <vt:lpstr>'325'!OSRRefD20_14x</vt:lpstr>
      <vt:lpstr>'326'!OSRRefD20_14x</vt:lpstr>
      <vt:lpstr>'331'!OSRRefD20_14x</vt:lpstr>
      <vt:lpstr>'405'!OSRRefD20_14x</vt:lpstr>
      <vt:lpstr>'415'!OSRRefD20_14x</vt:lpstr>
      <vt:lpstr>'418'!OSRRefD20_14x</vt:lpstr>
      <vt:lpstr>'433'!OSRRefD20_14x</vt:lpstr>
      <vt:lpstr>'444'!OSRRefD20_14x</vt:lpstr>
      <vt:lpstr>'450'!OSRRefD20_14x</vt:lpstr>
      <vt:lpstr>'491'!OSRRefD20_14x</vt:lpstr>
      <vt:lpstr>'492'!OSRRefD20_14x</vt:lpstr>
      <vt:lpstr>'Div 2'!OSRRefD20_14x</vt:lpstr>
      <vt:lpstr>'Div 3'!OSRRefD20_14x</vt:lpstr>
      <vt:lpstr>'Div 4'!OSRRefD20_14x</vt:lpstr>
      <vt:lpstr>Summary!OSRRefD20_14x</vt:lpstr>
      <vt:lpstr>'201'!OSRRefD20_15x</vt:lpstr>
      <vt:lpstr>'300'!OSRRefD20_15x</vt:lpstr>
      <vt:lpstr>'300 &amp; 317'!OSRRefD20_15x</vt:lpstr>
      <vt:lpstr>'301'!OSRRefD20_15x</vt:lpstr>
      <vt:lpstr>'310'!OSRRefD20_15x</vt:lpstr>
      <vt:lpstr>'310 &amp; 491'!OSRRefD20_15x</vt:lpstr>
      <vt:lpstr>'315'!OSRRefD20_15x</vt:lpstr>
      <vt:lpstr>'326'!OSRRefD20_15x</vt:lpstr>
      <vt:lpstr>'331'!OSRRefD20_15x</vt:lpstr>
      <vt:lpstr>'405'!OSRRefD20_15x</vt:lpstr>
      <vt:lpstr>'415'!OSRRefD20_15x</vt:lpstr>
      <vt:lpstr>'418'!OSRRefD20_15x</vt:lpstr>
      <vt:lpstr>'433'!OSRRefD20_15x</vt:lpstr>
      <vt:lpstr>'444'!OSRRefD20_15x</vt:lpstr>
      <vt:lpstr>'450'!OSRRefD20_15x</vt:lpstr>
      <vt:lpstr>'491'!OSRRefD20_15x</vt:lpstr>
      <vt:lpstr>'492'!OSRRefD20_15x</vt:lpstr>
      <vt:lpstr>'Div 2'!OSRRefD20_15x</vt:lpstr>
      <vt:lpstr>'Div 3'!OSRRefD20_15x</vt:lpstr>
      <vt:lpstr>'Div 4'!OSRRefD20_15x</vt:lpstr>
      <vt:lpstr>Summary!OSRRefD20_15x</vt:lpstr>
      <vt:lpstr>'300'!OSRRefD20_16x</vt:lpstr>
      <vt:lpstr>'300 &amp; 317'!OSRRefD20_16x</vt:lpstr>
      <vt:lpstr>'301'!OSRRefD20_16x</vt:lpstr>
      <vt:lpstr>'310'!OSRRefD20_16x</vt:lpstr>
      <vt:lpstr>'310 &amp; 491'!OSRRefD20_16x</vt:lpstr>
      <vt:lpstr>'326'!OSRRefD20_16x</vt:lpstr>
      <vt:lpstr>'331'!OSRRefD20_16x</vt:lpstr>
      <vt:lpstr>'415'!OSRRefD20_16x</vt:lpstr>
      <vt:lpstr>'444'!OSRRefD20_16x</vt:lpstr>
      <vt:lpstr>'491'!OSRRefD20_16x</vt:lpstr>
      <vt:lpstr>'492'!OSRRefD20_16x</vt:lpstr>
      <vt:lpstr>'Div 2'!OSRRefD20_16x</vt:lpstr>
      <vt:lpstr>'Div 3'!OSRRefD20_16x</vt:lpstr>
      <vt:lpstr>'Div 4'!OSRRefD20_16x</vt:lpstr>
      <vt:lpstr>Summary!OSRRefD20_16x</vt:lpstr>
      <vt:lpstr>'300'!OSRRefD20_17x</vt:lpstr>
      <vt:lpstr>'300 &amp; 317'!OSRRefD20_17x</vt:lpstr>
      <vt:lpstr>'301'!OSRRefD20_17x</vt:lpstr>
      <vt:lpstr>'310'!OSRRefD20_17x</vt:lpstr>
      <vt:lpstr>'310 &amp; 491'!OSRRefD20_17x</vt:lpstr>
      <vt:lpstr>'331'!OSRRefD20_17x</vt:lpstr>
      <vt:lpstr>'415'!OSRRefD20_17x</vt:lpstr>
      <vt:lpstr>'491'!OSRRefD20_17x</vt:lpstr>
      <vt:lpstr>'492'!OSRRefD20_17x</vt:lpstr>
      <vt:lpstr>'Div 2'!OSRRefD20_17x</vt:lpstr>
      <vt:lpstr>'Div 3'!OSRRefD20_17x</vt:lpstr>
      <vt:lpstr>'Div 4'!OSRRefD20_17x</vt:lpstr>
      <vt:lpstr>Summary!OSRRefD20_17x</vt:lpstr>
      <vt:lpstr>'300'!OSRRefD20_18x</vt:lpstr>
      <vt:lpstr>'300 &amp; 317'!OSRRefD20_18x</vt:lpstr>
      <vt:lpstr>'301'!OSRRefD20_18x</vt:lpstr>
      <vt:lpstr>'310 &amp; 491'!OSRRefD20_18x</vt:lpstr>
      <vt:lpstr>'331'!OSRRefD20_18x</vt:lpstr>
      <vt:lpstr>'491'!OSRRefD20_18x</vt:lpstr>
      <vt:lpstr>'Div 2'!OSRRefD20_18x</vt:lpstr>
      <vt:lpstr>'Div 3'!OSRRefD20_18x</vt:lpstr>
      <vt:lpstr>'Div 4'!OSRRefD20_18x</vt:lpstr>
      <vt:lpstr>Summary!OSRRefD20_18x</vt:lpstr>
      <vt:lpstr>'300'!OSRRefD20_19x</vt:lpstr>
      <vt:lpstr>'300 &amp; 317'!OSRRefD20_19x</vt:lpstr>
      <vt:lpstr>'301'!OSRRefD20_19x</vt:lpstr>
      <vt:lpstr>'310 &amp; 491'!OSRRefD20_19x</vt:lpstr>
      <vt:lpstr>'331'!OSRRefD20_19x</vt:lpstr>
      <vt:lpstr>'491'!OSRRefD20_19x</vt:lpstr>
      <vt:lpstr>'Div 2'!OSRRefD20_19x</vt:lpstr>
      <vt:lpstr>'Div 3'!OSRRefD20_19x</vt:lpstr>
      <vt:lpstr>'Div 4'!OSRRefD20_19x</vt:lpstr>
      <vt:lpstr>Summary!OSRRefD20_19x</vt:lpstr>
      <vt:lpstr>'200'!OSRRefD20_1x</vt:lpstr>
      <vt:lpstr>'201'!OSRRefD20_1x</vt:lpstr>
      <vt:lpstr>'202'!OSRRefD20_1x</vt:lpstr>
      <vt:lpstr>'203'!OSRRefD20_1x</vt:lpstr>
      <vt:lpstr>'204'!OSRRefD20_1x</vt:lpstr>
      <vt:lpstr>'205'!OSRRefD20_1x</vt:lpstr>
      <vt:lpstr>'206'!OSRRefD20_1x</vt:lpstr>
      <vt:lpstr>'300'!OSRRefD20_1x</vt:lpstr>
      <vt:lpstr>'300 &amp; 317'!OSRRefD20_1x</vt:lpstr>
      <vt:lpstr>'301'!OSRRefD20_1x</vt:lpstr>
      <vt:lpstr>'307'!OSRRefD20_1x</vt:lpstr>
      <vt:lpstr>'308'!OSRRefD20_1x</vt:lpstr>
      <vt:lpstr>'309'!OSRRefD20_1x</vt:lpstr>
      <vt:lpstr>'310'!OSRRefD20_1x</vt:lpstr>
      <vt:lpstr>'310 &amp; 491'!OSRRefD20_1x</vt:lpstr>
      <vt:lpstr>'311'!OSRRefD20_1x</vt:lpstr>
      <vt:lpstr>'315'!OSRRefD20_1x</vt:lpstr>
      <vt:lpstr>'316'!OSRRefD20_1x</vt:lpstr>
      <vt:lpstr>'317'!OSRRefD20_1x</vt:lpstr>
      <vt:lpstr>'321'!OSRRefD20_1x</vt:lpstr>
      <vt:lpstr>'325'!OSRRefD20_1x</vt:lpstr>
      <vt:lpstr>'326'!OSRRefD20_1x</vt:lpstr>
      <vt:lpstr>'330'!OSRRefD20_1x</vt:lpstr>
      <vt:lpstr>'331'!OSRRefD20_1x</vt:lpstr>
      <vt:lpstr>'332'!OSRRefD20_1x</vt:lpstr>
      <vt:lpstr>'405'!OSRRefD20_1x</vt:lpstr>
      <vt:lpstr>'411'!OSRRefD20_1x</vt:lpstr>
      <vt:lpstr>'412'!OSRRefD20_1x</vt:lpstr>
      <vt:lpstr>'415'!OSRRefD20_1x</vt:lpstr>
      <vt:lpstr>'418'!OSRRefD20_1x</vt:lpstr>
      <vt:lpstr>'423'!OSRRefD20_1x</vt:lpstr>
      <vt:lpstr>'430'!OSRRefD20_1x</vt:lpstr>
      <vt:lpstr>'433'!OSRRefD20_1x</vt:lpstr>
      <vt:lpstr>'444'!OSRRefD20_1x</vt:lpstr>
      <vt:lpstr>'450'!OSRRefD20_1x</vt:lpstr>
      <vt:lpstr>'491'!OSRRefD20_1x</vt:lpstr>
      <vt:lpstr>'492'!OSRRefD20_1x</vt:lpstr>
      <vt:lpstr>'501'!OSRRefD20_1x</vt:lpstr>
      <vt:lpstr>'Div 2'!OSRRefD20_1x</vt:lpstr>
      <vt:lpstr>'Div 3'!OSRRefD20_1x</vt:lpstr>
      <vt:lpstr>'Div 4'!OSRRefD20_1x</vt:lpstr>
      <vt:lpstr>'Div 5'!OSRRefD20_1x</vt:lpstr>
      <vt:lpstr>'Div 6'!OSRRefD20_1x</vt:lpstr>
      <vt:lpstr>Summary!OSRRefD20_1x</vt:lpstr>
      <vt:lpstr>'300'!OSRRefD20_20x</vt:lpstr>
      <vt:lpstr>'300 &amp; 317'!OSRRefD20_20x</vt:lpstr>
      <vt:lpstr>'301'!OSRRefD20_20x</vt:lpstr>
      <vt:lpstr>'310 &amp; 491'!OSRRefD20_20x</vt:lpstr>
      <vt:lpstr>'Div 3'!OSRRefD20_20x</vt:lpstr>
      <vt:lpstr>'Div 4'!OSRRefD20_20x</vt:lpstr>
      <vt:lpstr>Summary!OSRRefD20_20x</vt:lpstr>
      <vt:lpstr>'300'!OSRRefD20_21x</vt:lpstr>
      <vt:lpstr>'300 &amp; 317'!OSRRefD20_21x</vt:lpstr>
      <vt:lpstr>'Div 3'!OSRRefD20_21x</vt:lpstr>
      <vt:lpstr>'Div 4'!OSRRefD20_21x</vt:lpstr>
      <vt:lpstr>Summary!OSRRefD20_21x</vt:lpstr>
      <vt:lpstr>'300'!OSRRefD20_22x</vt:lpstr>
      <vt:lpstr>'300 &amp; 317'!OSRRefD20_22x</vt:lpstr>
      <vt:lpstr>'Div 3'!OSRRefD20_22x</vt:lpstr>
      <vt:lpstr>Summary!OSRRefD20_22x</vt:lpstr>
      <vt:lpstr>'300'!OSRRefD20_23x</vt:lpstr>
      <vt:lpstr>'300 &amp; 317'!OSRRefD20_23x</vt:lpstr>
      <vt:lpstr>'Div 3'!OSRRefD20_23x</vt:lpstr>
      <vt:lpstr>Summary!OSRRefD20_23x</vt:lpstr>
      <vt:lpstr>'300'!OSRRefD20_24x</vt:lpstr>
      <vt:lpstr>'300 &amp; 317'!OSRRefD20_24x</vt:lpstr>
      <vt:lpstr>'Div 3'!OSRRefD20_24x</vt:lpstr>
      <vt:lpstr>Summary!OSRRefD20_24x</vt:lpstr>
      <vt:lpstr>'Div 3'!OSRRefD20_25x</vt:lpstr>
      <vt:lpstr>Summary!OSRRefD20_25x</vt:lpstr>
      <vt:lpstr>Summary!OSRRefD20_26x</vt:lpstr>
      <vt:lpstr>'200'!OSRRefD20_2x</vt:lpstr>
      <vt:lpstr>'201'!OSRRefD20_2x</vt:lpstr>
      <vt:lpstr>'202'!OSRRefD20_2x</vt:lpstr>
      <vt:lpstr>'203'!OSRRefD20_2x</vt:lpstr>
      <vt:lpstr>'204'!OSRRefD20_2x</vt:lpstr>
      <vt:lpstr>'205'!OSRRefD20_2x</vt:lpstr>
      <vt:lpstr>'206'!OSRRefD20_2x</vt:lpstr>
      <vt:lpstr>'300'!OSRRefD20_2x</vt:lpstr>
      <vt:lpstr>'300 &amp; 317'!OSRRefD20_2x</vt:lpstr>
      <vt:lpstr>'301'!OSRRefD20_2x</vt:lpstr>
      <vt:lpstr>'307'!OSRRefD20_2x</vt:lpstr>
      <vt:lpstr>'308'!OSRRefD20_2x</vt:lpstr>
      <vt:lpstr>'309'!OSRRefD20_2x</vt:lpstr>
      <vt:lpstr>'310'!OSRRefD20_2x</vt:lpstr>
      <vt:lpstr>'310 &amp; 491'!OSRRefD20_2x</vt:lpstr>
      <vt:lpstr>'311'!OSRRefD20_2x</vt:lpstr>
      <vt:lpstr>'315'!OSRRefD20_2x</vt:lpstr>
      <vt:lpstr>'316'!OSRRefD20_2x</vt:lpstr>
      <vt:lpstr>'317'!OSRRefD20_2x</vt:lpstr>
      <vt:lpstr>'321'!OSRRefD20_2x</vt:lpstr>
      <vt:lpstr>'325'!OSRRefD20_2x</vt:lpstr>
      <vt:lpstr>'326'!OSRRefD20_2x</vt:lpstr>
      <vt:lpstr>'330'!OSRRefD20_2x</vt:lpstr>
      <vt:lpstr>'331'!OSRRefD20_2x</vt:lpstr>
      <vt:lpstr>'332'!OSRRefD20_2x</vt:lpstr>
      <vt:lpstr>'405'!OSRRefD20_2x</vt:lpstr>
      <vt:lpstr>'411'!OSRRefD20_2x</vt:lpstr>
      <vt:lpstr>'415'!OSRRefD20_2x</vt:lpstr>
      <vt:lpstr>'418'!OSRRefD20_2x</vt:lpstr>
      <vt:lpstr>'423'!OSRRefD20_2x</vt:lpstr>
      <vt:lpstr>'430'!OSRRefD20_2x</vt:lpstr>
      <vt:lpstr>'433'!OSRRefD20_2x</vt:lpstr>
      <vt:lpstr>'444'!OSRRefD20_2x</vt:lpstr>
      <vt:lpstr>'450'!OSRRefD20_2x</vt:lpstr>
      <vt:lpstr>'491'!OSRRefD20_2x</vt:lpstr>
      <vt:lpstr>'492'!OSRRefD20_2x</vt:lpstr>
      <vt:lpstr>'501'!OSRRefD20_2x</vt:lpstr>
      <vt:lpstr>'Div 2'!OSRRefD20_2x</vt:lpstr>
      <vt:lpstr>'Div 3'!OSRRefD20_2x</vt:lpstr>
      <vt:lpstr>'Div 4'!OSRRefD20_2x</vt:lpstr>
      <vt:lpstr>'Div 5'!OSRRefD20_2x</vt:lpstr>
      <vt:lpstr>'Div 6'!OSRRefD20_2x</vt:lpstr>
      <vt:lpstr>Summary!OSRRefD20_2x</vt:lpstr>
      <vt:lpstr>'200'!OSRRefD20_3x</vt:lpstr>
      <vt:lpstr>'201'!OSRRefD20_3x</vt:lpstr>
      <vt:lpstr>'202'!OSRRefD20_3x</vt:lpstr>
      <vt:lpstr>'203'!OSRRefD20_3x</vt:lpstr>
      <vt:lpstr>'204'!OSRRefD20_3x</vt:lpstr>
      <vt:lpstr>'205'!OSRRefD20_3x</vt:lpstr>
      <vt:lpstr>'206'!OSRRefD20_3x</vt:lpstr>
      <vt:lpstr>'300'!OSRRefD20_3x</vt:lpstr>
      <vt:lpstr>'300 &amp; 317'!OSRRefD20_3x</vt:lpstr>
      <vt:lpstr>'301'!OSRRefD20_3x</vt:lpstr>
      <vt:lpstr>'307'!OSRRefD20_3x</vt:lpstr>
      <vt:lpstr>'308'!OSRRefD20_3x</vt:lpstr>
      <vt:lpstr>'310'!OSRRefD20_3x</vt:lpstr>
      <vt:lpstr>'310 &amp; 491'!OSRRefD20_3x</vt:lpstr>
      <vt:lpstr>'311'!OSRRefD20_3x</vt:lpstr>
      <vt:lpstr>'315'!OSRRefD20_3x</vt:lpstr>
      <vt:lpstr>'316'!OSRRefD20_3x</vt:lpstr>
      <vt:lpstr>'317'!OSRRefD20_3x</vt:lpstr>
      <vt:lpstr>'321'!OSRRefD20_3x</vt:lpstr>
      <vt:lpstr>'325'!OSRRefD20_3x</vt:lpstr>
      <vt:lpstr>'326'!OSRRefD20_3x</vt:lpstr>
      <vt:lpstr>'330'!OSRRefD20_3x</vt:lpstr>
      <vt:lpstr>'331'!OSRRefD20_3x</vt:lpstr>
      <vt:lpstr>'332'!OSRRefD20_3x</vt:lpstr>
      <vt:lpstr>'405'!OSRRefD20_3x</vt:lpstr>
      <vt:lpstr>'411'!OSRRefD20_3x</vt:lpstr>
      <vt:lpstr>'415'!OSRRefD20_3x</vt:lpstr>
      <vt:lpstr>'418'!OSRRefD20_3x</vt:lpstr>
      <vt:lpstr>'423'!OSRRefD20_3x</vt:lpstr>
      <vt:lpstr>'430'!OSRRefD20_3x</vt:lpstr>
      <vt:lpstr>'433'!OSRRefD20_3x</vt:lpstr>
      <vt:lpstr>'444'!OSRRefD20_3x</vt:lpstr>
      <vt:lpstr>'450'!OSRRefD20_3x</vt:lpstr>
      <vt:lpstr>'491'!OSRRefD20_3x</vt:lpstr>
      <vt:lpstr>'492'!OSRRefD20_3x</vt:lpstr>
      <vt:lpstr>'501'!OSRRefD20_3x</vt:lpstr>
      <vt:lpstr>'Div 2'!OSRRefD20_3x</vt:lpstr>
      <vt:lpstr>'Div 3'!OSRRefD20_3x</vt:lpstr>
      <vt:lpstr>'Div 4'!OSRRefD20_3x</vt:lpstr>
      <vt:lpstr>'Div 5'!OSRRefD20_3x</vt:lpstr>
      <vt:lpstr>'Div 6'!OSRRefD20_3x</vt:lpstr>
      <vt:lpstr>Summary!OSRRefD20_3x</vt:lpstr>
      <vt:lpstr>'201'!OSRRefD20_4x</vt:lpstr>
      <vt:lpstr>'202'!OSRRefD20_4x</vt:lpstr>
      <vt:lpstr>'203'!OSRRefD20_4x</vt:lpstr>
      <vt:lpstr>'204'!OSRRefD20_4x</vt:lpstr>
      <vt:lpstr>'205'!OSRRefD20_4x</vt:lpstr>
      <vt:lpstr>'206'!OSRRefD20_4x</vt:lpstr>
      <vt:lpstr>'300'!OSRRefD20_4x</vt:lpstr>
      <vt:lpstr>'300 &amp; 317'!OSRRefD20_4x</vt:lpstr>
      <vt:lpstr>'301'!OSRRefD20_4x</vt:lpstr>
      <vt:lpstr>'307'!OSRRefD20_4x</vt:lpstr>
      <vt:lpstr>'308'!OSRRefD20_4x</vt:lpstr>
      <vt:lpstr>'310'!OSRRefD20_4x</vt:lpstr>
      <vt:lpstr>'310 &amp; 491'!OSRRefD20_4x</vt:lpstr>
      <vt:lpstr>'311'!OSRRefD20_4x</vt:lpstr>
      <vt:lpstr>'315'!OSRRefD20_4x</vt:lpstr>
      <vt:lpstr>'316'!OSRRefD20_4x</vt:lpstr>
      <vt:lpstr>'317'!OSRRefD20_4x</vt:lpstr>
      <vt:lpstr>'321'!OSRRefD20_4x</vt:lpstr>
      <vt:lpstr>'325'!OSRRefD20_4x</vt:lpstr>
      <vt:lpstr>'326'!OSRRefD20_4x</vt:lpstr>
      <vt:lpstr>'330'!OSRRefD20_4x</vt:lpstr>
      <vt:lpstr>'331'!OSRRefD20_4x</vt:lpstr>
      <vt:lpstr>'332'!OSRRefD20_4x</vt:lpstr>
      <vt:lpstr>'405'!OSRRefD20_4x</vt:lpstr>
      <vt:lpstr>'411'!OSRRefD20_4x</vt:lpstr>
      <vt:lpstr>'415'!OSRRefD20_4x</vt:lpstr>
      <vt:lpstr>'418'!OSRRefD20_4x</vt:lpstr>
      <vt:lpstr>'430'!OSRRefD20_4x</vt:lpstr>
      <vt:lpstr>'433'!OSRRefD20_4x</vt:lpstr>
      <vt:lpstr>'444'!OSRRefD20_4x</vt:lpstr>
      <vt:lpstr>'450'!OSRRefD20_4x</vt:lpstr>
      <vt:lpstr>'491'!OSRRefD20_4x</vt:lpstr>
      <vt:lpstr>'492'!OSRRefD20_4x</vt:lpstr>
      <vt:lpstr>'501'!OSRRefD20_4x</vt:lpstr>
      <vt:lpstr>'Div 2'!OSRRefD20_4x</vt:lpstr>
      <vt:lpstr>'Div 3'!OSRRefD20_4x</vt:lpstr>
      <vt:lpstr>'Div 4'!OSRRefD20_4x</vt:lpstr>
      <vt:lpstr>'Div 5'!OSRRefD20_4x</vt:lpstr>
      <vt:lpstr>'Div 6'!OSRRefD20_4x</vt:lpstr>
      <vt:lpstr>Summary!OSRRefD20_4x</vt:lpstr>
      <vt:lpstr>'201'!OSRRefD20_5x</vt:lpstr>
      <vt:lpstr>'202'!OSRRefD20_5x</vt:lpstr>
      <vt:lpstr>'203'!OSRRefD20_5x</vt:lpstr>
      <vt:lpstr>'204'!OSRRefD20_5x</vt:lpstr>
      <vt:lpstr>'205'!OSRRefD20_5x</vt:lpstr>
      <vt:lpstr>'206'!OSRRefD20_5x</vt:lpstr>
      <vt:lpstr>'300'!OSRRefD20_5x</vt:lpstr>
      <vt:lpstr>'300 &amp; 317'!OSRRefD20_5x</vt:lpstr>
      <vt:lpstr>'301'!OSRRefD20_5x</vt:lpstr>
      <vt:lpstr>'307'!OSRRefD20_5x</vt:lpstr>
      <vt:lpstr>'308'!OSRRefD20_5x</vt:lpstr>
      <vt:lpstr>'310'!OSRRefD20_5x</vt:lpstr>
      <vt:lpstr>'310 &amp; 491'!OSRRefD20_5x</vt:lpstr>
      <vt:lpstr>'311'!OSRRefD20_5x</vt:lpstr>
      <vt:lpstr>'315'!OSRRefD20_5x</vt:lpstr>
      <vt:lpstr>'316'!OSRRefD20_5x</vt:lpstr>
      <vt:lpstr>'317'!OSRRefD20_5x</vt:lpstr>
      <vt:lpstr>'321'!OSRRefD20_5x</vt:lpstr>
      <vt:lpstr>'325'!OSRRefD20_5x</vt:lpstr>
      <vt:lpstr>'326'!OSRRefD20_5x</vt:lpstr>
      <vt:lpstr>'330'!OSRRefD20_5x</vt:lpstr>
      <vt:lpstr>'331'!OSRRefD20_5x</vt:lpstr>
      <vt:lpstr>'332'!OSRRefD20_5x</vt:lpstr>
      <vt:lpstr>'405'!OSRRefD20_5x</vt:lpstr>
      <vt:lpstr>'411'!OSRRefD20_5x</vt:lpstr>
      <vt:lpstr>'415'!OSRRefD20_5x</vt:lpstr>
      <vt:lpstr>'418'!OSRRefD20_5x</vt:lpstr>
      <vt:lpstr>'430'!OSRRefD20_5x</vt:lpstr>
      <vt:lpstr>'433'!OSRRefD20_5x</vt:lpstr>
      <vt:lpstr>'444'!OSRRefD20_5x</vt:lpstr>
      <vt:lpstr>'450'!OSRRefD20_5x</vt:lpstr>
      <vt:lpstr>'491'!OSRRefD20_5x</vt:lpstr>
      <vt:lpstr>'492'!OSRRefD20_5x</vt:lpstr>
      <vt:lpstr>'501'!OSRRefD20_5x</vt:lpstr>
      <vt:lpstr>'Div 2'!OSRRefD20_5x</vt:lpstr>
      <vt:lpstr>'Div 3'!OSRRefD20_5x</vt:lpstr>
      <vt:lpstr>'Div 4'!OSRRefD20_5x</vt:lpstr>
      <vt:lpstr>'Div 5'!OSRRefD20_5x</vt:lpstr>
      <vt:lpstr>'Div 6'!OSRRefD20_5x</vt:lpstr>
      <vt:lpstr>Summary!OSRRefD20_5x</vt:lpstr>
      <vt:lpstr>'201'!OSRRefD20_6x</vt:lpstr>
      <vt:lpstr>'202'!OSRRefD20_6x</vt:lpstr>
      <vt:lpstr>'203'!OSRRefD20_6x</vt:lpstr>
      <vt:lpstr>'204'!OSRRefD20_6x</vt:lpstr>
      <vt:lpstr>'205'!OSRRefD20_6x</vt:lpstr>
      <vt:lpstr>'300'!OSRRefD20_6x</vt:lpstr>
      <vt:lpstr>'300 &amp; 317'!OSRRefD20_6x</vt:lpstr>
      <vt:lpstr>'301'!OSRRefD20_6x</vt:lpstr>
      <vt:lpstr>'307'!OSRRefD20_6x</vt:lpstr>
      <vt:lpstr>'308'!OSRRefD20_6x</vt:lpstr>
      <vt:lpstr>'310'!OSRRefD20_6x</vt:lpstr>
      <vt:lpstr>'310 &amp; 491'!OSRRefD20_6x</vt:lpstr>
      <vt:lpstr>'311'!OSRRefD20_6x</vt:lpstr>
      <vt:lpstr>'315'!OSRRefD20_6x</vt:lpstr>
      <vt:lpstr>'316'!OSRRefD20_6x</vt:lpstr>
      <vt:lpstr>'317'!OSRRefD20_6x</vt:lpstr>
      <vt:lpstr>'321'!OSRRefD20_6x</vt:lpstr>
      <vt:lpstr>'325'!OSRRefD20_6x</vt:lpstr>
      <vt:lpstr>'326'!OSRRefD20_6x</vt:lpstr>
      <vt:lpstr>'330'!OSRRefD20_6x</vt:lpstr>
      <vt:lpstr>'331'!OSRRefD20_6x</vt:lpstr>
      <vt:lpstr>'332'!OSRRefD20_6x</vt:lpstr>
      <vt:lpstr>'405'!OSRRefD20_6x</vt:lpstr>
      <vt:lpstr>'411'!OSRRefD20_6x</vt:lpstr>
      <vt:lpstr>'415'!OSRRefD20_6x</vt:lpstr>
      <vt:lpstr>'418'!OSRRefD20_6x</vt:lpstr>
      <vt:lpstr>'430'!OSRRefD20_6x</vt:lpstr>
      <vt:lpstr>'433'!OSRRefD20_6x</vt:lpstr>
      <vt:lpstr>'444'!OSRRefD20_6x</vt:lpstr>
      <vt:lpstr>'450'!OSRRefD20_6x</vt:lpstr>
      <vt:lpstr>'491'!OSRRefD20_6x</vt:lpstr>
      <vt:lpstr>'492'!OSRRefD20_6x</vt:lpstr>
      <vt:lpstr>'501'!OSRRefD20_6x</vt:lpstr>
      <vt:lpstr>'Div 2'!OSRRefD20_6x</vt:lpstr>
      <vt:lpstr>'Div 3'!OSRRefD20_6x</vt:lpstr>
      <vt:lpstr>'Div 4'!OSRRefD20_6x</vt:lpstr>
      <vt:lpstr>'Div 5'!OSRRefD20_6x</vt:lpstr>
      <vt:lpstr>'Div 6'!OSRRefD20_6x</vt:lpstr>
      <vt:lpstr>Summary!OSRRefD20_6x</vt:lpstr>
      <vt:lpstr>'201'!OSRRefD20_7x</vt:lpstr>
      <vt:lpstr>'202'!OSRRefD20_7x</vt:lpstr>
      <vt:lpstr>'203'!OSRRefD20_7x</vt:lpstr>
      <vt:lpstr>'204'!OSRRefD20_7x</vt:lpstr>
      <vt:lpstr>'205'!OSRRefD20_7x</vt:lpstr>
      <vt:lpstr>'300'!OSRRefD20_7x</vt:lpstr>
      <vt:lpstr>'300 &amp; 317'!OSRRefD20_7x</vt:lpstr>
      <vt:lpstr>'301'!OSRRefD20_7x</vt:lpstr>
      <vt:lpstr>'307'!OSRRefD20_7x</vt:lpstr>
      <vt:lpstr>'308'!OSRRefD20_7x</vt:lpstr>
      <vt:lpstr>'310'!OSRRefD20_7x</vt:lpstr>
      <vt:lpstr>'310 &amp; 491'!OSRRefD20_7x</vt:lpstr>
      <vt:lpstr>'311'!OSRRefD20_7x</vt:lpstr>
      <vt:lpstr>'315'!OSRRefD20_7x</vt:lpstr>
      <vt:lpstr>'316'!OSRRefD20_7x</vt:lpstr>
      <vt:lpstr>'317'!OSRRefD20_7x</vt:lpstr>
      <vt:lpstr>'321'!OSRRefD20_7x</vt:lpstr>
      <vt:lpstr>'325'!OSRRefD20_7x</vt:lpstr>
      <vt:lpstr>'326'!OSRRefD20_7x</vt:lpstr>
      <vt:lpstr>'330'!OSRRefD20_7x</vt:lpstr>
      <vt:lpstr>'331'!OSRRefD20_7x</vt:lpstr>
      <vt:lpstr>'332'!OSRRefD20_7x</vt:lpstr>
      <vt:lpstr>'405'!OSRRefD20_7x</vt:lpstr>
      <vt:lpstr>'411'!OSRRefD20_7x</vt:lpstr>
      <vt:lpstr>'415'!OSRRefD20_7x</vt:lpstr>
      <vt:lpstr>'418'!OSRRefD20_7x</vt:lpstr>
      <vt:lpstr>'433'!OSRRefD20_7x</vt:lpstr>
      <vt:lpstr>'444'!OSRRefD20_7x</vt:lpstr>
      <vt:lpstr>'450'!OSRRefD20_7x</vt:lpstr>
      <vt:lpstr>'491'!OSRRefD20_7x</vt:lpstr>
      <vt:lpstr>'492'!OSRRefD20_7x</vt:lpstr>
      <vt:lpstr>'501'!OSRRefD20_7x</vt:lpstr>
      <vt:lpstr>'Div 2'!OSRRefD20_7x</vt:lpstr>
      <vt:lpstr>'Div 3'!OSRRefD20_7x</vt:lpstr>
      <vt:lpstr>'Div 4'!OSRRefD20_7x</vt:lpstr>
      <vt:lpstr>'Div 5'!OSRRefD20_7x</vt:lpstr>
      <vt:lpstr>'Div 6'!OSRRefD20_7x</vt:lpstr>
      <vt:lpstr>Summary!OSRRefD20_7x</vt:lpstr>
      <vt:lpstr>'201'!OSRRefD20_8x</vt:lpstr>
      <vt:lpstr>'202'!OSRRefD20_8x</vt:lpstr>
      <vt:lpstr>'203'!OSRRefD20_8x</vt:lpstr>
      <vt:lpstr>'204'!OSRRefD20_8x</vt:lpstr>
      <vt:lpstr>'300'!OSRRefD20_8x</vt:lpstr>
      <vt:lpstr>'300 &amp; 317'!OSRRefD20_8x</vt:lpstr>
      <vt:lpstr>'301'!OSRRefD20_8x</vt:lpstr>
      <vt:lpstr>'307'!OSRRefD20_8x</vt:lpstr>
      <vt:lpstr>'308'!OSRRefD20_8x</vt:lpstr>
      <vt:lpstr>'310'!OSRRefD20_8x</vt:lpstr>
      <vt:lpstr>'310 &amp; 491'!OSRRefD20_8x</vt:lpstr>
      <vt:lpstr>'311'!OSRRefD20_8x</vt:lpstr>
      <vt:lpstr>'315'!OSRRefD20_8x</vt:lpstr>
      <vt:lpstr>'316'!OSRRefD20_8x</vt:lpstr>
      <vt:lpstr>'317'!OSRRefD20_8x</vt:lpstr>
      <vt:lpstr>'321'!OSRRefD20_8x</vt:lpstr>
      <vt:lpstr>'325'!OSRRefD20_8x</vt:lpstr>
      <vt:lpstr>'326'!OSRRefD20_8x</vt:lpstr>
      <vt:lpstr>'330'!OSRRefD20_8x</vt:lpstr>
      <vt:lpstr>'331'!OSRRefD20_8x</vt:lpstr>
      <vt:lpstr>'332'!OSRRefD20_8x</vt:lpstr>
      <vt:lpstr>'405'!OSRRefD20_8x</vt:lpstr>
      <vt:lpstr>'411'!OSRRefD20_8x</vt:lpstr>
      <vt:lpstr>'415'!OSRRefD20_8x</vt:lpstr>
      <vt:lpstr>'418'!OSRRefD20_8x</vt:lpstr>
      <vt:lpstr>'433'!OSRRefD20_8x</vt:lpstr>
      <vt:lpstr>'444'!OSRRefD20_8x</vt:lpstr>
      <vt:lpstr>'450'!OSRRefD20_8x</vt:lpstr>
      <vt:lpstr>'491'!OSRRefD20_8x</vt:lpstr>
      <vt:lpstr>'492'!OSRRefD20_8x</vt:lpstr>
      <vt:lpstr>'501'!OSRRefD20_8x</vt:lpstr>
      <vt:lpstr>'Div 2'!OSRRefD20_8x</vt:lpstr>
      <vt:lpstr>'Div 3'!OSRRefD20_8x</vt:lpstr>
      <vt:lpstr>'Div 4'!OSRRefD20_8x</vt:lpstr>
      <vt:lpstr>'Div 5'!OSRRefD20_8x</vt:lpstr>
      <vt:lpstr>'Div 6'!OSRRefD20_8x</vt:lpstr>
      <vt:lpstr>Summary!OSRRefD20_8x</vt:lpstr>
      <vt:lpstr>'201'!OSRRefD20_9x</vt:lpstr>
      <vt:lpstr>'202'!OSRRefD20_9x</vt:lpstr>
      <vt:lpstr>'203'!OSRRefD20_9x</vt:lpstr>
      <vt:lpstr>'300'!OSRRefD20_9x</vt:lpstr>
      <vt:lpstr>'300 &amp; 317'!OSRRefD20_9x</vt:lpstr>
      <vt:lpstr>'301'!OSRRefD20_9x</vt:lpstr>
      <vt:lpstr>'307'!OSRRefD20_9x</vt:lpstr>
      <vt:lpstr>'308'!OSRRefD20_9x</vt:lpstr>
      <vt:lpstr>'310'!OSRRefD20_9x</vt:lpstr>
      <vt:lpstr>'310 &amp; 491'!OSRRefD20_9x</vt:lpstr>
      <vt:lpstr>'311'!OSRRefD20_9x</vt:lpstr>
      <vt:lpstr>'315'!OSRRefD20_9x</vt:lpstr>
      <vt:lpstr>'316'!OSRRefD20_9x</vt:lpstr>
      <vt:lpstr>'317'!OSRRefD20_9x</vt:lpstr>
      <vt:lpstr>'321'!OSRRefD20_9x</vt:lpstr>
      <vt:lpstr>'325'!OSRRefD20_9x</vt:lpstr>
      <vt:lpstr>'326'!OSRRefD20_9x</vt:lpstr>
      <vt:lpstr>'330'!OSRRefD20_9x</vt:lpstr>
      <vt:lpstr>'331'!OSRRefD20_9x</vt:lpstr>
      <vt:lpstr>'332'!OSRRefD20_9x</vt:lpstr>
      <vt:lpstr>'405'!OSRRefD20_9x</vt:lpstr>
      <vt:lpstr>'411'!OSRRefD20_9x</vt:lpstr>
      <vt:lpstr>'415'!OSRRefD20_9x</vt:lpstr>
      <vt:lpstr>'418'!OSRRefD20_9x</vt:lpstr>
      <vt:lpstr>'433'!OSRRefD20_9x</vt:lpstr>
      <vt:lpstr>'444'!OSRRefD20_9x</vt:lpstr>
      <vt:lpstr>'450'!OSRRefD20_9x</vt:lpstr>
      <vt:lpstr>'491'!OSRRefD20_9x</vt:lpstr>
      <vt:lpstr>'492'!OSRRefD20_9x</vt:lpstr>
      <vt:lpstr>'501'!OSRRefD20_9x</vt:lpstr>
      <vt:lpstr>'Div 2'!OSRRefD20_9x</vt:lpstr>
      <vt:lpstr>'Div 3'!OSRRefD20_9x</vt:lpstr>
      <vt:lpstr>'Div 4'!OSRRefD20_9x</vt:lpstr>
      <vt:lpstr>'Div 5'!OSRRefD20_9x</vt:lpstr>
      <vt:lpstr>'Div 6'!OSRRefD20_9x</vt:lpstr>
      <vt:lpstr>Summary!OSRRefD20_9x</vt:lpstr>
      <vt:lpstr>'200'!OSRRefD20x_0</vt:lpstr>
      <vt:lpstr>'201'!OSRRefD20x_0</vt:lpstr>
      <vt:lpstr>'202'!OSRRefD20x_0</vt:lpstr>
      <vt:lpstr>'203'!OSRRefD20x_0</vt:lpstr>
      <vt:lpstr>'204'!OSRRefD20x_0</vt:lpstr>
      <vt:lpstr>'205'!OSRRefD20x_0</vt:lpstr>
      <vt:lpstr>'206'!OSRRefD20x_0</vt:lpstr>
      <vt:lpstr>'300'!OSRRefD20x_0</vt:lpstr>
      <vt:lpstr>'300 &amp; 317'!OSRRefD20x_0</vt:lpstr>
      <vt:lpstr>'301'!OSRRefD20x_0</vt:lpstr>
      <vt:lpstr>'307'!OSRRefD20x_0</vt:lpstr>
      <vt:lpstr>'308'!OSRRefD20x_0</vt:lpstr>
      <vt:lpstr>'309'!OSRRefD20x_0</vt:lpstr>
      <vt:lpstr>'310'!OSRRefD20x_0</vt:lpstr>
      <vt:lpstr>'310 &amp; 491'!OSRRefD20x_0</vt:lpstr>
      <vt:lpstr>'311'!OSRRefD20x_0</vt:lpstr>
      <vt:lpstr>'313'!OSRRefD20x_0</vt:lpstr>
      <vt:lpstr>'315'!OSRRefD20x_0</vt:lpstr>
      <vt:lpstr>'316'!OSRRefD20x_0</vt:lpstr>
      <vt:lpstr>'317'!OSRRefD20x_0</vt:lpstr>
      <vt:lpstr>'321'!OSRRefD20x_0</vt:lpstr>
      <vt:lpstr>'325'!OSRRefD20x_0</vt:lpstr>
      <vt:lpstr>'326'!OSRRefD20x_0</vt:lpstr>
      <vt:lpstr>'327'!OSRRefD20x_0</vt:lpstr>
      <vt:lpstr>'330'!OSRRefD20x_0</vt:lpstr>
      <vt:lpstr>'331'!OSRRefD20x_0</vt:lpstr>
      <vt:lpstr>'332'!OSRRefD20x_0</vt:lpstr>
      <vt:lpstr>'405'!OSRRefD20x_0</vt:lpstr>
      <vt:lpstr>'411'!OSRRefD20x_0</vt:lpstr>
      <vt:lpstr>'412'!OSRRefD20x_0</vt:lpstr>
      <vt:lpstr>'413'!OSRRefD20x_0</vt:lpstr>
      <vt:lpstr>'415'!OSRRefD20x_0</vt:lpstr>
      <vt:lpstr>'418'!OSRRefD20x_0</vt:lpstr>
      <vt:lpstr>'423'!OSRRefD20x_0</vt:lpstr>
      <vt:lpstr>'424'!OSRRefD20x_0</vt:lpstr>
      <vt:lpstr>'425'!OSRRefD20x_0</vt:lpstr>
      <vt:lpstr>'430'!OSRRefD20x_0</vt:lpstr>
      <vt:lpstr>'433'!OSRRefD20x_0</vt:lpstr>
      <vt:lpstr>'444'!OSRRefD20x_0</vt:lpstr>
      <vt:lpstr>'450'!OSRRefD20x_0</vt:lpstr>
      <vt:lpstr>'491'!OSRRefD20x_0</vt:lpstr>
      <vt:lpstr>'492'!OSRRefD20x_0</vt:lpstr>
      <vt:lpstr>'501'!OSRRefD20x_0</vt:lpstr>
      <vt:lpstr>'Div 2'!OSRRefD20x_0</vt:lpstr>
      <vt:lpstr>'Div 3'!OSRRefD20x_0</vt:lpstr>
      <vt:lpstr>'Div 4'!OSRRefD20x_0</vt:lpstr>
      <vt:lpstr>'Div 5'!OSRRefD20x_0</vt:lpstr>
      <vt:lpstr>'Div 6'!OSRRefD20x_0</vt:lpstr>
      <vt:lpstr>Summary!OSRRefD20x_0</vt:lpstr>
      <vt:lpstr>'200'!OSRRefD21_0_0x</vt:lpstr>
      <vt:lpstr>'201'!OSRRefD21_0_0x</vt:lpstr>
      <vt:lpstr>'202'!OSRRefD21_0_0x</vt:lpstr>
      <vt:lpstr>'203'!OSRRefD21_0_0x</vt:lpstr>
      <vt:lpstr>'204'!OSRRefD21_0_0x</vt:lpstr>
      <vt:lpstr>'205'!OSRRefD21_0_0x</vt:lpstr>
      <vt:lpstr>'206'!OSRRefD21_0_0x</vt:lpstr>
      <vt:lpstr>'300'!OSRRefD21_0_0x</vt:lpstr>
      <vt:lpstr>'300 &amp; 317'!OSRRefD21_0_0x</vt:lpstr>
      <vt:lpstr>'301'!OSRRefD21_0_0x</vt:lpstr>
      <vt:lpstr>'307'!OSRRefD21_0_0x</vt:lpstr>
      <vt:lpstr>'308'!OSRRefD21_0_0x</vt:lpstr>
      <vt:lpstr>'309'!OSRRefD21_0_0x</vt:lpstr>
      <vt:lpstr>'310'!OSRRefD21_0_0x</vt:lpstr>
      <vt:lpstr>'310 &amp; 491'!OSRRefD21_0_0x</vt:lpstr>
      <vt:lpstr>'311'!OSRRefD21_0_0x</vt:lpstr>
      <vt:lpstr>'313'!OSRRefD21_0_0x</vt:lpstr>
      <vt:lpstr>'315'!OSRRefD21_0_0x</vt:lpstr>
      <vt:lpstr>'316'!OSRRefD21_0_0x</vt:lpstr>
      <vt:lpstr>'317'!OSRRefD21_0_0x</vt:lpstr>
      <vt:lpstr>'321'!OSRRefD21_0_0x</vt:lpstr>
      <vt:lpstr>'325'!OSRRefD21_0_0x</vt:lpstr>
      <vt:lpstr>'326'!OSRRefD21_0_0x</vt:lpstr>
      <vt:lpstr>'327'!OSRRefD21_0_0x</vt:lpstr>
      <vt:lpstr>'330'!OSRRefD21_0_0x</vt:lpstr>
      <vt:lpstr>'331'!OSRRefD21_0_0x</vt:lpstr>
      <vt:lpstr>'332'!OSRRefD21_0_0x</vt:lpstr>
      <vt:lpstr>'405'!OSRRefD21_0_0x</vt:lpstr>
      <vt:lpstr>'411'!OSRRefD21_0_0x</vt:lpstr>
      <vt:lpstr>'412'!OSRRefD21_0_0x</vt:lpstr>
      <vt:lpstr>'413'!OSRRefD21_0_0x</vt:lpstr>
      <vt:lpstr>'415'!OSRRefD21_0_0x</vt:lpstr>
      <vt:lpstr>'418'!OSRRefD21_0_0x</vt:lpstr>
      <vt:lpstr>'423'!OSRRefD21_0_0x</vt:lpstr>
      <vt:lpstr>'424'!OSRRefD21_0_0x</vt:lpstr>
      <vt:lpstr>'425'!OSRRefD21_0_0x</vt:lpstr>
      <vt:lpstr>'430'!OSRRefD21_0_0x</vt:lpstr>
      <vt:lpstr>'433'!OSRRefD21_0_0x</vt:lpstr>
      <vt:lpstr>'444'!OSRRefD21_0_0x</vt:lpstr>
      <vt:lpstr>'450'!OSRRefD21_0_0x</vt:lpstr>
      <vt:lpstr>'491'!OSRRefD21_0_0x</vt:lpstr>
      <vt:lpstr>'492'!OSRRefD21_0_0x</vt:lpstr>
      <vt:lpstr>'501'!OSRRefD21_0_0x</vt:lpstr>
      <vt:lpstr>'Div 2'!OSRRefD21_0_0x</vt:lpstr>
      <vt:lpstr>'Div 3'!OSRRefD21_0_0x</vt:lpstr>
      <vt:lpstr>'Div 4'!OSRRefD21_0_0x</vt:lpstr>
      <vt:lpstr>'Div 5'!OSRRefD21_0_0x</vt:lpstr>
      <vt:lpstr>'Div 6'!OSRRefD21_0_0x</vt:lpstr>
      <vt:lpstr>Summary!OSRRefD21_0_0x</vt:lpstr>
      <vt:lpstr>'Div 2'!OSRRefD21_0_10x</vt:lpstr>
      <vt:lpstr>'201'!OSRRefD21_0_1x</vt:lpstr>
      <vt:lpstr>'202'!OSRRefD21_0_1x</vt:lpstr>
      <vt:lpstr>'203'!OSRRefD21_0_1x</vt:lpstr>
      <vt:lpstr>'204'!OSRRefD21_0_1x</vt:lpstr>
      <vt:lpstr>'205'!OSRRefD21_0_1x</vt:lpstr>
      <vt:lpstr>'206'!OSRRefD21_0_1x</vt:lpstr>
      <vt:lpstr>'300'!OSRRefD21_0_1x</vt:lpstr>
      <vt:lpstr>'300 &amp; 317'!OSRRefD21_0_1x</vt:lpstr>
      <vt:lpstr>'301'!OSRRefD21_0_1x</vt:lpstr>
      <vt:lpstr>'307'!OSRRefD21_0_1x</vt:lpstr>
      <vt:lpstr>'308'!OSRRefD21_0_1x</vt:lpstr>
      <vt:lpstr>'310'!OSRRefD21_0_1x</vt:lpstr>
      <vt:lpstr>'310 &amp; 491'!OSRRefD21_0_1x</vt:lpstr>
      <vt:lpstr>'311'!OSRRefD21_0_1x</vt:lpstr>
      <vt:lpstr>'315'!OSRRefD21_0_1x</vt:lpstr>
      <vt:lpstr>'316'!OSRRefD21_0_1x</vt:lpstr>
      <vt:lpstr>'317'!OSRRefD21_0_1x</vt:lpstr>
      <vt:lpstr>'321'!OSRRefD21_0_1x</vt:lpstr>
      <vt:lpstr>'325'!OSRRefD21_0_1x</vt:lpstr>
      <vt:lpstr>'326'!OSRRefD21_0_1x</vt:lpstr>
      <vt:lpstr>'330'!OSRRefD21_0_1x</vt:lpstr>
      <vt:lpstr>'331'!OSRRefD21_0_1x</vt:lpstr>
      <vt:lpstr>'332'!OSRRefD21_0_1x</vt:lpstr>
      <vt:lpstr>'405'!OSRRefD21_0_1x</vt:lpstr>
      <vt:lpstr>'411'!OSRRefD21_0_1x</vt:lpstr>
      <vt:lpstr>'415'!OSRRefD21_0_1x</vt:lpstr>
      <vt:lpstr>'418'!OSRRefD21_0_1x</vt:lpstr>
      <vt:lpstr>'423'!OSRRefD21_0_1x</vt:lpstr>
      <vt:lpstr>'430'!OSRRefD21_0_1x</vt:lpstr>
      <vt:lpstr>'433'!OSRRefD21_0_1x</vt:lpstr>
      <vt:lpstr>'444'!OSRRefD21_0_1x</vt:lpstr>
      <vt:lpstr>'450'!OSRRefD21_0_1x</vt:lpstr>
      <vt:lpstr>'491'!OSRRefD21_0_1x</vt:lpstr>
      <vt:lpstr>'492'!OSRRefD21_0_1x</vt:lpstr>
      <vt:lpstr>'501'!OSRRefD21_0_1x</vt:lpstr>
      <vt:lpstr>'Div 2'!OSRRefD21_0_1x</vt:lpstr>
      <vt:lpstr>'Div 3'!OSRRefD21_0_1x</vt:lpstr>
      <vt:lpstr>'Div 4'!OSRRefD21_0_1x</vt:lpstr>
      <vt:lpstr>'Div 5'!OSRRefD21_0_1x</vt:lpstr>
      <vt:lpstr>'Div 6'!OSRRefD21_0_1x</vt:lpstr>
      <vt:lpstr>Summary!OSRRefD21_0_1x</vt:lpstr>
      <vt:lpstr>'201'!OSRRefD21_0_2x</vt:lpstr>
      <vt:lpstr>'202'!OSRRefD21_0_2x</vt:lpstr>
      <vt:lpstr>'203'!OSRRefD21_0_2x</vt:lpstr>
      <vt:lpstr>'204'!OSRRefD21_0_2x</vt:lpstr>
      <vt:lpstr>'205'!OSRRefD21_0_2x</vt:lpstr>
      <vt:lpstr>'206'!OSRRefD21_0_2x</vt:lpstr>
      <vt:lpstr>'300'!OSRRefD21_0_2x</vt:lpstr>
      <vt:lpstr>'300 &amp; 317'!OSRRefD21_0_2x</vt:lpstr>
      <vt:lpstr>'301'!OSRRefD21_0_2x</vt:lpstr>
      <vt:lpstr>'307'!OSRRefD21_0_2x</vt:lpstr>
      <vt:lpstr>'308'!OSRRefD21_0_2x</vt:lpstr>
      <vt:lpstr>'310'!OSRRefD21_0_2x</vt:lpstr>
      <vt:lpstr>'310 &amp; 491'!OSRRefD21_0_2x</vt:lpstr>
      <vt:lpstr>'311'!OSRRefD21_0_2x</vt:lpstr>
      <vt:lpstr>'315'!OSRRefD21_0_2x</vt:lpstr>
      <vt:lpstr>'316'!OSRRefD21_0_2x</vt:lpstr>
      <vt:lpstr>'317'!OSRRefD21_0_2x</vt:lpstr>
      <vt:lpstr>'321'!OSRRefD21_0_2x</vt:lpstr>
      <vt:lpstr>'325'!OSRRefD21_0_2x</vt:lpstr>
      <vt:lpstr>'326'!OSRRefD21_0_2x</vt:lpstr>
      <vt:lpstr>'330'!OSRRefD21_0_2x</vt:lpstr>
      <vt:lpstr>'331'!OSRRefD21_0_2x</vt:lpstr>
      <vt:lpstr>'332'!OSRRefD21_0_2x</vt:lpstr>
      <vt:lpstr>'405'!OSRRefD21_0_2x</vt:lpstr>
      <vt:lpstr>'411'!OSRRefD21_0_2x</vt:lpstr>
      <vt:lpstr>'415'!OSRRefD21_0_2x</vt:lpstr>
      <vt:lpstr>'418'!OSRRefD21_0_2x</vt:lpstr>
      <vt:lpstr>'423'!OSRRefD21_0_2x</vt:lpstr>
      <vt:lpstr>'430'!OSRRefD21_0_2x</vt:lpstr>
      <vt:lpstr>'433'!OSRRefD21_0_2x</vt:lpstr>
      <vt:lpstr>'444'!OSRRefD21_0_2x</vt:lpstr>
      <vt:lpstr>'450'!OSRRefD21_0_2x</vt:lpstr>
      <vt:lpstr>'491'!OSRRefD21_0_2x</vt:lpstr>
      <vt:lpstr>'492'!OSRRefD21_0_2x</vt:lpstr>
      <vt:lpstr>'501'!OSRRefD21_0_2x</vt:lpstr>
      <vt:lpstr>'Div 2'!OSRRefD21_0_2x</vt:lpstr>
      <vt:lpstr>'Div 3'!OSRRefD21_0_2x</vt:lpstr>
      <vt:lpstr>'Div 4'!OSRRefD21_0_2x</vt:lpstr>
      <vt:lpstr>'Div 5'!OSRRefD21_0_2x</vt:lpstr>
      <vt:lpstr>'Div 6'!OSRRefD21_0_2x</vt:lpstr>
      <vt:lpstr>Summary!OSRRefD21_0_2x</vt:lpstr>
      <vt:lpstr>'201'!OSRRefD21_0_3x</vt:lpstr>
      <vt:lpstr>'202'!OSRRefD21_0_3x</vt:lpstr>
      <vt:lpstr>'203'!OSRRefD21_0_3x</vt:lpstr>
      <vt:lpstr>'204'!OSRRefD21_0_3x</vt:lpstr>
      <vt:lpstr>'205'!OSRRefD21_0_3x</vt:lpstr>
      <vt:lpstr>'206'!OSRRefD21_0_3x</vt:lpstr>
      <vt:lpstr>'300'!OSRRefD21_0_3x</vt:lpstr>
      <vt:lpstr>'300 &amp; 317'!OSRRefD21_0_3x</vt:lpstr>
      <vt:lpstr>'301'!OSRRefD21_0_3x</vt:lpstr>
      <vt:lpstr>'307'!OSRRefD21_0_3x</vt:lpstr>
      <vt:lpstr>'308'!OSRRefD21_0_3x</vt:lpstr>
      <vt:lpstr>'310'!OSRRefD21_0_3x</vt:lpstr>
      <vt:lpstr>'310 &amp; 491'!OSRRefD21_0_3x</vt:lpstr>
      <vt:lpstr>'311'!OSRRefD21_0_3x</vt:lpstr>
      <vt:lpstr>'315'!OSRRefD21_0_3x</vt:lpstr>
      <vt:lpstr>'316'!OSRRefD21_0_3x</vt:lpstr>
      <vt:lpstr>'317'!OSRRefD21_0_3x</vt:lpstr>
      <vt:lpstr>'321'!OSRRefD21_0_3x</vt:lpstr>
      <vt:lpstr>'325'!OSRRefD21_0_3x</vt:lpstr>
      <vt:lpstr>'326'!OSRRefD21_0_3x</vt:lpstr>
      <vt:lpstr>'330'!OSRRefD21_0_3x</vt:lpstr>
      <vt:lpstr>'331'!OSRRefD21_0_3x</vt:lpstr>
      <vt:lpstr>'332'!OSRRefD21_0_3x</vt:lpstr>
      <vt:lpstr>'405'!OSRRefD21_0_3x</vt:lpstr>
      <vt:lpstr>'411'!OSRRefD21_0_3x</vt:lpstr>
      <vt:lpstr>'415'!OSRRefD21_0_3x</vt:lpstr>
      <vt:lpstr>'418'!OSRRefD21_0_3x</vt:lpstr>
      <vt:lpstr>'423'!OSRRefD21_0_3x</vt:lpstr>
      <vt:lpstr>'430'!OSRRefD21_0_3x</vt:lpstr>
      <vt:lpstr>'433'!OSRRefD21_0_3x</vt:lpstr>
      <vt:lpstr>'444'!OSRRefD21_0_3x</vt:lpstr>
      <vt:lpstr>'450'!OSRRefD21_0_3x</vt:lpstr>
      <vt:lpstr>'491'!OSRRefD21_0_3x</vt:lpstr>
      <vt:lpstr>'492'!OSRRefD21_0_3x</vt:lpstr>
      <vt:lpstr>'501'!OSRRefD21_0_3x</vt:lpstr>
      <vt:lpstr>'Div 2'!OSRRefD21_0_3x</vt:lpstr>
      <vt:lpstr>'Div 3'!OSRRefD21_0_3x</vt:lpstr>
      <vt:lpstr>'Div 4'!OSRRefD21_0_3x</vt:lpstr>
      <vt:lpstr>'Div 5'!OSRRefD21_0_3x</vt:lpstr>
      <vt:lpstr>'Div 6'!OSRRefD21_0_3x</vt:lpstr>
      <vt:lpstr>Summary!OSRRefD21_0_3x</vt:lpstr>
      <vt:lpstr>'201'!OSRRefD21_0_4x</vt:lpstr>
      <vt:lpstr>'202'!OSRRefD21_0_4x</vt:lpstr>
      <vt:lpstr>'203'!OSRRefD21_0_4x</vt:lpstr>
      <vt:lpstr>'204'!OSRRefD21_0_4x</vt:lpstr>
      <vt:lpstr>'205'!OSRRefD21_0_4x</vt:lpstr>
      <vt:lpstr>'206'!OSRRefD21_0_4x</vt:lpstr>
      <vt:lpstr>'300'!OSRRefD21_0_4x</vt:lpstr>
      <vt:lpstr>'300 &amp; 317'!OSRRefD21_0_4x</vt:lpstr>
      <vt:lpstr>'301'!OSRRefD21_0_4x</vt:lpstr>
      <vt:lpstr>'307'!OSRRefD21_0_4x</vt:lpstr>
      <vt:lpstr>'308'!OSRRefD21_0_4x</vt:lpstr>
      <vt:lpstr>'310'!OSRRefD21_0_4x</vt:lpstr>
      <vt:lpstr>'310 &amp; 491'!OSRRefD21_0_4x</vt:lpstr>
      <vt:lpstr>'311'!OSRRefD21_0_4x</vt:lpstr>
      <vt:lpstr>'315'!OSRRefD21_0_4x</vt:lpstr>
      <vt:lpstr>'316'!OSRRefD21_0_4x</vt:lpstr>
      <vt:lpstr>'317'!OSRRefD21_0_4x</vt:lpstr>
      <vt:lpstr>'321'!OSRRefD21_0_4x</vt:lpstr>
      <vt:lpstr>'325'!OSRRefD21_0_4x</vt:lpstr>
      <vt:lpstr>'326'!OSRRefD21_0_4x</vt:lpstr>
      <vt:lpstr>'330'!OSRRefD21_0_4x</vt:lpstr>
      <vt:lpstr>'331'!OSRRefD21_0_4x</vt:lpstr>
      <vt:lpstr>'332'!OSRRefD21_0_4x</vt:lpstr>
      <vt:lpstr>'405'!OSRRefD21_0_4x</vt:lpstr>
      <vt:lpstr>'411'!OSRRefD21_0_4x</vt:lpstr>
      <vt:lpstr>'415'!OSRRefD21_0_4x</vt:lpstr>
      <vt:lpstr>'418'!OSRRefD21_0_4x</vt:lpstr>
      <vt:lpstr>'423'!OSRRefD21_0_4x</vt:lpstr>
      <vt:lpstr>'430'!OSRRefD21_0_4x</vt:lpstr>
      <vt:lpstr>'433'!OSRRefD21_0_4x</vt:lpstr>
      <vt:lpstr>'444'!OSRRefD21_0_4x</vt:lpstr>
      <vt:lpstr>'450'!OSRRefD21_0_4x</vt:lpstr>
      <vt:lpstr>'491'!OSRRefD21_0_4x</vt:lpstr>
      <vt:lpstr>'492'!OSRRefD21_0_4x</vt:lpstr>
      <vt:lpstr>'501'!OSRRefD21_0_4x</vt:lpstr>
      <vt:lpstr>'Div 2'!OSRRefD21_0_4x</vt:lpstr>
      <vt:lpstr>'Div 3'!OSRRefD21_0_4x</vt:lpstr>
      <vt:lpstr>'Div 4'!OSRRefD21_0_4x</vt:lpstr>
      <vt:lpstr>'Div 5'!OSRRefD21_0_4x</vt:lpstr>
      <vt:lpstr>'Div 6'!OSRRefD21_0_4x</vt:lpstr>
      <vt:lpstr>Summary!OSRRefD21_0_4x</vt:lpstr>
      <vt:lpstr>'201'!OSRRefD21_0_5x</vt:lpstr>
      <vt:lpstr>'202'!OSRRefD21_0_5x</vt:lpstr>
      <vt:lpstr>'203'!OSRRefD21_0_5x</vt:lpstr>
      <vt:lpstr>'204'!OSRRefD21_0_5x</vt:lpstr>
      <vt:lpstr>'205'!OSRRefD21_0_5x</vt:lpstr>
      <vt:lpstr>'206'!OSRRefD21_0_5x</vt:lpstr>
      <vt:lpstr>'300'!OSRRefD21_0_5x</vt:lpstr>
      <vt:lpstr>'300 &amp; 317'!OSRRefD21_0_5x</vt:lpstr>
      <vt:lpstr>'301'!OSRRefD21_0_5x</vt:lpstr>
      <vt:lpstr>'307'!OSRRefD21_0_5x</vt:lpstr>
      <vt:lpstr>'308'!OSRRefD21_0_5x</vt:lpstr>
      <vt:lpstr>'310'!OSRRefD21_0_5x</vt:lpstr>
      <vt:lpstr>'310 &amp; 491'!OSRRefD21_0_5x</vt:lpstr>
      <vt:lpstr>'311'!OSRRefD21_0_5x</vt:lpstr>
      <vt:lpstr>'315'!OSRRefD21_0_5x</vt:lpstr>
      <vt:lpstr>'316'!OSRRefD21_0_5x</vt:lpstr>
      <vt:lpstr>'317'!OSRRefD21_0_5x</vt:lpstr>
      <vt:lpstr>'321'!OSRRefD21_0_5x</vt:lpstr>
      <vt:lpstr>'325'!OSRRefD21_0_5x</vt:lpstr>
      <vt:lpstr>'326'!OSRRefD21_0_5x</vt:lpstr>
      <vt:lpstr>'330'!OSRRefD21_0_5x</vt:lpstr>
      <vt:lpstr>'331'!OSRRefD21_0_5x</vt:lpstr>
      <vt:lpstr>'332'!OSRRefD21_0_5x</vt:lpstr>
      <vt:lpstr>'405'!OSRRefD21_0_5x</vt:lpstr>
      <vt:lpstr>'411'!OSRRefD21_0_5x</vt:lpstr>
      <vt:lpstr>'415'!OSRRefD21_0_5x</vt:lpstr>
      <vt:lpstr>'418'!OSRRefD21_0_5x</vt:lpstr>
      <vt:lpstr>'423'!OSRRefD21_0_5x</vt:lpstr>
      <vt:lpstr>'430'!OSRRefD21_0_5x</vt:lpstr>
      <vt:lpstr>'433'!OSRRefD21_0_5x</vt:lpstr>
      <vt:lpstr>'444'!OSRRefD21_0_5x</vt:lpstr>
      <vt:lpstr>'450'!OSRRefD21_0_5x</vt:lpstr>
      <vt:lpstr>'491'!OSRRefD21_0_5x</vt:lpstr>
      <vt:lpstr>'492'!OSRRefD21_0_5x</vt:lpstr>
      <vt:lpstr>'501'!OSRRefD21_0_5x</vt:lpstr>
      <vt:lpstr>'Div 2'!OSRRefD21_0_5x</vt:lpstr>
      <vt:lpstr>'Div 3'!OSRRefD21_0_5x</vt:lpstr>
      <vt:lpstr>'Div 4'!OSRRefD21_0_5x</vt:lpstr>
      <vt:lpstr>'Div 5'!OSRRefD21_0_5x</vt:lpstr>
      <vt:lpstr>'Div 6'!OSRRefD21_0_5x</vt:lpstr>
      <vt:lpstr>Summary!OSRRefD21_0_5x</vt:lpstr>
      <vt:lpstr>'201'!OSRRefD21_0_6x</vt:lpstr>
      <vt:lpstr>'202'!OSRRefD21_0_6x</vt:lpstr>
      <vt:lpstr>'203'!OSRRefD21_0_6x</vt:lpstr>
      <vt:lpstr>'204'!OSRRefD21_0_6x</vt:lpstr>
      <vt:lpstr>'205'!OSRRefD21_0_6x</vt:lpstr>
      <vt:lpstr>'206'!OSRRefD21_0_6x</vt:lpstr>
      <vt:lpstr>'300'!OSRRefD21_0_6x</vt:lpstr>
      <vt:lpstr>'300 &amp; 317'!OSRRefD21_0_6x</vt:lpstr>
      <vt:lpstr>'301'!OSRRefD21_0_6x</vt:lpstr>
      <vt:lpstr>'307'!OSRRefD21_0_6x</vt:lpstr>
      <vt:lpstr>'308'!OSRRefD21_0_6x</vt:lpstr>
      <vt:lpstr>'310'!OSRRefD21_0_6x</vt:lpstr>
      <vt:lpstr>'310 &amp; 491'!OSRRefD21_0_6x</vt:lpstr>
      <vt:lpstr>'311'!OSRRefD21_0_6x</vt:lpstr>
      <vt:lpstr>'315'!OSRRefD21_0_6x</vt:lpstr>
      <vt:lpstr>'316'!OSRRefD21_0_6x</vt:lpstr>
      <vt:lpstr>'317'!OSRRefD21_0_6x</vt:lpstr>
      <vt:lpstr>'321'!OSRRefD21_0_6x</vt:lpstr>
      <vt:lpstr>'325'!OSRRefD21_0_6x</vt:lpstr>
      <vt:lpstr>'326'!OSRRefD21_0_6x</vt:lpstr>
      <vt:lpstr>'330'!OSRRefD21_0_6x</vt:lpstr>
      <vt:lpstr>'331'!OSRRefD21_0_6x</vt:lpstr>
      <vt:lpstr>'332'!OSRRefD21_0_6x</vt:lpstr>
      <vt:lpstr>'405'!OSRRefD21_0_6x</vt:lpstr>
      <vt:lpstr>'411'!OSRRefD21_0_6x</vt:lpstr>
      <vt:lpstr>'415'!OSRRefD21_0_6x</vt:lpstr>
      <vt:lpstr>'418'!OSRRefD21_0_6x</vt:lpstr>
      <vt:lpstr>'423'!OSRRefD21_0_6x</vt:lpstr>
      <vt:lpstr>'430'!OSRRefD21_0_6x</vt:lpstr>
      <vt:lpstr>'433'!OSRRefD21_0_6x</vt:lpstr>
      <vt:lpstr>'444'!OSRRefD21_0_6x</vt:lpstr>
      <vt:lpstr>'450'!OSRRefD21_0_6x</vt:lpstr>
      <vt:lpstr>'491'!OSRRefD21_0_6x</vt:lpstr>
      <vt:lpstr>'492'!OSRRefD21_0_6x</vt:lpstr>
      <vt:lpstr>'501'!OSRRefD21_0_6x</vt:lpstr>
      <vt:lpstr>'Div 2'!OSRRefD21_0_6x</vt:lpstr>
      <vt:lpstr>'Div 3'!OSRRefD21_0_6x</vt:lpstr>
      <vt:lpstr>'Div 4'!OSRRefD21_0_6x</vt:lpstr>
      <vt:lpstr>'Div 5'!OSRRefD21_0_6x</vt:lpstr>
      <vt:lpstr>'Div 6'!OSRRefD21_0_6x</vt:lpstr>
      <vt:lpstr>Summary!OSRRefD21_0_6x</vt:lpstr>
      <vt:lpstr>'201'!OSRRefD21_0_7x</vt:lpstr>
      <vt:lpstr>'202'!OSRRefD21_0_7x</vt:lpstr>
      <vt:lpstr>'203'!OSRRefD21_0_7x</vt:lpstr>
      <vt:lpstr>'204'!OSRRefD21_0_7x</vt:lpstr>
      <vt:lpstr>'205'!OSRRefD21_0_7x</vt:lpstr>
      <vt:lpstr>'206'!OSRRefD21_0_7x</vt:lpstr>
      <vt:lpstr>'300'!OSRRefD21_0_7x</vt:lpstr>
      <vt:lpstr>'300 &amp; 317'!OSRRefD21_0_7x</vt:lpstr>
      <vt:lpstr>'301'!OSRRefD21_0_7x</vt:lpstr>
      <vt:lpstr>'307'!OSRRefD21_0_7x</vt:lpstr>
      <vt:lpstr>'308'!OSRRefD21_0_7x</vt:lpstr>
      <vt:lpstr>'310'!OSRRefD21_0_7x</vt:lpstr>
      <vt:lpstr>'310 &amp; 491'!OSRRefD21_0_7x</vt:lpstr>
      <vt:lpstr>'311'!OSRRefD21_0_7x</vt:lpstr>
      <vt:lpstr>'315'!OSRRefD21_0_7x</vt:lpstr>
      <vt:lpstr>'316'!OSRRefD21_0_7x</vt:lpstr>
      <vt:lpstr>'317'!OSRRefD21_0_7x</vt:lpstr>
      <vt:lpstr>'321'!OSRRefD21_0_7x</vt:lpstr>
      <vt:lpstr>'325'!OSRRefD21_0_7x</vt:lpstr>
      <vt:lpstr>'326'!OSRRefD21_0_7x</vt:lpstr>
      <vt:lpstr>'330'!OSRRefD21_0_7x</vt:lpstr>
      <vt:lpstr>'331'!OSRRefD21_0_7x</vt:lpstr>
      <vt:lpstr>'332'!OSRRefD21_0_7x</vt:lpstr>
      <vt:lpstr>'405'!OSRRefD21_0_7x</vt:lpstr>
      <vt:lpstr>'411'!OSRRefD21_0_7x</vt:lpstr>
      <vt:lpstr>'415'!OSRRefD21_0_7x</vt:lpstr>
      <vt:lpstr>'418'!OSRRefD21_0_7x</vt:lpstr>
      <vt:lpstr>'423'!OSRRefD21_0_7x</vt:lpstr>
      <vt:lpstr>'430'!OSRRefD21_0_7x</vt:lpstr>
      <vt:lpstr>'433'!OSRRefD21_0_7x</vt:lpstr>
      <vt:lpstr>'444'!OSRRefD21_0_7x</vt:lpstr>
      <vt:lpstr>'450'!OSRRefD21_0_7x</vt:lpstr>
      <vt:lpstr>'491'!OSRRefD21_0_7x</vt:lpstr>
      <vt:lpstr>'492'!OSRRefD21_0_7x</vt:lpstr>
      <vt:lpstr>'501'!OSRRefD21_0_7x</vt:lpstr>
      <vt:lpstr>'Div 2'!OSRRefD21_0_7x</vt:lpstr>
      <vt:lpstr>'Div 3'!OSRRefD21_0_7x</vt:lpstr>
      <vt:lpstr>'Div 4'!OSRRefD21_0_7x</vt:lpstr>
      <vt:lpstr>'Div 5'!OSRRefD21_0_7x</vt:lpstr>
      <vt:lpstr>'Div 6'!OSRRefD21_0_7x</vt:lpstr>
      <vt:lpstr>Summary!OSRRefD21_0_7x</vt:lpstr>
      <vt:lpstr>'201'!OSRRefD21_0_8x</vt:lpstr>
      <vt:lpstr>'202'!OSRRefD21_0_8x</vt:lpstr>
      <vt:lpstr>'203'!OSRRefD21_0_8x</vt:lpstr>
      <vt:lpstr>'204'!OSRRefD21_0_8x</vt:lpstr>
      <vt:lpstr>'205'!OSRRefD21_0_8x</vt:lpstr>
      <vt:lpstr>'206'!OSRRefD21_0_8x</vt:lpstr>
      <vt:lpstr>'300'!OSRRefD21_0_8x</vt:lpstr>
      <vt:lpstr>'300 &amp; 317'!OSRRefD21_0_8x</vt:lpstr>
      <vt:lpstr>'301'!OSRRefD21_0_8x</vt:lpstr>
      <vt:lpstr>'308'!OSRRefD21_0_8x</vt:lpstr>
      <vt:lpstr>'310 &amp; 491'!OSRRefD21_0_8x</vt:lpstr>
      <vt:lpstr>'311'!OSRRefD21_0_8x</vt:lpstr>
      <vt:lpstr>'315'!OSRRefD21_0_8x</vt:lpstr>
      <vt:lpstr>'316'!OSRRefD21_0_8x</vt:lpstr>
      <vt:lpstr>'317'!OSRRefD21_0_8x</vt:lpstr>
      <vt:lpstr>'326'!OSRRefD21_0_8x</vt:lpstr>
      <vt:lpstr>'331'!OSRRefD21_0_8x</vt:lpstr>
      <vt:lpstr>'332'!OSRRefD21_0_8x</vt:lpstr>
      <vt:lpstr>'405'!OSRRefD21_0_8x</vt:lpstr>
      <vt:lpstr>'411'!OSRRefD21_0_8x</vt:lpstr>
      <vt:lpstr>'415'!OSRRefD21_0_8x</vt:lpstr>
      <vt:lpstr>'418'!OSRRefD21_0_8x</vt:lpstr>
      <vt:lpstr>'430'!OSRRefD21_0_8x</vt:lpstr>
      <vt:lpstr>'433'!OSRRefD21_0_8x</vt:lpstr>
      <vt:lpstr>'444'!OSRRefD21_0_8x</vt:lpstr>
      <vt:lpstr>'450'!OSRRefD21_0_8x</vt:lpstr>
      <vt:lpstr>'491'!OSRRefD21_0_8x</vt:lpstr>
      <vt:lpstr>'492'!OSRRefD21_0_8x</vt:lpstr>
      <vt:lpstr>'501'!OSRRefD21_0_8x</vt:lpstr>
      <vt:lpstr>'Div 2'!OSRRefD21_0_8x</vt:lpstr>
      <vt:lpstr>'Div 3'!OSRRefD21_0_8x</vt:lpstr>
      <vt:lpstr>'Div 4'!OSRRefD21_0_8x</vt:lpstr>
      <vt:lpstr>'Div 5'!OSRRefD21_0_8x</vt:lpstr>
      <vt:lpstr>'Div 6'!OSRRefD21_0_8x</vt:lpstr>
      <vt:lpstr>Summary!OSRRefD21_0_8x</vt:lpstr>
      <vt:lpstr>'203'!OSRRefD21_0_9x</vt:lpstr>
      <vt:lpstr>'300'!OSRRefD21_0_9x</vt:lpstr>
      <vt:lpstr>'300 &amp; 317'!OSRRefD21_0_9x</vt:lpstr>
      <vt:lpstr>'301'!OSRRefD21_0_9x</vt:lpstr>
      <vt:lpstr>'308'!OSRRefD21_0_9x</vt:lpstr>
      <vt:lpstr>'311'!OSRRefD21_0_9x</vt:lpstr>
      <vt:lpstr>'317'!OSRRefD21_0_9x</vt:lpstr>
      <vt:lpstr>'433'!OSRRefD21_0_9x</vt:lpstr>
      <vt:lpstr>'444'!OSRRefD21_0_9x</vt:lpstr>
      <vt:lpstr>'450'!OSRRefD21_0_9x</vt:lpstr>
      <vt:lpstr>'492'!OSRRefD21_0_9x</vt:lpstr>
      <vt:lpstr>'Div 2'!OSRRefD21_0_9x</vt:lpstr>
      <vt:lpstr>'Div 3'!OSRRefD21_0_9x</vt:lpstr>
      <vt:lpstr>'Div 4'!OSRRefD21_0_9x</vt:lpstr>
      <vt:lpstr>'Div 6'!OSRRefD21_0_9x</vt:lpstr>
      <vt:lpstr>Summary!OSRRefD21_0_9x</vt:lpstr>
      <vt:lpstr>'200'!OSRRefD21_0x_0</vt:lpstr>
      <vt:lpstr>'201'!OSRRefD21_0x_0</vt:lpstr>
      <vt:lpstr>'202'!OSRRefD21_0x_0</vt:lpstr>
      <vt:lpstr>'203'!OSRRefD21_0x_0</vt:lpstr>
      <vt:lpstr>'204'!OSRRefD21_0x_0</vt:lpstr>
      <vt:lpstr>'205'!OSRRefD21_0x_0</vt:lpstr>
      <vt:lpstr>'206'!OSRRefD21_0x_0</vt:lpstr>
      <vt:lpstr>'300'!OSRRefD21_0x_0</vt:lpstr>
      <vt:lpstr>'300 &amp; 317'!OSRRefD21_0x_0</vt:lpstr>
      <vt:lpstr>'301'!OSRRefD21_0x_0</vt:lpstr>
      <vt:lpstr>'307'!OSRRefD21_0x_0</vt:lpstr>
      <vt:lpstr>'308'!OSRRefD21_0x_0</vt:lpstr>
      <vt:lpstr>'309'!OSRRefD21_0x_0</vt:lpstr>
      <vt:lpstr>'310'!OSRRefD21_0x_0</vt:lpstr>
      <vt:lpstr>'310 &amp; 491'!OSRRefD21_0x_0</vt:lpstr>
      <vt:lpstr>'311'!OSRRefD21_0x_0</vt:lpstr>
      <vt:lpstr>'313'!OSRRefD21_0x_0</vt:lpstr>
      <vt:lpstr>'315'!OSRRefD21_0x_0</vt:lpstr>
      <vt:lpstr>'316'!OSRRefD21_0x_0</vt:lpstr>
      <vt:lpstr>'317'!OSRRefD21_0x_0</vt:lpstr>
      <vt:lpstr>'321'!OSRRefD21_0x_0</vt:lpstr>
      <vt:lpstr>'325'!OSRRefD21_0x_0</vt:lpstr>
      <vt:lpstr>'326'!OSRRefD21_0x_0</vt:lpstr>
      <vt:lpstr>'327'!OSRRefD21_0x_0</vt:lpstr>
      <vt:lpstr>'330'!OSRRefD21_0x_0</vt:lpstr>
      <vt:lpstr>'331'!OSRRefD21_0x_0</vt:lpstr>
      <vt:lpstr>'332'!OSRRefD21_0x_0</vt:lpstr>
      <vt:lpstr>'405'!OSRRefD21_0x_0</vt:lpstr>
      <vt:lpstr>'411'!OSRRefD21_0x_0</vt:lpstr>
      <vt:lpstr>'412'!OSRRefD21_0x_0</vt:lpstr>
      <vt:lpstr>'413'!OSRRefD21_0x_0</vt:lpstr>
      <vt:lpstr>'415'!OSRRefD21_0x_0</vt:lpstr>
      <vt:lpstr>'418'!OSRRefD21_0x_0</vt:lpstr>
      <vt:lpstr>'423'!OSRRefD21_0x_0</vt:lpstr>
      <vt:lpstr>'424'!OSRRefD21_0x_0</vt:lpstr>
      <vt:lpstr>'425'!OSRRefD21_0x_0</vt:lpstr>
      <vt:lpstr>'430'!OSRRefD21_0x_0</vt:lpstr>
      <vt:lpstr>'433'!OSRRefD21_0x_0</vt:lpstr>
      <vt:lpstr>'444'!OSRRefD21_0x_0</vt:lpstr>
      <vt:lpstr>'450'!OSRRefD21_0x_0</vt:lpstr>
      <vt:lpstr>'491'!OSRRefD21_0x_0</vt:lpstr>
      <vt:lpstr>'492'!OSRRefD21_0x_0</vt:lpstr>
      <vt:lpstr>'501'!OSRRefD21_0x_0</vt:lpstr>
      <vt:lpstr>'Div 2'!OSRRefD21_0x_0</vt:lpstr>
      <vt:lpstr>'Div 3'!OSRRefD21_0x_0</vt:lpstr>
      <vt:lpstr>'Div 4'!OSRRefD21_0x_0</vt:lpstr>
      <vt:lpstr>'Div 5'!OSRRefD21_0x_0</vt:lpstr>
      <vt:lpstr>'Div 6'!OSRRefD21_0x_0</vt:lpstr>
      <vt:lpstr>Summary!OSRRefD21_0x_0</vt:lpstr>
      <vt:lpstr>'200'!OSRRefD21_1_0x</vt:lpstr>
      <vt:lpstr>'201'!OSRRefD21_1_0x</vt:lpstr>
      <vt:lpstr>'202'!OSRRefD21_1_0x</vt:lpstr>
      <vt:lpstr>'203'!OSRRefD21_1_0x</vt:lpstr>
      <vt:lpstr>'204'!OSRRefD21_1_0x</vt:lpstr>
      <vt:lpstr>'205'!OSRRefD21_1_0x</vt:lpstr>
      <vt:lpstr>'206'!OSRRefD21_1_0x</vt:lpstr>
      <vt:lpstr>'300'!OSRRefD21_1_0x</vt:lpstr>
      <vt:lpstr>'300 &amp; 317'!OSRRefD21_1_0x</vt:lpstr>
      <vt:lpstr>'301'!OSRRefD21_1_0x</vt:lpstr>
      <vt:lpstr>'307'!OSRRefD21_1_0x</vt:lpstr>
      <vt:lpstr>'308'!OSRRefD21_1_0x</vt:lpstr>
      <vt:lpstr>'309'!OSRRefD21_1_0x</vt:lpstr>
      <vt:lpstr>'310'!OSRRefD21_1_0x</vt:lpstr>
      <vt:lpstr>'310 &amp; 491'!OSRRefD21_1_0x</vt:lpstr>
      <vt:lpstr>'311'!OSRRefD21_1_0x</vt:lpstr>
      <vt:lpstr>'315'!OSRRefD21_1_0x</vt:lpstr>
      <vt:lpstr>'316'!OSRRefD21_1_0x</vt:lpstr>
      <vt:lpstr>'317'!OSRRefD21_1_0x</vt:lpstr>
      <vt:lpstr>'321'!OSRRefD21_1_0x</vt:lpstr>
      <vt:lpstr>'325'!OSRRefD21_1_0x</vt:lpstr>
      <vt:lpstr>'326'!OSRRefD21_1_0x</vt:lpstr>
      <vt:lpstr>'330'!OSRRefD21_1_0x</vt:lpstr>
      <vt:lpstr>'331'!OSRRefD21_1_0x</vt:lpstr>
      <vt:lpstr>'332'!OSRRefD21_1_0x</vt:lpstr>
      <vt:lpstr>'405'!OSRRefD21_1_0x</vt:lpstr>
      <vt:lpstr>'411'!OSRRefD21_1_0x</vt:lpstr>
      <vt:lpstr>'412'!OSRRefD21_1_0x</vt:lpstr>
      <vt:lpstr>'415'!OSRRefD21_1_0x</vt:lpstr>
      <vt:lpstr>'418'!OSRRefD21_1_0x</vt:lpstr>
      <vt:lpstr>'423'!OSRRefD21_1_0x</vt:lpstr>
      <vt:lpstr>'430'!OSRRefD21_1_0x</vt:lpstr>
      <vt:lpstr>'433'!OSRRefD21_1_0x</vt:lpstr>
      <vt:lpstr>'444'!OSRRefD21_1_0x</vt:lpstr>
      <vt:lpstr>'450'!OSRRefD21_1_0x</vt:lpstr>
      <vt:lpstr>'491'!OSRRefD21_1_0x</vt:lpstr>
      <vt:lpstr>'492'!OSRRefD21_1_0x</vt:lpstr>
      <vt:lpstr>'501'!OSRRefD21_1_0x</vt:lpstr>
      <vt:lpstr>'Div 2'!OSRRefD21_1_0x</vt:lpstr>
      <vt:lpstr>'Div 3'!OSRRefD21_1_0x</vt:lpstr>
      <vt:lpstr>'Div 4'!OSRRefD21_1_0x</vt:lpstr>
      <vt:lpstr>'Div 5'!OSRRefD21_1_0x</vt:lpstr>
      <vt:lpstr>'Div 6'!OSRRefD21_1_0x</vt:lpstr>
      <vt:lpstr>Summary!OSRRefD21_1_0x</vt:lpstr>
      <vt:lpstr>'201'!OSRRefD21_1_1x</vt:lpstr>
      <vt:lpstr>'202'!OSRRefD21_1_1x</vt:lpstr>
      <vt:lpstr>'203'!OSRRefD21_1_1x</vt:lpstr>
      <vt:lpstr>'204'!OSRRefD21_1_1x</vt:lpstr>
      <vt:lpstr>'205'!OSRRefD21_1_1x</vt:lpstr>
      <vt:lpstr>'206'!OSRRefD21_1_1x</vt:lpstr>
      <vt:lpstr>'300'!OSRRefD21_1_1x</vt:lpstr>
      <vt:lpstr>'300 &amp; 317'!OSRRefD21_1_1x</vt:lpstr>
      <vt:lpstr>'301'!OSRRefD21_1_1x</vt:lpstr>
      <vt:lpstr>'307'!OSRRefD21_1_1x</vt:lpstr>
      <vt:lpstr>'308'!OSRRefD21_1_1x</vt:lpstr>
      <vt:lpstr>'310'!OSRRefD21_1_1x</vt:lpstr>
      <vt:lpstr>'310 &amp; 491'!OSRRefD21_1_1x</vt:lpstr>
      <vt:lpstr>'311'!OSRRefD21_1_1x</vt:lpstr>
      <vt:lpstr>'315'!OSRRefD21_1_1x</vt:lpstr>
      <vt:lpstr>'316'!OSRRefD21_1_1x</vt:lpstr>
      <vt:lpstr>'317'!OSRRefD21_1_1x</vt:lpstr>
      <vt:lpstr>'321'!OSRRefD21_1_1x</vt:lpstr>
      <vt:lpstr>'325'!OSRRefD21_1_1x</vt:lpstr>
      <vt:lpstr>'326'!OSRRefD21_1_1x</vt:lpstr>
      <vt:lpstr>'330'!OSRRefD21_1_1x</vt:lpstr>
      <vt:lpstr>'331'!OSRRefD21_1_1x</vt:lpstr>
      <vt:lpstr>'332'!OSRRefD21_1_1x</vt:lpstr>
      <vt:lpstr>'405'!OSRRefD21_1_1x</vt:lpstr>
      <vt:lpstr>'411'!OSRRefD21_1_1x</vt:lpstr>
      <vt:lpstr>'415'!OSRRefD21_1_1x</vt:lpstr>
      <vt:lpstr>'418'!OSRRefD21_1_1x</vt:lpstr>
      <vt:lpstr>'423'!OSRRefD21_1_1x</vt:lpstr>
      <vt:lpstr>'430'!OSRRefD21_1_1x</vt:lpstr>
      <vt:lpstr>'433'!OSRRefD21_1_1x</vt:lpstr>
      <vt:lpstr>'444'!OSRRefD21_1_1x</vt:lpstr>
      <vt:lpstr>'450'!OSRRefD21_1_1x</vt:lpstr>
      <vt:lpstr>'491'!OSRRefD21_1_1x</vt:lpstr>
      <vt:lpstr>'492'!OSRRefD21_1_1x</vt:lpstr>
      <vt:lpstr>'501'!OSRRefD21_1_1x</vt:lpstr>
      <vt:lpstr>'Div 2'!OSRRefD21_1_1x</vt:lpstr>
      <vt:lpstr>'Div 3'!OSRRefD21_1_1x</vt:lpstr>
      <vt:lpstr>'Div 4'!OSRRefD21_1_1x</vt:lpstr>
      <vt:lpstr>'Div 5'!OSRRefD21_1_1x</vt:lpstr>
      <vt:lpstr>'Div 6'!OSRRefD21_1_1x</vt:lpstr>
      <vt:lpstr>Summary!OSRRefD21_1_1x</vt:lpstr>
      <vt:lpstr>'201'!OSRRefD21_1_2x</vt:lpstr>
      <vt:lpstr>'202'!OSRRefD21_1_2x</vt:lpstr>
      <vt:lpstr>'203'!OSRRefD21_1_2x</vt:lpstr>
      <vt:lpstr>'204'!OSRRefD21_1_2x</vt:lpstr>
      <vt:lpstr>'205'!OSRRefD21_1_2x</vt:lpstr>
      <vt:lpstr>'206'!OSRRefD21_1_2x</vt:lpstr>
      <vt:lpstr>'300'!OSRRefD21_1_2x</vt:lpstr>
      <vt:lpstr>'300 &amp; 317'!OSRRefD21_1_2x</vt:lpstr>
      <vt:lpstr>'301'!OSRRefD21_1_2x</vt:lpstr>
      <vt:lpstr>'307'!OSRRefD21_1_2x</vt:lpstr>
      <vt:lpstr>'308'!OSRRefD21_1_2x</vt:lpstr>
      <vt:lpstr>'310'!OSRRefD21_1_2x</vt:lpstr>
      <vt:lpstr>'310 &amp; 491'!OSRRefD21_1_2x</vt:lpstr>
      <vt:lpstr>'311'!OSRRefD21_1_2x</vt:lpstr>
      <vt:lpstr>'315'!OSRRefD21_1_2x</vt:lpstr>
      <vt:lpstr>'316'!OSRRefD21_1_2x</vt:lpstr>
      <vt:lpstr>'317'!OSRRefD21_1_2x</vt:lpstr>
      <vt:lpstr>'321'!OSRRefD21_1_2x</vt:lpstr>
      <vt:lpstr>'325'!OSRRefD21_1_2x</vt:lpstr>
      <vt:lpstr>'326'!OSRRefD21_1_2x</vt:lpstr>
      <vt:lpstr>'330'!OSRRefD21_1_2x</vt:lpstr>
      <vt:lpstr>'331'!OSRRefD21_1_2x</vt:lpstr>
      <vt:lpstr>'332'!OSRRefD21_1_2x</vt:lpstr>
      <vt:lpstr>'405'!OSRRefD21_1_2x</vt:lpstr>
      <vt:lpstr>'411'!OSRRefD21_1_2x</vt:lpstr>
      <vt:lpstr>'415'!OSRRefD21_1_2x</vt:lpstr>
      <vt:lpstr>'418'!OSRRefD21_1_2x</vt:lpstr>
      <vt:lpstr>'423'!OSRRefD21_1_2x</vt:lpstr>
      <vt:lpstr>'430'!OSRRefD21_1_2x</vt:lpstr>
      <vt:lpstr>'433'!OSRRefD21_1_2x</vt:lpstr>
      <vt:lpstr>'444'!OSRRefD21_1_2x</vt:lpstr>
      <vt:lpstr>'450'!OSRRefD21_1_2x</vt:lpstr>
      <vt:lpstr>'491'!OSRRefD21_1_2x</vt:lpstr>
      <vt:lpstr>'492'!OSRRefD21_1_2x</vt:lpstr>
      <vt:lpstr>'501'!OSRRefD21_1_2x</vt:lpstr>
      <vt:lpstr>'Div 2'!OSRRefD21_1_2x</vt:lpstr>
      <vt:lpstr>'Div 3'!OSRRefD21_1_2x</vt:lpstr>
      <vt:lpstr>'Div 4'!OSRRefD21_1_2x</vt:lpstr>
      <vt:lpstr>'Div 5'!OSRRefD21_1_2x</vt:lpstr>
      <vt:lpstr>'Div 6'!OSRRefD21_1_2x</vt:lpstr>
      <vt:lpstr>Summary!OSRRefD21_1_2x</vt:lpstr>
      <vt:lpstr>'201'!OSRRefD21_1_3x</vt:lpstr>
      <vt:lpstr>'202'!OSRRefD21_1_3x</vt:lpstr>
      <vt:lpstr>'203'!OSRRefD21_1_3x</vt:lpstr>
      <vt:lpstr>'204'!OSRRefD21_1_3x</vt:lpstr>
      <vt:lpstr>'205'!OSRRefD21_1_3x</vt:lpstr>
      <vt:lpstr>'206'!OSRRefD21_1_3x</vt:lpstr>
      <vt:lpstr>'300'!OSRRefD21_1_3x</vt:lpstr>
      <vt:lpstr>'300 &amp; 317'!OSRRefD21_1_3x</vt:lpstr>
      <vt:lpstr>'301'!OSRRefD21_1_3x</vt:lpstr>
      <vt:lpstr>'307'!OSRRefD21_1_3x</vt:lpstr>
      <vt:lpstr>'308'!OSRRefD21_1_3x</vt:lpstr>
      <vt:lpstr>'310'!OSRRefD21_1_3x</vt:lpstr>
      <vt:lpstr>'310 &amp; 491'!OSRRefD21_1_3x</vt:lpstr>
      <vt:lpstr>'311'!OSRRefD21_1_3x</vt:lpstr>
      <vt:lpstr>'315'!OSRRefD21_1_3x</vt:lpstr>
      <vt:lpstr>'316'!OSRRefD21_1_3x</vt:lpstr>
      <vt:lpstr>'317'!OSRRefD21_1_3x</vt:lpstr>
      <vt:lpstr>'321'!OSRRefD21_1_3x</vt:lpstr>
      <vt:lpstr>'325'!OSRRefD21_1_3x</vt:lpstr>
      <vt:lpstr>'326'!OSRRefD21_1_3x</vt:lpstr>
      <vt:lpstr>'330'!OSRRefD21_1_3x</vt:lpstr>
      <vt:lpstr>'331'!OSRRefD21_1_3x</vt:lpstr>
      <vt:lpstr>'332'!OSRRefD21_1_3x</vt:lpstr>
      <vt:lpstr>'405'!OSRRefD21_1_3x</vt:lpstr>
      <vt:lpstr>'411'!OSRRefD21_1_3x</vt:lpstr>
      <vt:lpstr>'415'!OSRRefD21_1_3x</vt:lpstr>
      <vt:lpstr>'418'!OSRRefD21_1_3x</vt:lpstr>
      <vt:lpstr>'423'!OSRRefD21_1_3x</vt:lpstr>
      <vt:lpstr>'430'!OSRRefD21_1_3x</vt:lpstr>
      <vt:lpstr>'433'!OSRRefD21_1_3x</vt:lpstr>
      <vt:lpstr>'444'!OSRRefD21_1_3x</vt:lpstr>
      <vt:lpstr>'450'!OSRRefD21_1_3x</vt:lpstr>
      <vt:lpstr>'491'!OSRRefD21_1_3x</vt:lpstr>
      <vt:lpstr>'492'!OSRRefD21_1_3x</vt:lpstr>
      <vt:lpstr>'501'!OSRRefD21_1_3x</vt:lpstr>
      <vt:lpstr>'Div 2'!OSRRefD21_1_3x</vt:lpstr>
      <vt:lpstr>'Div 3'!OSRRefD21_1_3x</vt:lpstr>
      <vt:lpstr>'Div 4'!OSRRefD21_1_3x</vt:lpstr>
      <vt:lpstr>'Div 5'!OSRRefD21_1_3x</vt:lpstr>
      <vt:lpstr>'Div 6'!OSRRefD21_1_3x</vt:lpstr>
      <vt:lpstr>Summary!OSRRefD21_1_3x</vt:lpstr>
      <vt:lpstr>'201'!OSRRefD21_1_4x</vt:lpstr>
      <vt:lpstr>'202'!OSRRefD21_1_4x</vt:lpstr>
      <vt:lpstr>'203'!OSRRefD21_1_4x</vt:lpstr>
      <vt:lpstr>'204'!OSRRefD21_1_4x</vt:lpstr>
      <vt:lpstr>'205'!OSRRefD21_1_4x</vt:lpstr>
      <vt:lpstr>'206'!OSRRefD21_1_4x</vt:lpstr>
      <vt:lpstr>'300'!OSRRefD21_1_4x</vt:lpstr>
      <vt:lpstr>'300 &amp; 317'!OSRRefD21_1_4x</vt:lpstr>
      <vt:lpstr>'301'!OSRRefD21_1_4x</vt:lpstr>
      <vt:lpstr>'307'!OSRRefD21_1_4x</vt:lpstr>
      <vt:lpstr>'308'!OSRRefD21_1_4x</vt:lpstr>
      <vt:lpstr>'310'!OSRRefD21_1_4x</vt:lpstr>
      <vt:lpstr>'310 &amp; 491'!OSRRefD21_1_4x</vt:lpstr>
      <vt:lpstr>'311'!OSRRefD21_1_4x</vt:lpstr>
      <vt:lpstr>'315'!OSRRefD21_1_4x</vt:lpstr>
      <vt:lpstr>'316'!OSRRefD21_1_4x</vt:lpstr>
      <vt:lpstr>'317'!OSRRefD21_1_4x</vt:lpstr>
      <vt:lpstr>'321'!OSRRefD21_1_4x</vt:lpstr>
      <vt:lpstr>'325'!OSRRefD21_1_4x</vt:lpstr>
      <vt:lpstr>'326'!OSRRefD21_1_4x</vt:lpstr>
      <vt:lpstr>'330'!OSRRefD21_1_4x</vt:lpstr>
      <vt:lpstr>'331'!OSRRefD21_1_4x</vt:lpstr>
      <vt:lpstr>'332'!OSRRefD21_1_4x</vt:lpstr>
      <vt:lpstr>'405'!OSRRefD21_1_4x</vt:lpstr>
      <vt:lpstr>'411'!OSRRefD21_1_4x</vt:lpstr>
      <vt:lpstr>'415'!OSRRefD21_1_4x</vt:lpstr>
      <vt:lpstr>'418'!OSRRefD21_1_4x</vt:lpstr>
      <vt:lpstr>'423'!OSRRefD21_1_4x</vt:lpstr>
      <vt:lpstr>'430'!OSRRefD21_1_4x</vt:lpstr>
      <vt:lpstr>'433'!OSRRefD21_1_4x</vt:lpstr>
      <vt:lpstr>'444'!OSRRefD21_1_4x</vt:lpstr>
      <vt:lpstr>'450'!OSRRefD21_1_4x</vt:lpstr>
      <vt:lpstr>'491'!OSRRefD21_1_4x</vt:lpstr>
      <vt:lpstr>'492'!OSRRefD21_1_4x</vt:lpstr>
      <vt:lpstr>'501'!OSRRefD21_1_4x</vt:lpstr>
      <vt:lpstr>'Div 2'!OSRRefD21_1_4x</vt:lpstr>
      <vt:lpstr>'Div 3'!OSRRefD21_1_4x</vt:lpstr>
      <vt:lpstr>'Div 4'!OSRRefD21_1_4x</vt:lpstr>
      <vt:lpstr>'Div 5'!OSRRefD21_1_4x</vt:lpstr>
      <vt:lpstr>'Div 6'!OSRRefD21_1_4x</vt:lpstr>
      <vt:lpstr>Summary!OSRRefD21_1_4x</vt:lpstr>
      <vt:lpstr>'201'!OSRRefD21_1_5x</vt:lpstr>
      <vt:lpstr>'202'!OSRRefD21_1_5x</vt:lpstr>
      <vt:lpstr>'203'!OSRRefD21_1_5x</vt:lpstr>
      <vt:lpstr>'204'!OSRRefD21_1_5x</vt:lpstr>
      <vt:lpstr>'205'!OSRRefD21_1_5x</vt:lpstr>
      <vt:lpstr>'206'!OSRRefD21_1_5x</vt:lpstr>
      <vt:lpstr>'300'!OSRRefD21_1_5x</vt:lpstr>
      <vt:lpstr>'300 &amp; 317'!OSRRefD21_1_5x</vt:lpstr>
      <vt:lpstr>'301'!OSRRefD21_1_5x</vt:lpstr>
      <vt:lpstr>'307'!OSRRefD21_1_5x</vt:lpstr>
      <vt:lpstr>'308'!OSRRefD21_1_5x</vt:lpstr>
      <vt:lpstr>'310'!OSRRefD21_1_5x</vt:lpstr>
      <vt:lpstr>'310 &amp; 491'!OSRRefD21_1_5x</vt:lpstr>
      <vt:lpstr>'311'!OSRRefD21_1_5x</vt:lpstr>
      <vt:lpstr>'315'!OSRRefD21_1_5x</vt:lpstr>
      <vt:lpstr>'316'!OSRRefD21_1_5x</vt:lpstr>
      <vt:lpstr>'317'!OSRRefD21_1_5x</vt:lpstr>
      <vt:lpstr>'321'!OSRRefD21_1_5x</vt:lpstr>
      <vt:lpstr>'325'!OSRRefD21_1_5x</vt:lpstr>
      <vt:lpstr>'326'!OSRRefD21_1_5x</vt:lpstr>
      <vt:lpstr>'330'!OSRRefD21_1_5x</vt:lpstr>
      <vt:lpstr>'331'!OSRRefD21_1_5x</vt:lpstr>
      <vt:lpstr>'332'!OSRRefD21_1_5x</vt:lpstr>
      <vt:lpstr>'405'!OSRRefD21_1_5x</vt:lpstr>
      <vt:lpstr>'411'!OSRRefD21_1_5x</vt:lpstr>
      <vt:lpstr>'415'!OSRRefD21_1_5x</vt:lpstr>
      <vt:lpstr>'418'!OSRRefD21_1_5x</vt:lpstr>
      <vt:lpstr>'423'!OSRRefD21_1_5x</vt:lpstr>
      <vt:lpstr>'430'!OSRRefD21_1_5x</vt:lpstr>
      <vt:lpstr>'433'!OSRRefD21_1_5x</vt:lpstr>
      <vt:lpstr>'444'!OSRRefD21_1_5x</vt:lpstr>
      <vt:lpstr>'450'!OSRRefD21_1_5x</vt:lpstr>
      <vt:lpstr>'491'!OSRRefD21_1_5x</vt:lpstr>
      <vt:lpstr>'492'!OSRRefD21_1_5x</vt:lpstr>
      <vt:lpstr>'501'!OSRRefD21_1_5x</vt:lpstr>
      <vt:lpstr>'Div 2'!OSRRefD21_1_5x</vt:lpstr>
      <vt:lpstr>'Div 3'!OSRRefD21_1_5x</vt:lpstr>
      <vt:lpstr>'Div 4'!OSRRefD21_1_5x</vt:lpstr>
      <vt:lpstr>'Div 5'!OSRRefD21_1_5x</vt:lpstr>
      <vt:lpstr>'Div 6'!OSRRefD21_1_5x</vt:lpstr>
      <vt:lpstr>Summary!OSRRefD21_1_5x</vt:lpstr>
      <vt:lpstr>'201'!OSRRefD21_1_6x</vt:lpstr>
      <vt:lpstr>'202'!OSRRefD21_1_6x</vt:lpstr>
      <vt:lpstr>'203'!OSRRefD21_1_6x</vt:lpstr>
      <vt:lpstr>'204'!OSRRefD21_1_6x</vt:lpstr>
      <vt:lpstr>'205'!OSRRefD21_1_6x</vt:lpstr>
      <vt:lpstr>'206'!OSRRefD21_1_6x</vt:lpstr>
      <vt:lpstr>'300'!OSRRefD21_1_6x</vt:lpstr>
      <vt:lpstr>'300 &amp; 317'!OSRRefD21_1_6x</vt:lpstr>
      <vt:lpstr>'301'!OSRRefD21_1_6x</vt:lpstr>
      <vt:lpstr>'307'!OSRRefD21_1_6x</vt:lpstr>
      <vt:lpstr>'308'!OSRRefD21_1_6x</vt:lpstr>
      <vt:lpstr>'310'!OSRRefD21_1_6x</vt:lpstr>
      <vt:lpstr>'310 &amp; 491'!OSRRefD21_1_6x</vt:lpstr>
      <vt:lpstr>'311'!OSRRefD21_1_6x</vt:lpstr>
      <vt:lpstr>'315'!OSRRefD21_1_6x</vt:lpstr>
      <vt:lpstr>'316'!OSRRefD21_1_6x</vt:lpstr>
      <vt:lpstr>'317'!OSRRefD21_1_6x</vt:lpstr>
      <vt:lpstr>'321'!OSRRefD21_1_6x</vt:lpstr>
      <vt:lpstr>'325'!OSRRefD21_1_6x</vt:lpstr>
      <vt:lpstr>'326'!OSRRefD21_1_6x</vt:lpstr>
      <vt:lpstr>'330'!OSRRefD21_1_6x</vt:lpstr>
      <vt:lpstr>'331'!OSRRefD21_1_6x</vt:lpstr>
      <vt:lpstr>'332'!OSRRefD21_1_6x</vt:lpstr>
      <vt:lpstr>'405'!OSRRefD21_1_6x</vt:lpstr>
      <vt:lpstr>'411'!OSRRefD21_1_6x</vt:lpstr>
      <vt:lpstr>'415'!OSRRefD21_1_6x</vt:lpstr>
      <vt:lpstr>'418'!OSRRefD21_1_6x</vt:lpstr>
      <vt:lpstr>'423'!OSRRefD21_1_6x</vt:lpstr>
      <vt:lpstr>'430'!OSRRefD21_1_6x</vt:lpstr>
      <vt:lpstr>'433'!OSRRefD21_1_6x</vt:lpstr>
      <vt:lpstr>'444'!OSRRefD21_1_6x</vt:lpstr>
      <vt:lpstr>'450'!OSRRefD21_1_6x</vt:lpstr>
      <vt:lpstr>'491'!OSRRefD21_1_6x</vt:lpstr>
      <vt:lpstr>'492'!OSRRefD21_1_6x</vt:lpstr>
      <vt:lpstr>'501'!OSRRefD21_1_6x</vt:lpstr>
      <vt:lpstr>'Div 2'!OSRRefD21_1_6x</vt:lpstr>
      <vt:lpstr>'Div 3'!OSRRefD21_1_6x</vt:lpstr>
      <vt:lpstr>'Div 4'!OSRRefD21_1_6x</vt:lpstr>
      <vt:lpstr>'Div 5'!OSRRefD21_1_6x</vt:lpstr>
      <vt:lpstr>'Div 6'!OSRRefD21_1_6x</vt:lpstr>
      <vt:lpstr>Summary!OSRRefD21_1_6x</vt:lpstr>
      <vt:lpstr>'201'!OSRRefD21_1_7x</vt:lpstr>
      <vt:lpstr>'202'!OSRRefD21_1_7x</vt:lpstr>
      <vt:lpstr>'203'!OSRRefD21_1_7x</vt:lpstr>
      <vt:lpstr>'204'!OSRRefD21_1_7x</vt:lpstr>
      <vt:lpstr>'205'!OSRRefD21_1_7x</vt:lpstr>
      <vt:lpstr>'206'!OSRRefD21_1_7x</vt:lpstr>
      <vt:lpstr>'300'!OSRRefD21_1_7x</vt:lpstr>
      <vt:lpstr>'300 &amp; 317'!OSRRefD21_1_7x</vt:lpstr>
      <vt:lpstr>'301'!OSRRefD21_1_7x</vt:lpstr>
      <vt:lpstr>'307'!OSRRefD21_1_7x</vt:lpstr>
      <vt:lpstr>'308'!OSRRefD21_1_7x</vt:lpstr>
      <vt:lpstr>'310'!OSRRefD21_1_7x</vt:lpstr>
      <vt:lpstr>'310 &amp; 491'!OSRRefD21_1_7x</vt:lpstr>
      <vt:lpstr>'311'!OSRRefD21_1_7x</vt:lpstr>
      <vt:lpstr>'315'!OSRRefD21_1_7x</vt:lpstr>
      <vt:lpstr>'316'!OSRRefD21_1_7x</vt:lpstr>
      <vt:lpstr>'317'!OSRRefD21_1_7x</vt:lpstr>
      <vt:lpstr>'321'!OSRRefD21_1_7x</vt:lpstr>
      <vt:lpstr>'325'!OSRRefD21_1_7x</vt:lpstr>
      <vt:lpstr>'326'!OSRRefD21_1_7x</vt:lpstr>
      <vt:lpstr>'330'!OSRRefD21_1_7x</vt:lpstr>
      <vt:lpstr>'331'!OSRRefD21_1_7x</vt:lpstr>
      <vt:lpstr>'332'!OSRRefD21_1_7x</vt:lpstr>
      <vt:lpstr>'405'!OSRRefD21_1_7x</vt:lpstr>
      <vt:lpstr>'411'!OSRRefD21_1_7x</vt:lpstr>
      <vt:lpstr>'415'!OSRRefD21_1_7x</vt:lpstr>
      <vt:lpstr>'418'!OSRRefD21_1_7x</vt:lpstr>
      <vt:lpstr>'423'!OSRRefD21_1_7x</vt:lpstr>
      <vt:lpstr>'430'!OSRRefD21_1_7x</vt:lpstr>
      <vt:lpstr>'433'!OSRRefD21_1_7x</vt:lpstr>
      <vt:lpstr>'444'!OSRRefD21_1_7x</vt:lpstr>
      <vt:lpstr>'450'!OSRRefD21_1_7x</vt:lpstr>
      <vt:lpstr>'491'!OSRRefD21_1_7x</vt:lpstr>
      <vt:lpstr>'492'!OSRRefD21_1_7x</vt:lpstr>
      <vt:lpstr>'501'!OSRRefD21_1_7x</vt:lpstr>
      <vt:lpstr>'Div 2'!OSRRefD21_1_7x</vt:lpstr>
      <vt:lpstr>'Div 3'!OSRRefD21_1_7x</vt:lpstr>
      <vt:lpstr>'Div 4'!OSRRefD21_1_7x</vt:lpstr>
      <vt:lpstr>'Div 5'!OSRRefD21_1_7x</vt:lpstr>
      <vt:lpstr>'Div 6'!OSRRefD21_1_7x</vt:lpstr>
      <vt:lpstr>Summary!OSRRefD21_1_7x</vt:lpstr>
      <vt:lpstr>'201'!OSRRefD21_1_8x</vt:lpstr>
      <vt:lpstr>'202'!OSRRefD21_1_8x</vt:lpstr>
      <vt:lpstr>'203'!OSRRefD21_1_8x</vt:lpstr>
      <vt:lpstr>'204'!OSRRefD21_1_8x</vt:lpstr>
      <vt:lpstr>'205'!OSRRefD21_1_8x</vt:lpstr>
      <vt:lpstr>'206'!OSRRefD21_1_8x</vt:lpstr>
      <vt:lpstr>'300'!OSRRefD21_1_8x</vt:lpstr>
      <vt:lpstr>'300 &amp; 317'!OSRRefD21_1_8x</vt:lpstr>
      <vt:lpstr>'301'!OSRRefD21_1_8x</vt:lpstr>
      <vt:lpstr>'307'!OSRRefD21_1_8x</vt:lpstr>
      <vt:lpstr>'308'!OSRRefD21_1_8x</vt:lpstr>
      <vt:lpstr>'310'!OSRRefD21_1_8x</vt:lpstr>
      <vt:lpstr>'310 &amp; 491'!OSRRefD21_1_8x</vt:lpstr>
      <vt:lpstr>'311'!OSRRefD21_1_8x</vt:lpstr>
      <vt:lpstr>'315'!OSRRefD21_1_8x</vt:lpstr>
      <vt:lpstr>'316'!OSRRefD21_1_8x</vt:lpstr>
      <vt:lpstr>'317'!OSRRefD21_1_8x</vt:lpstr>
      <vt:lpstr>'321'!OSRRefD21_1_8x</vt:lpstr>
      <vt:lpstr>'325'!OSRRefD21_1_8x</vt:lpstr>
      <vt:lpstr>'326'!OSRRefD21_1_8x</vt:lpstr>
      <vt:lpstr>'330'!OSRRefD21_1_8x</vt:lpstr>
      <vt:lpstr>'331'!OSRRefD21_1_8x</vt:lpstr>
      <vt:lpstr>'332'!OSRRefD21_1_8x</vt:lpstr>
      <vt:lpstr>'405'!OSRRefD21_1_8x</vt:lpstr>
      <vt:lpstr>'411'!OSRRefD21_1_8x</vt:lpstr>
      <vt:lpstr>'415'!OSRRefD21_1_8x</vt:lpstr>
      <vt:lpstr>'418'!OSRRefD21_1_8x</vt:lpstr>
      <vt:lpstr>'423'!OSRRefD21_1_8x</vt:lpstr>
      <vt:lpstr>'430'!OSRRefD21_1_8x</vt:lpstr>
      <vt:lpstr>'433'!OSRRefD21_1_8x</vt:lpstr>
      <vt:lpstr>'444'!OSRRefD21_1_8x</vt:lpstr>
      <vt:lpstr>'450'!OSRRefD21_1_8x</vt:lpstr>
      <vt:lpstr>'491'!OSRRefD21_1_8x</vt:lpstr>
      <vt:lpstr>'492'!OSRRefD21_1_8x</vt:lpstr>
      <vt:lpstr>'501'!OSRRefD21_1_8x</vt:lpstr>
      <vt:lpstr>'Div 2'!OSRRefD21_1_8x</vt:lpstr>
      <vt:lpstr>'Div 3'!OSRRefD21_1_8x</vt:lpstr>
      <vt:lpstr>'Div 4'!OSRRefD21_1_8x</vt:lpstr>
      <vt:lpstr>'Div 5'!OSRRefD21_1_8x</vt:lpstr>
      <vt:lpstr>'Div 6'!OSRRefD21_1_8x</vt:lpstr>
      <vt:lpstr>Summary!OSRRefD21_1_8x</vt:lpstr>
      <vt:lpstr>'201'!OSRRefD21_1_9x</vt:lpstr>
      <vt:lpstr>'202'!OSRRefD21_1_9x</vt:lpstr>
      <vt:lpstr>'203'!OSRRefD21_1_9x</vt:lpstr>
      <vt:lpstr>'204'!OSRRefD21_1_9x</vt:lpstr>
      <vt:lpstr>'205'!OSRRefD21_1_9x</vt:lpstr>
      <vt:lpstr>'206'!OSRRefD21_1_9x</vt:lpstr>
      <vt:lpstr>'300'!OSRRefD21_1_9x</vt:lpstr>
      <vt:lpstr>'300 &amp; 317'!OSRRefD21_1_9x</vt:lpstr>
      <vt:lpstr>'301'!OSRRefD21_1_9x</vt:lpstr>
      <vt:lpstr>'307'!OSRRefD21_1_9x</vt:lpstr>
      <vt:lpstr>'308'!OSRRefD21_1_9x</vt:lpstr>
      <vt:lpstr>'310'!OSRRefD21_1_9x</vt:lpstr>
      <vt:lpstr>'310 &amp; 491'!OSRRefD21_1_9x</vt:lpstr>
      <vt:lpstr>'311'!OSRRefD21_1_9x</vt:lpstr>
      <vt:lpstr>'315'!OSRRefD21_1_9x</vt:lpstr>
      <vt:lpstr>'316'!OSRRefD21_1_9x</vt:lpstr>
      <vt:lpstr>'317'!OSRRefD21_1_9x</vt:lpstr>
      <vt:lpstr>'321'!OSRRefD21_1_9x</vt:lpstr>
      <vt:lpstr>'325'!OSRRefD21_1_9x</vt:lpstr>
      <vt:lpstr>'326'!OSRRefD21_1_9x</vt:lpstr>
      <vt:lpstr>'330'!OSRRefD21_1_9x</vt:lpstr>
      <vt:lpstr>'331'!OSRRefD21_1_9x</vt:lpstr>
      <vt:lpstr>'332'!OSRRefD21_1_9x</vt:lpstr>
      <vt:lpstr>'405'!OSRRefD21_1_9x</vt:lpstr>
      <vt:lpstr>'411'!OSRRefD21_1_9x</vt:lpstr>
      <vt:lpstr>'415'!OSRRefD21_1_9x</vt:lpstr>
      <vt:lpstr>'418'!OSRRefD21_1_9x</vt:lpstr>
      <vt:lpstr>'423'!OSRRefD21_1_9x</vt:lpstr>
      <vt:lpstr>'430'!OSRRefD21_1_9x</vt:lpstr>
      <vt:lpstr>'433'!OSRRefD21_1_9x</vt:lpstr>
      <vt:lpstr>'444'!OSRRefD21_1_9x</vt:lpstr>
      <vt:lpstr>'450'!OSRRefD21_1_9x</vt:lpstr>
      <vt:lpstr>'491'!OSRRefD21_1_9x</vt:lpstr>
      <vt:lpstr>'492'!OSRRefD21_1_9x</vt:lpstr>
      <vt:lpstr>'501'!OSRRefD21_1_9x</vt:lpstr>
      <vt:lpstr>'Div 2'!OSRRefD21_1_9x</vt:lpstr>
      <vt:lpstr>'Div 3'!OSRRefD21_1_9x</vt:lpstr>
      <vt:lpstr>'Div 4'!OSRRefD21_1_9x</vt:lpstr>
      <vt:lpstr>'Div 5'!OSRRefD21_1_9x</vt:lpstr>
      <vt:lpstr>'Div 6'!OSRRefD21_1_9x</vt:lpstr>
      <vt:lpstr>Summary!OSRRefD21_1_9x</vt:lpstr>
      <vt:lpstr>'201'!OSRRefD21_10_0x</vt:lpstr>
      <vt:lpstr>'202'!OSRRefD21_10_0x</vt:lpstr>
      <vt:lpstr>'203'!OSRRefD21_10_0x</vt:lpstr>
      <vt:lpstr>'300'!OSRRefD21_10_0x</vt:lpstr>
      <vt:lpstr>'300 &amp; 317'!OSRRefD21_10_0x</vt:lpstr>
      <vt:lpstr>'301'!OSRRefD21_10_0x</vt:lpstr>
      <vt:lpstr>'308'!OSRRefD21_10_0x</vt:lpstr>
      <vt:lpstr>'310'!OSRRefD21_10_0x</vt:lpstr>
      <vt:lpstr>'310 &amp; 491'!OSRRefD21_10_0x</vt:lpstr>
      <vt:lpstr>'311'!OSRRefD21_10_0x</vt:lpstr>
      <vt:lpstr>'315'!OSRRefD21_10_0x</vt:lpstr>
      <vt:lpstr>'321'!OSRRefD21_10_0x</vt:lpstr>
      <vt:lpstr>'325'!OSRRefD21_10_0x</vt:lpstr>
      <vt:lpstr>'326'!OSRRefD21_10_0x</vt:lpstr>
      <vt:lpstr>'331'!OSRRefD21_10_0x</vt:lpstr>
      <vt:lpstr>'405'!OSRRefD21_10_0x</vt:lpstr>
      <vt:lpstr>'411'!OSRRefD21_10_0x</vt:lpstr>
      <vt:lpstr>'415'!OSRRefD21_10_0x</vt:lpstr>
      <vt:lpstr>'418'!OSRRefD21_10_0x</vt:lpstr>
      <vt:lpstr>'433'!OSRRefD21_10_0x</vt:lpstr>
      <vt:lpstr>'444'!OSRRefD21_10_0x</vt:lpstr>
      <vt:lpstr>'450'!OSRRefD21_10_0x</vt:lpstr>
      <vt:lpstr>'491'!OSRRefD21_10_0x</vt:lpstr>
      <vt:lpstr>'492'!OSRRefD21_10_0x</vt:lpstr>
      <vt:lpstr>'501'!OSRRefD21_10_0x</vt:lpstr>
      <vt:lpstr>'Div 2'!OSRRefD21_10_0x</vt:lpstr>
      <vt:lpstr>'Div 3'!OSRRefD21_10_0x</vt:lpstr>
      <vt:lpstr>'Div 4'!OSRRefD21_10_0x</vt:lpstr>
      <vt:lpstr>'Div 5'!OSRRefD21_10_0x</vt:lpstr>
      <vt:lpstr>Summary!OSRRefD21_10_0x</vt:lpstr>
      <vt:lpstr>'300'!OSRRefD21_10_1x</vt:lpstr>
      <vt:lpstr>'300 &amp; 317'!OSRRefD21_10_1x</vt:lpstr>
      <vt:lpstr>'308'!OSRRefD21_10_1x</vt:lpstr>
      <vt:lpstr>'311'!OSRRefD21_10_1x</vt:lpstr>
      <vt:lpstr>'325'!OSRRefD21_10_1x</vt:lpstr>
      <vt:lpstr>'326'!OSRRefD21_10_1x</vt:lpstr>
      <vt:lpstr>'Div 3'!OSRRefD21_10_1x</vt:lpstr>
      <vt:lpstr>Summary!OSRRefD21_10_1x</vt:lpstr>
      <vt:lpstr>'201'!OSRRefD21_10x_0</vt:lpstr>
      <vt:lpstr>'202'!OSRRefD21_10x_0</vt:lpstr>
      <vt:lpstr>'203'!OSRRefD21_10x_0</vt:lpstr>
      <vt:lpstr>'300'!OSRRefD21_10x_0</vt:lpstr>
      <vt:lpstr>'300 &amp; 317'!OSRRefD21_10x_0</vt:lpstr>
      <vt:lpstr>'301'!OSRRefD21_10x_0</vt:lpstr>
      <vt:lpstr>'308'!OSRRefD21_10x_0</vt:lpstr>
      <vt:lpstr>'310'!OSRRefD21_10x_0</vt:lpstr>
      <vt:lpstr>'310 &amp; 491'!OSRRefD21_10x_0</vt:lpstr>
      <vt:lpstr>'311'!OSRRefD21_10x_0</vt:lpstr>
      <vt:lpstr>'315'!OSRRefD21_10x_0</vt:lpstr>
      <vt:lpstr>'321'!OSRRefD21_10x_0</vt:lpstr>
      <vt:lpstr>'325'!OSRRefD21_10x_0</vt:lpstr>
      <vt:lpstr>'326'!OSRRefD21_10x_0</vt:lpstr>
      <vt:lpstr>'331'!OSRRefD21_10x_0</vt:lpstr>
      <vt:lpstr>'405'!OSRRefD21_10x_0</vt:lpstr>
      <vt:lpstr>'411'!OSRRefD21_10x_0</vt:lpstr>
      <vt:lpstr>'415'!OSRRefD21_10x_0</vt:lpstr>
      <vt:lpstr>'418'!OSRRefD21_10x_0</vt:lpstr>
      <vt:lpstr>'433'!OSRRefD21_10x_0</vt:lpstr>
      <vt:lpstr>'444'!OSRRefD21_10x_0</vt:lpstr>
      <vt:lpstr>'450'!OSRRefD21_10x_0</vt:lpstr>
      <vt:lpstr>'491'!OSRRefD21_10x_0</vt:lpstr>
      <vt:lpstr>'492'!OSRRefD21_10x_0</vt:lpstr>
      <vt:lpstr>'501'!OSRRefD21_10x_0</vt:lpstr>
      <vt:lpstr>'Div 2'!OSRRefD21_10x_0</vt:lpstr>
      <vt:lpstr>'Div 3'!OSRRefD21_10x_0</vt:lpstr>
      <vt:lpstr>'Div 4'!OSRRefD21_10x_0</vt:lpstr>
      <vt:lpstr>'Div 5'!OSRRefD21_10x_0</vt:lpstr>
      <vt:lpstr>Summary!OSRRefD21_10x_0</vt:lpstr>
      <vt:lpstr>'201'!OSRRefD21_11_0x</vt:lpstr>
      <vt:lpstr>'202'!OSRRefD21_11_0x</vt:lpstr>
      <vt:lpstr>'203'!OSRRefD21_11_0x</vt:lpstr>
      <vt:lpstr>'300'!OSRRefD21_11_0x</vt:lpstr>
      <vt:lpstr>'300 &amp; 317'!OSRRefD21_11_0x</vt:lpstr>
      <vt:lpstr>'301'!OSRRefD21_11_0x</vt:lpstr>
      <vt:lpstr>'308'!OSRRefD21_11_0x</vt:lpstr>
      <vt:lpstr>'310'!OSRRefD21_11_0x</vt:lpstr>
      <vt:lpstr>'310 &amp; 491'!OSRRefD21_11_0x</vt:lpstr>
      <vt:lpstr>'311'!OSRRefD21_11_0x</vt:lpstr>
      <vt:lpstr>'315'!OSRRefD21_11_0x</vt:lpstr>
      <vt:lpstr>'321'!OSRRefD21_11_0x</vt:lpstr>
      <vt:lpstr>'325'!OSRRefD21_11_0x</vt:lpstr>
      <vt:lpstr>'326'!OSRRefD21_11_0x</vt:lpstr>
      <vt:lpstr>'331'!OSRRefD21_11_0x</vt:lpstr>
      <vt:lpstr>'405'!OSRRefD21_11_0x</vt:lpstr>
      <vt:lpstr>'411'!OSRRefD21_11_0x</vt:lpstr>
      <vt:lpstr>'415'!OSRRefD21_11_0x</vt:lpstr>
      <vt:lpstr>'418'!OSRRefD21_11_0x</vt:lpstr>
      <vt:lpstr>'433'!OSRRefD21_11_0x</vt:lpstr>
      <vt:lpstr>'444'!OSRRefD21_11_0x</vt:lpstr>
      <vt:lpstr>'450'!OSRRefD21_11_0x</vt:lpstr>
      <vt:lpstr>'491'!OSRRefD21_11_0x</vt:lpstr>
      <vt:lpstr>'492'!OSRRefD21_11_0x</vt:lpstr>
      <vt:lpstr>'501'!OSRRefD21_11_0x</vt:lpstr>
      <vt:lpstr>'Div 2'!OSRRefD21_11_0x</vt:lpstr>
      <vt:lpstr>'Div 3'!OSRRefD21_11_0x</vt:lpstr>
      <vt:lpstr>'Div 4'!OSRRefD21_11_0x</vt:lpstr>
      <vt:lpstr>'Div 5'!OSRRefD21_11_0x</vt:lpstr>
      <vt:lpstr>Summary!OSRRefD21_11_0x</vt:lpstr>
      <vt:lpstr>'203'!OSRRefD21_11_1x</vt:lpstr>
      <vt:lpstr>'300'!OSRRefD21_11_1x</vt:lpstr>
      <vt:lpstr>'300 &amp; 317'!OSRRefD21_11_1x</vt:lpstr>
      <vt:lpstr>'308'!OSRRefD21_11_1x</vt:lpstr>
      <vt:lpstr>'310'!OSRRefD21_11_1x</vt:lpstr>
      <vt:lpstr>'311'!OSRRefD21_11_1x</vt:lpstr>
      <vt:lpstr>'315'!OSRRefD21_11_1x</vt:lpstr>
      <vt:lpstr>'325'!OSRRefD21_11_1x</vt:lpstr>
      <vt:lpstr>'326'!OSRRefD21_11_1x</vt:lpstr>
      <vt:lpstr>'405'!OSRRefD21_11_1x</vt:lpstr>
      <vt:lpstr>'415'!OSRRefD21_11_1x</vt:lpstr>
      <vt:lpstr>'418'!OSRRefD21_11_1x</vt:lpstr>
      <vt:lpstr>'433'!OSRRefD21_11_1x</vt:lpstr>
      <vt:lpstr>'444'!OSRRefD21_11_1x</vt:lpstr>
      <vt:lpstr>'450'!OSRRefD21_11_1x</vt:lpstr>
      <vt:lpstr>'501'!OSRRefD21_11_1x</vt:lpstr>
      <vt:lpstr>'Div 3'!OSRRefD21_11_1x</vt:lpstr>
      <vt:lpstr>'Div 5'!OSRRefD21_11_1x</vt:lpstr>
      <vt:lpstr>Summary!OSRRefD21_11_1x</vt:lpstr>
      <vt:lpstr>'203'!OSRRefD21_11_2x</vt:lpstr>
      <vt:lpstr>'310'!OSRRefD21_11_2x</vt:lpstr>
      <vt:lpstr>'315'!OSRRefD21_11_2x</vt:lpstr>
      <vt:lpstr>'405'!OSRRefD21_11_2x</vt:lpstr>
      <vt:lpstr>'418'!OSRRefD21_11_2x</vt:lpstr>
      <vt:lpstr>'433'!OSRRefD21_11_2x</vt:lpstr>
      <vt:lpstr>Summary!OSRRefD21_11_2x</vt:lpstr>
      <vt:lpstr>'203'!OSRRefD21_11_3x</vt:lpstr>
      <vt:lpstr>'405'!OSRRefD21_11_3x</vt:lpstr>
      <vt:lpstr>'418'!OSRRefD21_11_3x</vt:lpstr>
      <vt:lpstr>'405'!OSRRefD21_11_4x</vt:lpstr>
      <vt:lpstr>'418'!OSRRefD21_11_4x</vt:lpstr>
      <vt:lpstr>'405'!OSRRefD21_11_5x</vt:lpstr>
      <vt:lpstr>'418'!OSRRefD21_11_5x</vt:lpstr>
      <vt:lpstr>'405'!OSRRefD21_11_6x</vt:lpstr>
      <vt:lpstr>'418'!OSRRefD21_11_6x</vt:lpstr>
      <vt:lpstr>'201'!OSRRefD21_11x_0</vt:lpstr>
      <vt:lpstr>'202'!OSRRefD21_11x_0</vt:lpstr>
      <vt:lpstr>'203'!OSRRefD21_11x_0</vt:lpstr>
      <vt:lpstr>'300'!OSRRefD21_11x_0</vt:lpstr>
      <vt:lpstr>'300 &amp; 317'!OSRRefD21_11x_0</vt:lpstr>
      <vt:lpstr>'301'!OSRRefD21_11x_0</vt:lpstr>
      <vt:lpstr>'308'!OSRRefD21_11x_0</vt:lpstr>
      <vt:lpstr>'310'!OSRRefD21_11x_0</vt:lpstr>
      <vt:lpstr>'310 &amp; 491'!OSRRefD21_11x_0</vt:lpstr>
      <vt:lpstr>'311'!OSRRefD21_11x_0</vt:lpstr>
      <vt:lpstr>'315'!OSRRefD21_11x_0</vt:lpstr>
      <vt:lpstr>'321'!OSRRefD21_11x_0</vt:lpstr>
      <vt:lpstr>'325'!OSRRefD21_11x_0</vt:lpstr>
      <vt:lpstr>'326'!OSRRefD21_11x_0</vt:lpstr>
      <vt:lpstr>'331'!OSRRefD21_11x_0</vt:lpstr>
      <vt:lpstr>'405'!OSRRefD21_11x_0</vt:lpstr>
      <vt:lpstr>'411'!OSRRefD21_11x_0</vt:lpstr>
      <vt:lpstr>'415'!OSRRefD21_11x_0</vt:lpstr>
      <vt:lpstr>'418'!OSRRefD21_11x_0</vt:lpstr>
      <vt:lpstr>'433'!OSRRefD21_11x_0</vt:lpstr>
      <vt:lpstr>'444'!OSRRefD21_11x_0</vt:lpstr>
      <vt:lpstr>'450'!OSRRefD21_11x_0</vt:lpstr>
      <vt:lpstr>'491'!OSRRefD21_11x_0</vt:lpstr>
      <vt:lpstr>'492'!OSRRefD21_11x_0</vt:lpstr>
      <vt:lpstr>'501'!OSRRefD21_11x_0</vt:lpstr>
      <vt:lpstr>'Div 2'!OSRRefD21_11x_0</vt:lpstr>
      <vt:lpstr>'Div 3'!OSRRefD21_11x_0</vt:lpstr>
      <vt:lpstr>'Div 4'!OSRRefD21_11x_0</vt:lpstr>
      <vt:lpstr>'Div 5'!OSRRefD21_11x_0</vt:lpstr>
      <vt:lpstr>Summary!OSRRefD21_11x_0</vt:lpstr>
      <vt:lpstr>'201'!OSRRefD21_12_0x</vt:lpstr>
      <vt:lpstr>'203'!OSRRefD21_12_0x</vt:lpstr>
      <vt:lpstr>'300'!OSRRefD21_12_0x</vt:lpstr>
      <vt:lpstr>'300 &amp; 317'!OSRRefD21_12_0x</vt:lpstr>
      <vt:lpstr>'301'!OSRRefD21_12_0x</vt:lpstr>
      <vt:lpstr>'308'!OSRRefD21_12_0x</vt:lpstr>
      <vt:lpstr>'310'!OSRRefD21_12_0x</vt:lpstr>
      <vt:lpstr>'310 &amp; 491'!OSRRefD21_12_0x</vt:lpstr>
      <vt:lpstr>'311'!OSRRefD21_12_0x</vt:lpstr>
      <vt:lpstr>'315'!OSRRefD21_12_0x</vt:lpstr>
      <vt:lpstr>'325'!OSRRefD21_12_0x</vt:lpstr>
      <vt:lpstr>'326'!OSRRefD21_12_0x</vt:lpstr>
      <vt:lpstr>'331'!OSRRefD21_12_0x</vt:lpstr>
      <vt:lpstr>'405'!OSRRefD21_12_0x</vt:lpstr>
      <vt:lpstr>'411'!OSRRefD21_12_0x</vt:lpstr>
      <vt:lpstr>'415'!OSRRefD21_12_0x</vt:lpstr>
      <vt:lpstr>'418'!OSRRefD21_12_0x</vt:lpstr>
      <vt:lpstr>'433'!OSRRefD21_12_0x</vt:lpstr>
      <vt:lpstr>'444'!OSRRefD21_12_0x</vt:lpstr>
      <vt:lpstr>'450'!OSRRefD21_12_0x</vt:lpstr>
      <vt:lpstr>'491'!OSRRefD21_12_0x</vt:lpstr>
      <vt:lpstr>'492'!OSRRefD21_12_0x</vt:lpstr>
      <vt:lpstr>'501'!OSRRefD21_12_0x</vt:lpstr>
      <vt:lpstr>'Div 2'!OSRRefD21_12_0x</vt:lpstr>
      <vt:lpstr>'Div 3'!OSRRefD21_12_0x</vt:lpstr>
      <vt:lpstr>'Div 4'!OSRRefD21_12_0x</vt:lpstr>
      <vt:lpstr>'Div 5'!OSRRefD21_12_0x</vt:lpstr>
      <vt:lpstr>Summary!OSRRefD21_12_0x</vt:lpstr>
      <vt:lpstr>'201'!OSRRefD21_12_1x</vt:lpstr>
      <vt:lpstr>'310 &amp; 491'!OSRRefD21_12_1x</vt:lpstr>
      <vt:lpstr>'315'!OSRRefD21_12_1x</vt:lpstr>
      <vt:lpstr>'325'!OSRRefD21_12_1x</vt:lpstr>
      <vt:lpstr>'326'!OSRRefD21_12_1x</vt:lpstr>
      <vt:lpstr>'331'!OSRRefD21_12_1x</vt:lpstr>
      <vt:lpstr>'415'!OSRRefD21_12_1x</vt:lpstr>
      <vt:lpstr>'418'!OSRRefD21_12_1x</vt:lpstr>
      <vt:lpstr>'433'!OSRRefD21_12_1x</vt:lpstr>
      <vt:lpstr>'444'!OSRRefD21_12_1x</vt:lpstr>
      <vt:lpstr>'450'!OSRRefD21_12_1x</vt:lpstr>
      <vt:lpstr>'491'!OSRRefD21_12_1x</vt:lpstr>
      <vt:lpstr>'492'!OSRRefD21_12_1x</vt:lpstr>
      <vt:lpstr>'Div 2'!OSRRefD21_12_1x</vt:lpstr>
      <vt:lpstr>'310 &amp; 491'!OSRRefD21_12_2x</vt:lpstr>
      <vt:lpstr>'325'!OSRRefD21_12_2x</vt:lpstr>
      <vt:lpstr>'415'!OSRRefD21_12_2x</vt:lpstr>
      <vt:lpstr>'433'!OSRRefD21_12_2x</vt:lpstr>
      <vt:lpstr>'444'!OSRRefD21_12_2x</vt:lpstr>
      <vt:lpstr>'450'!OSRRefD21_12_2x</vt:lpstr>
      <vt:lpstr>'491'!OSRRefD21_12_2x</vt:lpstr>
      <vt:lpstr>'492'!OSRRefD21_12_2x</vt:lpstr>
      <vt:lpstr>'Div 2'!OSRRefD21_12_2x</vt:lpstr>
      <vt:lpstr>'310 &amp; 491'!OSRRefD21_12_3x</vt:lpstr>
      <vt:lpstr>'325'!OSRRefD21_12_3x</vt:lpstr>
      <vt:lpstr>'415'!OSRRefD21_12_3x</vt:lpstr>
      <vt:lpstr>'433'!OSRRefD21_12_3x</vt:lpstr>
      <vt:lpstr>'444'!OSRRefD21_12_3x</vt:lpstr>
      <vt:lpstr>'450'!OSRRefD21_12_3x</vt:lpstr>
      <vt:lpstr>'Div 2'!OSRRefD21_12_3x</vt:lpstr>
      <vt:lpstr>'325'!OSRRefD21_12_4x</vt:lpstr>
      <vt:lpstr>'201'!OSRRefD21_12x_0</vt:lpstr>
      <vt:lpstr>'203'!OSRRefD21_12x_0</vt:lpstr>
      <vt:lpstr>'300'!OSRRefD21_12x_0</vt:lpstr>
      <vt:lpstr>'300 &amp; 317'!OSRRefD21_12x_0</vt:lpstr>
      <vt:lpstr>'301'!OSRRefD21_12x_0</vt:lpstr>
      <vt:lpstr>'308'!OSRRefD21_12x_0</vt:lpstr>
      <vt:lpstr>'310'!OSRRefD21_12x_0</vt:lpstr>
      <vt:lpstr>'310 &amp; 491'!OSRRefD21_12x_0</vt:lpstr>
      <vt:lpstr>'311'!OSRRefD21_12x_0</vt:lpstr>
      <vt:lpstr>'315'!OSRRefD21_12x_0</vt:lpstr>
      <vt:lpstr>'325'!OSRRefD21_12x_0</vt:lpstr>
      <vt:lpstr>'326'!OSRRefD21_12x_0</vt:lpstr>
      <vt:lpstr>'331'!OSRRefD21_12x_0</vt:lpstr>
      <vt:lpstr>'405'!OSRRefD21_12x_0</vt:lpstr>
      <vt:lpstr>'411'!OSRRefD21_12x_0</vt:lpstr>
      <vt:lpstr>'415'!OSRRefD21_12x_0</vt:lpstr>
      <vt:lpstr>'418'!OSRRefD21_12x_0</vt:lpstr>
      <vt:lpstr>'433'!OSRRefD21_12x_0</vt:lpstr>
      <vt:lpstr>'444'!OSRRefD21_12x_0</vt:lpstr>
      <vt:lpstr>'450'!OSRRefD21_12x_0</vt:lpstr>
      <vt:lpstr>'491'!OSRRefD21_12x_0</vt:lpstr>
      <vt:lpstr>'492'!OSRRefD21_12x_0</vt:lpstr>
      <vt:lpstr>'501'!OSRRefD21_12x_0</vt:lpstr>
      <vt:lpstr>'Div 2'!OSRRefD21_12x_0</vt:lpstr>
      <vt:lpstr>'Div 3'!OSRRefD21_12x_0</vt:lpstr>
      <vt:lpstr>'Div 4'!OSRRefD21_12x_0</vt:lpstr>
      <vt:lpstr>'Div 5'!OSRRefD21_12x_0</vt:lpstr>
      <vt:lpstr>Summary!OSRRefD21_12x_0</vt:lpstr>
      <vt:lpstr>'201'!OSRRefD21_13_0x</vt:lpstr>
      <vt:lpstr>'203'!OSRRefD21_13_0x</vt:lpstr>
      <vt:lpstr>'300'!OSRRefD21_13_0x</vt:lpstr>
      <vt:lpstr>'300 &amp; 317'!OSRRefD21_13_0x</vt:lpstr>
      <vt:lpstr>'301'!OSRRefD21_13_0x</vt:lpstr>
      <vt:lpstr>'310'!OSRRefD21_13_0x</vt:lpstr>
      <vt:lpstr>'310 &amp; 491'!OSRRefD21_13_0x</vt:lpstr>
      <vt:lpstr>'315'!OSRRefD21_13_0x</vt:lpstr>
      <vt:lpstr>'325'!OSRRefD21_13_0x</vt:lpstr>
      <vt:lpstr>'326'!OSRRefD21_13_0x</vt:lpstr>
      <vt:lpstr>'331'!OSRRefD21_13_0x</vt:lpstr>
      <vt:lpstr>'405'!OSRRefD21_13_0x</vt:lpstr>
      <vt:lpstr>'415'!OSRRefD21_13_0x</vt:lpstr>
      <vt:lpstr>'418'!OSRRefD21_13_0x</vt:lpstr>
      <vt:lpstr>'433'!OSRRefD21_13_0x</vt:lpstr>
      <vt:lpstr>'444'!OSRRefD21_13_0x</vt:lpstr>
      <vt:lpstr>'450'!OSRRefD21_13_0x</vt:lpstr>
      <vt:lpstr>'491'!OSRRefD21_13_0x</vt:lpstr>
      <vt:lpstr>'492'!OSRRefD21_13_0x</vt:lpstr>
      <vt:lpstr>'501'!OSRRefD21_13_0x</vt:lpstr>
      <vt:lpstr>'Div 2'!OSRRefD21_13_0x</vt:lpstr>
      <vt:lpstr>'Div 3'!OSRRefD21_13_0x</vt:lpstr>
      <vt:lpstr>'Div 4'!OSRRefD21_13_0x</vt:lpstr>
      <vt:lpstr>'Div 5'!OSRRefD21_13_0x</vt:lpstr>
      <vt:lpstr>Summary!OSRRefD21_13_0x</vt:lpstr>
      <vt:lpstr>'301'!OSRRefD21_13_1x</vt:lpstr>
      <vt:lpstr>'310'!OSRRefD21_13_1x</vt:lpstr>
      <vt:lpstr>'315'!OSRRefD21_13_1x</vt:lpstr>
      <vt:lpstr>'325'!OSRRefD21_13_1x</vt:lpstr>
      <vt:lpstr>'326'!OSRRefD21_13_1x</vt:lpstr>
      <vt:lpstr>'331'!OSRRefD21_13_1x</vt:lpstr>
      <vt:lpstr>'433'!OSRRefD21_13_1x</vt:lpstr>
      <vt:lpstr>'450'!OSRRefD21_13_1x</vt:lpstr>
      <vt:lpstr>'491'!OSRRefD21_13_1x</vt:lpstr>
      <vt:lpstr>'492'!OSRRefD21_13_1x</vt:lpstr>
      <vt:lpstr>'Div 2'!OSRRefD21_13_1x</vt:lpstr>
      <vt:lpstr>'301'!OSRRefD21_13_2x</vt:lpstr>
      <vt:lpstr>'315'!OSRRefD21_13_2x</vt:lpstr>
      <vt:lpstr>'326'!OSRRefD21_13_2x</vt:lpstr>
      <vt:lpstr>'331'!OSRRefD21_13_2x</vt:lpstr>
      <vt:lpstr>'433'!OSRRefD21_13_2x</vt:lpstr>
      <vt:lpstr>'450'!OSRRefD21_13_2x</vt:lpstr>
      <vt:lpstr>'491'!OSRRefD21_13_2x</vt:lpstr>
      <vt:lpstr>'492'!OSRRefD21_13_2x</vt:lpstr>
      <vt:lpstr>'Div 2'!OSRRefD21_13_2x</vt:lpstr>
      <vt:lpstr>'301'!OSRRefD21_13_3x</vt:lpstr>
      <vt:lpstr>'433'!OSRRefD21_13_3x</vt:lpstr>
      <vt:lpstr>'450'!OSRRefD21_13_3x</vt:lpstr>
      <vt:lpstr>'491'!OSRRefD21_13_3x</vt:lpstr>
      <vt:lpstr>'492'!OSRRefD21_13_3x</vt:lpstr>
      <vt:lpstr>'Div 2'!OSRRefD21_13_3x</vt:lpstr>
      <vt:lpstr>'433'!OSRRefD21_13_4x</vt:lpstr>
      <vt:lpstr>'450'!OSRRefD21_13_4x</vt:lpstr>
      <vt:lpstr>'491'!OSRRefD21_13_4x</vt:lpstr>
      <vt:lpstr>'433'!OSRRefD21_13_5x</vt:lpstr>
      <vt:lpstr>'450'!OSRRefD21_13_5x</vt:lpstr>
      <vt:lpstr>'201'!OSRRefD21_13x_0</vt:lpstr>
      <vt:lpstr>'203'!OSRRefD21_13x_0</vt:lpstr>
      <vt:lpstr>'300'!OSRRefD21_13x_0</vt:lpstr>
      <vt:lpstr>'300 &amp; 317'!OSRRefD21_13x_0</vt:lpstr>
      <vt:lpstr>'301'!OSRRefD21_13x_0</vt:lpstr>
      <vt:lpstr>'310'!OSRRefD21_13x_0</vt:lpstr>
      <vt:lpstr>'310 &amp; 491'!OSRRefD21_13x_0</vt:lpstr>
      <vt:lpstr>'315'!OSRRefD21_13x_0</vt:lpstr>
      <vt:lpstr>'325'!OSRRefD21_13x_0</vt:lpstr>
      <vt:lpstr>'326'!OSRRefD21_13x_0</vt:lpstr>
      <vt:lpstr>'331'!OSRRefD21_13x_0</vt:lpstr>
      <vt:lpstr>'405'!OSRRefD21_13x_0</vt:lpstr>
      <vt:lpstr>'415'!OSRRefD21_13x_0</vt:lpstr>
      <vt:lpstr>'418'!OSRRefD21_13x_0</vt:lpstr>
      <vt:lpstr>'433'!OSRRefD21_13x_0</vt:lpstr>
      <vt:lpstr>'444'!OSRRefD21_13x_0</vt:lpstr>
      <vt:lpstr>'450'!OSRRefD21_13x_0</vt:lpstr>
      <vt:lpstr>'491'!OSRRefD21_13x_0</vt:lpstr>
      <vt:lpstr>'492'!OSRRefD21_13x_0</vt:lpstr>
      <vt:lpstr>'501'!OSRRefD21_13x_0</vt:lpstr>
      <vt:lpstr>'Div 2'!OSRRefD21_13x_0</vt:lpstr>
      <vt:lpstr>'Div 3'!OSRRefD21_13x_0</vt:lpstr>
      <vt:lpstr>'Div 4'!OSRRefD21_13x_0</vt:lpstr>
      <vt:lpstr>'Div 5'!OSRRefD21_13x_0</vt:lpstr>
      <vt:lpstr>Summary!OSRRefD21_13x_0</vt:lpstr>
      <vt:lpstr>'201'!OSRRefD21_14_0x</vt:lpstr>
      <vt:lpstr>'203'!OSRRefD21_14_0x</vt:lpstr>
      <vt:lpstr>'300'!OSRRefD21_14_0x</vt:lpstr>
      <vt:lpstr>'300 &amp; 317'!OSRRefD21_14_0x</vt:lpstr>
      <vt:lpstr>'301'!OSRRefD21_14_0x</vt:lpstr>
      <vt:lpstr>'310'!OSRRefD21_14_0x</vt:lpstr>
      <vt:lpstr>'310 &amp; 491'!OSRRefD21_14_0x</vt:lpstr>
      <vt:lpstr>'315'!OSRRefD21_14_0x</vt:lpstr>
      <vt:lpstr>'325'!OSRRefD21_14_0x</vt:lpstr>
      <vt:lpstr>'326'!OSRRefD21_14_0x</vt:lpstr>
      <vt:lpstr>'331'!OSRRefD21_14_0x</vt:lpstr>
      <vt:lpstr>'405'!OSRRefD21_14_0x</vt:lpstr>
      <vt:lpstr>'415'!OSRRefD21_14_0x</vt:lpstr>
      <vt:lpstr>'418'!OSRRefD21_14_0x</vt:lpstr>
      <vt:lpstr>'433'!OSRRefD21_14_0x</vt:lpstr>
      <vt:lpstr>'444'!OSRRefD21_14_0x</vt:lpstr>
      <vt:lpstr>'450'!OSRRefD21_14_0x</vt:lpstr>
      <vt:lpstr>'491'!OSRRefD21_14_0x</vt:lpstr>
      <vt:lpstr>'492'!OSRRefD21_14_0x</vt:lpstr>
      <vt:lpstr>'Div 2'!OSRRefD21_14_0x</vt:lpstr>
      <vt:lpstr>'Div 3'!OSRRefD21_14_0x</vt:lpstr>
      <vt:lpstr>'Div 4'!OSRRefD21_14_0x</vt:lpstr>
      <vt:lpstr>Summary!OSRRefD21_14_0x</vt:lpstr>
      <vt:lpstr>'301'!OSRRefD21_14_1x</vt:lpstr>
      <vt:lpstr>'310'!OSRRefD21_14_1x</vt:lpstr>
      <vt:lpstr>'310 &amp; 491'!OSRRefD21_14_1x</vt:lpstr>
      <vt:lpstr>'331'!OSRRefD21_14_1x</vt:lpstr>
      <vt:lpstr>'415'!OSRRefD21_14_1x</vt:lpstr>
      <vt:lpstr>'444'!OSRRefD21_14_1x</vt:lpstr>
      <vt:lpstr>'Div 2'!OSRRefD21_14_1x</vt:lpstr>
      <vt:lpstr>'Div 4'!OSRRefD21_14_1x</vt:lpstr>
      <vt:lpstr>'310'!OSRRefD21_14_2x</vt:lpstr>
      <vt:lpstr>'310 &amp; 491'!OSRRefD21_14_2x</vt:lpstr>
      <vt:lpstr>'415'!OSRRefD21_14_2x</vt:lpstr>
      <vt:lpstr>'444'!OSRRefD21_14_2x</vt:lpstr>
      <vt:lpstr>'Div 4'!OSRRefD21_14_2x</vt:lpstr>
      <vt:lpstr>'310'!OSRRefD21_14_3x</vt:lpstr>
      <vt:lpstr>'310 &amp; 491'!OSRRefD21_14_3x</vt:lpstr>
      <vt:lpstr>'415'!OSRRefD21_14_3x</vt:lpstr>
      <vt:lpstr>'444'!OSRRefD21_14_3x</vt:lpstr>
      <vt:lpstr>'Div 4'!OSRRefD21_14_3x</vt:lpstr>
      <vt:lpstr>'310'!OSRRefD21_14_4x</vt:lpstr>
      <vt:lpstr>'310 &amp; 491'!OSRRefD21_14_4x</vt:lpstr>
      <vt:lpstr>'415'!OSRRefD21_14_4x</vt:lpstr>
      <vt:lpstr>'444'!OSRRefD21_14_4x</vt:lpstr>
      <vt:lpstr>'415'!OSRRefD21_14_5x</vt:lpstr>
      <vt:lpstr>'444'!OSRRefD21_14_5x</vt:lpstr>
      <vt:lpstr>'201'!OSRRefD21_14x_0</vt:lpstr>
      <vt:lpstr>'203'!OSRRefD21_14x_0</vt:lpstr>
      <vt:lpstr>'300'!OSRRefD21_14x_0</vt:lpstr>
      <vt:lpstr>'300 &amp; 317'!OSRRefD21_14x_0</vt:lpstr>
      <vt:lpstr>'301'!OSRRefD21_14x_0</vt:lpstr>
      <vt:lpstr>'310'!OSRRefD21_14x_0</vt:lpstr>
      <vt:lpstr>'310 &amp; 491'!OSRRefD21_14x_0</vt:lpstr>
      <vt:lpstr>'315'!OSRRefD21_14x_0</vt:lpstr>
      <vt:lpstr>'325'!OSRRefD21_14x_0</vt:lpstr>
      <vt:lpstr>'326'!OSRRefD21_14x_0</vt:lpstr>
      <vt:lpstr>'331'!OSRRefD21_14x_0</vt:lpstr>
      <vt:lpstr>'405'!OSRRefD21_14x_0</vt:lpstr>
      <vt:lpstr>'415'!OSRRefD21_14x_0</vt:lpstr>
      <vt:lpstr>'418'!OSRRefD21_14x_0</vt:lpstr>
      <vt:lpstr>'433'!OSRRefD21_14x_0</vt:lpstr>
      <vt:lpstr>'444'!OSRRefD21_14x_0</vt:lpstr>
      <vt:lpstr>'450'!OSRRefD21_14x_0</vt:lpstr>
      <vt:lpstr>'491'!OSRRefD21_14x_0</vt:lpstr>
      <vt:lpstr>'492'!OSRRefD21_14x_0</vt:lpstr>
      <vt:lpstr>'Div 2'!OSRRefD21_14x_0</vt:lpstr>
      <vt:lpstr>'Div 3'!OSRRefD21_14x_0</vt:lpstr>
      <vt:lpstr>'Div 4'!OSRRefD21_14x_0</vt:lpstr>
      <vt:lpstr>Summary!OSRRefD21_14x_0</vt:lpstr>
      <vt:lpstr>'201'!OSRRefD21_15_0x</vt:lpstr>
      <vt:lpstr>'300'!OSRRefD21_15_0x</vt:lpstr>
      <vt:lpstr>'300 &amp; 317'!OSRRefD21_15_0x</vt:lpstr>
      <vt:lpstr>'301'!OSRRefD21_15_0x</vt:lpstr>
      <vt:lpstr>'310'!OSRRefD21_15_0x</vt:lpstr>
      <vt:lpstr>'310 &amp; 491'!OSRRefD21_15_0x</vt:lpstr>
      <vt:lpstr>'315'!OSRRefD21_15_0x</vt:lpstr>
      <vt:lpstr>'326'!OSRRefD21_15_0x</vt:lpstr>
      <vt:lpstr>'331'!OSRRefD21_15_0x</vt:lpstr>
      <vt:lpstr>'405'!OSRRefD21_15_0x</vt:lpstr>
      <vt:lpstr>'415'!OSRRefD21_15_0x</vt:lpstr>
      <vt:lpstr>'418'!OSRRefD21_15_0x</vt:lpstr>
      <vt:lpstr>'433'!OSRRefD21_15_0x</vt:lpstr>
      <vt:lpstr>'444'!OSRRefD21_15_0x</vt:lpstr>
      <vt:lpstr>'450'!OSRRefD21_15_0x</vt:lpstr>
      <vt:lpstr>'491'!OSRRefD21_15_0x</vt:lpstr>
      <vt:lpstr>'492'!OSRRefD21_15_0x</vt:lpstr>
      <vt:lpstr>'Div 2'!OSRRefD21_15_0x</vt:lpstr>
      <vt:lpstr>'Div 3'!OSRRefD21_15_0x</vt:lpstr>
      <vt:lpstr>'Div 4'!OSRRefD21_15_0x</vt:lpstr>
      <vt:lpstr>Summary!OSRRefD21_15_0x</vt:lpstr>
      <vt:lpstr>'310'!OSRRefD21_15_1x</vt:lpstr>
      <vt:lpstr>'326'!OSRRefD21_15_1x</vt:lpstr>
      <vt:lpstr>'331'!OSRRefD21_15_1x</vt:lpstr>
      <vt:lpstr>'415'!OSRRefD21_15_1x</vt:lpstr>
      <vt:lpstr>'491'!OSRRefD21_15_1x</vt:lpstr>
      <vt:lpstr>'492'!OSRRefD21_15_1x</vt:lpstr>
      <vt:lpstr>'Div 2'!OSRRefD21_15_1x</vt:lpstr>
      <vt:lpstr>'Div 4'!OSRRefD21_15_1x</vt:lpstr>
      <vt:lpstr>'491'!OSRRefD21_15_2x</vt:lpstr>
      <vt:lpstr>'492'!OSRRefD21_15_2x</vt:lpstr>
      <vt:lpstr>'Div 4'!OSRRefD21_15_2x</vt:lpstr>
      <vt:lpstr>'491'!OSRRefD21_15_3x</vt:lpstr>
      <vt:lpstr>'492'!OSRRefD21_15_3x</vt:lpstr>
      <vt:lpstr>'Div 4'!OSRRefD21_15_3x</vt:lpstr>
      <vt:lpstr>'491'!OSRRefD21_15_4x</vt:lpstr>
      <vt:lpstr>'492'!OSRRefD21_15_4x</vt:lpstr>
      <vt:lpstr>'Div 4'!OSRRefD21_15_4x</vt:lpstr>
      <vt:lpstr>'491'!OSRRefD21_15_5x</vt:lpstr>
      <vt:lpstr>'492'!OSRRefD21_15_5x</vt:lpstr>
      <vt:lpstr>'491'!OSRRefD21_15_6x</vt:lpstr>
      <vt:lpstr>'492'!OSRRefD21_15_6x</vt:lpstr>
      <vt:lpstr>'491'!OSRRefD21_15_7x</vt:lpstr>
      <vt:lpstr>'491'!OSRRefD21_15_8x</vt:lpstr>
      <vt:lpstr>'201'!OSRRefD21_15x_0</vt:lpstr>
      <vt:lpstr>'300'!OSRRefD21_15x_0</vt:lpstr>
      <vt:lpstr>'300 &amp; 317'!OSRRefD21_15x_0</vt:lpstr>
      <vt:lpstr>'301'!OSRRefD21_15x_0</vt:lpstr>
      <vt:lpstr>'310'!OSRRefD21_15x_0</vt:lpstr>
      <vt:lpstr>'310 &amp; 491'!OSRRefD21_15x_0</vt:lpstr>
      <vt:lpstr>'315'!OSRRefD21_15x_0</vt:lpstr>
      <vt:lpstr>'326'!OSRRefD21_15x_0</vt:lpstr>
      <vt:lpstr>'331'!OSRRefD21_15x_0</vt:lpstr>
      <vt:lpstr>'405'!OSRRefD21_15x_0</vt:lpstr>
      <vt:lpstr>'415'!OSRRefD21_15x_0</vt:lpstr>
      <vt:lpstr>'418'!OSRRefD21_15x_0</vt:lpstr>
      <vt:lpstr>'433'!OSRRefD21_15x_0</vt:lpstr>
      <vt:lpstr>'444'!OSRRefD21_15x_0</vt:lpstr>
      <vt:lpstr>'450'!OSRRefD21_15x_0</vt:lpstr>
      <vt:lpstr>'491'!OSRRefD21_15x_0</vt:lpstr>
      <vt:lpstr>'492'!OSRRefD21_15x_0</vt:lpstr>
      <vt:lpstr>'Div 2'!OSRRefD21_15x_0</vt:lpstr>
      <vt:lpstr>'Div 3'!OSRRefD21_15x_0</vt:lpstr>
      <vt:lpstr>'Div 4'!OSRRefD21_15x_0</vt:lpstr>
      <vt:lpstr>Summary!OSRRefD21_15x_0</vt:lpstr>
      <vt:lpstr>'300'!OSRRefD21_16_0x</vt:lpstr>
      <vt:lpstr>'300 &amp; 317'!OSRRefD21_16_0x</vt:lpstr>
      <vt:lpstr>'301'!OSRRefD21_16_0x</vt:lpstr>
      <vt:lpstr>'310'!OSRRefD21_16_0x</vt:lpstr>
      <vt:lpstr>'310 &amp; 491'!OSRRefD21_16_0x</vt:lpstr>
      <vt:lpstr>'326'!OSRRefD21_16_0x</vt:lpstr>
      <vt:lpstr>'331'!OSRRefD21_16_0x</vt:lpstr>
      <vt:lpstr>'415'!OSRRefD21_16_0x</vt:lpstr>
      <vt:lpstr>'444'!OSRRefD21_16_0x</vt:lpstr>
      <vt:lpstr>'491'!OSRRefD21_16_0x</vt:lpstr>
      <vt:lpstr>'492'!OSRRefD21_16_0x</vt:lpstr>
      <vt:lpstr>'Div 2'!OSRRefD21_16_0x</vt:lpstr>
      <vt:lpstr>'Div 3'!OSRRefD21_16_0x</vt:lpstr>
      <vt:lpstr>'Div 4'!OSRRefD21_16_0x</vt:lpstr>
      <vt:lpstr>Summary!OSRRefD21_16_0x</vt:lpstr>
      <vt:lpstr>'300'!OSRRefD21_16_1x</vt:lpstr>
      <vt:lpstr>'300 &amp; 317'!OSRRefD21_16_1x</vt:lpstr>
      <vt:lpstr>'301'!OSRRefD21_16_1x</vt:lpstr>
      <vt:lpstr>'310 &amp; 491'!OSRRefD21_16_1x</vt:lpstr>
      <vt:lpstr>'331'!OSRRefD21_16_1x</vt:lpstr>
      <vt:lpstr>'491'!OSRRefD21_16_1x</vt:lpstr>
      <vt:lpstr>'492'!OSRRefD21_16_1x</vt:lpstr>
      <vt:lpstr>'Div 2'!OSRRefD21_16_1x</vt:lpstr>
      <vt:lpstr>'Div 4'!OSRRefD21_16_1x</vt:lpstr>
      <vt:lpstr>'300'!OSRRefD21_16_2x</vt:lpstr>
      <vt:lpstr>'300 &amp; 317'!OSRRefD21_16_2x</vt:lpstr>
      <vt:lpstr>'301'!OSRRefD21_16_2x</vt:lpstr>
      <vt:lpstr>'310 &amp; 491'!OSRRefD21_16_2x</vt:lpstr>
      <vt:lpstr>'331'!OSRRefD21_16_2x</vt:lpstr>
      <vt:lpstr>'Div 2'!OSRRefD21_16_2x</vt:lpstr>
      <vt:lpstr>'300'!OSRRefD21_16_3x</vt:lpstr>
      <vt:lpstr>'300 &amp; 317'!OSRRefD21_16_3x</vt:lpstr>
      <vt:lpstr>'301'!OSRRefD21_16_3x</vt:lpstr>
      <vt:lpstr>'310 &amp; 491'!OSRRefD21_16_3x</vt:lpstr>
      <vt:lpstr>'331'!OSRRefD21_16_3x</vt:lpstr>
      <vt:lpstr>'Div 2'!OSRRefD21_16_3x</vt:lpstr>
      <vt:lpstr>'301'!OSRRefD21_16_4x</vt:lpstr>
      <vt:lpstr>'310 &amp; 491'!OSRRefD21_16_4x</vt:lpstr>
      <vt:lpstr>'Div 2'!OSRRefD21_16_4x</vt:lpstr>
      <vt:lpstr>'310 &amp; 491'!OSRRefD21_16_5x</vt:lpstr>
      <vt:lpstr>'310 &amp; 491'!OSRRefD21_16_6x</vt:lpstr>
      <vt:lpstr>'310 &amp; 491'!OSRRefD21_16_7x</vt:lpstr>
      <vt:lpstr>'310 &amp; 491'!OSRRefD21_16_8x</vt:lpstr>
      <vt:lpstr>'310 &amp; 491'!OSRRefD21_16_9x</vt:lpstr>
      <vt:lpstr>'300'!OSRRefD21_16x_0</vt:lpstr>
      <vt:lpstr>'300 &amp; 317'!OSRRefD21_16x_0</vt:lpstr>
      <vt:lpstr>'301'!OSRRefD21_16x_0</vt:lpstr>
      <vt:lpstr>'310'!OSRRefD21_16x_0</vt:lpstr>
      <vt:lpstr>'310 &amp; 491'!OSRRefD21_16x_0</vt:lpstr>
      <vt:lpstr>'326'!OSRRefD21_16x_0</vt:lpstr>
      <vt:lpstr>'331'!OSRRefD21_16x_0</vt:lpstr>
      <vt:lpstr>'415'!OSRRefD21_16x_0</vt:lpstr>
      <vt:lpstr>'444'!OSRRefD21_16x_0</vt:lpstr>
      <vt:lpstr>'491'!OSRRefD21_16x_0</vt:lpstr>
      <vt:lpstr>'492'!OSRRefD21_16x_0</vt:lpstr>
      <vt:lpstr>'Div 2'!OSRRefD21_16x_0</vt:lpstr>
      <vt:lpstr>'Div 3'!OSRRefD21_16x_0</vt:lpstr>
      <vt:lpstr>'Div 4'!OSRRefD21_16x_0</vt:lpstr>
      <vt:lpstr>Summary!OSRRefD21_16x_0</vt:lpstr>
      <vt:lpstr>'300'!OSRRefD21_17_0x</vt:lpstr>
      <vt:lpstr>'300 &amp; 317'!OSRRefD21_17_0x</vt:lpstr>
      <vt:lpstr>'301'!OSRRefD21_17_0x</vt:lpstr>
      <vt:lpstr>'310'!OSRRefD21_17_0x</vt:lpstr>
      <vt:lpstr>'310 &amp; 491'!OSRRefD21_17_0x</vt:lpstr>
      <vt:lpstr>'331'!OSRRefD21_17_0x</vt:lpstr>
      <vt:lpstr>'415'!OSRRefD21_17_0x</vt:lpstr>
      <vt:lpstr>'491'!OSRRefD21_17_0x</vt:lpstr>
      <vt:lpstr>'492'!OSRRefD21_17_0x</vt:lpstr>
      <vt:lpstr>'Div 2'!OSRRefD21_17_0x</vt:lpstr>
      <vt:lpstr>'Div 3'!OSRRefD21_17_0x</vt:lpstr>
      <vt:lpstr>'Div 4'!OSRRefD21_17_0x</vt:lpstr>
      <vt:lpstr>Summary!OSRRefD21_17_0x</vt:lpstr>
      <vt:lpstr>'300'!OSRRefD21_17_1x</vt:lpstr>
      <vt:lpstr>'300 &amp; 317'!OSRRefD21_17_1x</vt:lpstr>
      <vt:lpstr>'310 &amp; 491'!OSRRefD21_17_1x</vt:lpstr>
      <vt:lpstr>'Div 2'!OSRRefD21_17_1x</vt:lpstr>
      <vt:lpstr>'Div 3'!OSRRefD21_17_1x</vt:lpstr>
      <vt:lpstr>'Div 4'!OSRRefD21_17_1x</vt:lpstr>
      <vt:lpstr>'300'!OSRRefD21_17_2x</vt:lpstr>
      <vt:lpstr>'300 &amp; 317'!OSRRefD21_17_2x</vt:lpstr>
      <vt:lpstr>'Div 3'!OSRRefD21_17_2x</vt:lpstr>
      <vt:lpstr>'Div 4'!OSRRefD21_17_2x</vt:lpstr>
      <vt:lpstr>'300'!OSRRefD21_17_3x</vt:lpstr>
      <vt:lpstr>'300 &amp; 317'!OSRRefD21_17_3x</vt:lpstr>
      <vt:lpstr>'Div 3'!OSRRefD21_17_3x</vt:lpstr>
      <vt:lpstr>'Div 4'!OSRRefD21_17_3x</vt:lpstr>
      <vt:lpstr>'Div 4'!OSRRefD21_17_4x</vt:lpstr>
      <vt:lpstr>'Div 4'!OSRRefD21_17_5x</vt:lpstr>
      <vt:lpstr>'Div 4'!OSRRefD21_17_6x</vt:lpstr>
      <vt:lpstr>'Div 4'!OSRRefD21_17_7x</vt:lpstr>
      <vt:lpstr>'Div 4'!OSRRefD21_17_8x</vt:lpstr>
      <vt:lpstr>'Div 4'!OSRRefD21_17_9x</vt:lpstr>
      <vt:lpstr>'300'!OSRRefD21_17x_0</vt:lpstr>
      <vt:lpstr>'300 &amp; 317'!OSRRefD21_17x_0</vt:lpstr>
      <vt:lpstr>'301'!OSRRefD21_17x_0</vt:lpstr>
      <vt:lpstr>'310'!OSRRefD21_17x_0</vt:lpstr>
      <vt:lpstr>'310 &amp; 491'!OSRRefD21_17x_0</vt:lpstr>
      <vt:lpstr>'331'!OSRRefD21_17x_0</vt:lpstr>
      <vt:lpstr>'415'!OSRRefD21_17x_0</vt:lpstr>
      <vt:lpstr>'491'!OSRRefD21_17x_0</vt:lpstr>
      <vt:lpstr>'492'!OSRRefD21_17x_0</vt:lpstr>
      <vt:lpstr>'Div 2'!OSRRefD21_17x_0</vt:lpstr>
      <vt:lpstr>'Div 3'!OSRRefD21_17x_0</vt:lpstr>
      <vt:lpstr>'Div 4'!OSRRefD21_17x_0</vt:lpstr>
      <vt:lpstr>Summary!OSRRefD21_17x_0</vt:lpstr>
      <vt:lpstr>'300'!OSRRefD21_18_0x</vt:lpstr>
      <vt:lpstr>'300 &amp; 317'!OSRRefD21_18_0x</vt:lpstr>
      <vt:lpstr>'301'!OSRRefD21_18_0x</vt:lpstr>
      <vt:lpstr>'310 &amp; 491'!OSRRefD21_18_0x</vt:lpstr>
      <vt:lpstr>'331'!OSRRefD21_18_0x</vt:lpstr>
      <vt:lpstr>'491'!OSRRefD21_18_0x</vt:lpstr>
      <vt:lpstr>'Div 2'!OSRRefD21_18_0x</vt:lpstr>
      <vt:lpstr>'Div 3'!OSRRefD21_18_0x</vt:lpstr>
      <vt:lpstr>'Div 4'!OSRRefD21_18_0x</vt:lpstr>
      <vt:lpstr>Summary!OSRRefD21_18_0x</vt:lpstr>
      <vt:lpstr>'300'!OSRRefD21_18_1x</vt:lpstr>
      <vt:lpstr>'300 &amp; 317'!OSRRefD21_18_1x</vt:lpstr>
      <vt:lpstr>'331'!OSRRefD21_18_1x</vt:lpstr>
      <vt:lpstr>'Div 3'!OSRRefD21_18_1x</vt:lpstr>
      <vt:lpstr>'Div 4'!OSRRefD21_18_1x</vt:lpstr>
      <vt:lpstr>Summary!OSRRefD21_18_1x</vt:lpstr>
      <vt:lpstr>'300'!OSRRefD21_18_2x</vt:lpstr>
      <vt:lpstr>'300 &amp; 317'!OSRRefD21_18_2x</vt:lpstr>
      <vt:lpstr>'Div 3'!OSRRefD21_18_2x</vt:lpstr>
      <vt:lpstr>Summary!OSRRefD21_18_2x</vt:lpstr>
      <vt:lpstr>'Div 3'!OSRRefD21_18_3x</vt:lpstr>
      <vt:lpstr>Summary!OSRRefD21_18_3x</vt:lpstr>
      <vt:lpstr>'300'!OSRRefD21_18x_0</vt:lpstr>
      <vt:lpstr>'300 &amp; 317'!OSRRefD21_18x_0</vt:lpstr>
      <vt:lpstr>'301'!OSRRefD21_18x_0</vt:lpstr>
      <vt:lpstr>'310 &amp; 491'!OSRRefD21_18x_0</vt:lpstr>
      <vt:lpstr>'331'!OSRRefD21_18x_0</vt:lpstr>
      <vt:lpstr>'491'!OSRRefD21_18x_0</vt:lpstr>
      <vt:lpstr>'Div 2'!OSRRefD21_18x_0</vt:lpstr>
      <vt:lpstr>'Div 3'!OSRRefD21_18x_0</vt:lpstr>
      <vt:lpstr>'Div 4'!OSRRefD21_18x_0</vt:lpstr>
      <vt:lpstr>Summary!OSRRefD21_18x_0</vt:lpstr>
      <vt:lpstr>'300'!OSRRefD21_19_0x</vt:lpstr>
      <vt:lpstr>'300 &amp; 317'!OSRRefD21_19_0x</vt:lpstr>
      <vt:lpstr>'301'!OSRRefD21_19_0x</vt:lpstr>
      <vt:lpstr>'310 &amp; 491'!OSRRefD21_19_0x</vt:lpstr>
      <vt:lpstr>'331'!OSRRefD21_19_0x</vt:lpstr>
      <vt:lpstr>'491'!OSRRefD21_19_0x</vt:lpstr>
      <vt:lpstr>'Div 2'!OSRRefD21_19_0x</vt:lpstr>
      <vt:lpstr>'Div 3'!OSRRefD21_19_0x</vt:lpstr>
      <vt:lpstr>'Div 4'!OSRRefD21_19_0x</vt:lpstr>
      <vt:lpstr>Summary!OSRRefD21_19_0x</vt:lpstr>
      <vt:lpstr>'300'!OSRRefD21_19_1x</vt:lpstr>
      <vt:lpstr>'300 &amp; 317'!OSRRefD21_19_1x</vt:lpstr>
      <vt:lpstr>'Div 2'!OSRRefD21_19_1x</vt:lpstr>
      <vt:lpstr>'Div 3'!OSRRefD21_19_1x</vt:lpstr>
      <vt:lpstr>Summary!OSRRefD21_19_1x</vt:lpstr>
      <vt:lpstr>'Div 3'!OSRRefD21_19_2x</vt:lpstr>
      <vt:lpstr>Summary!OSRRefD21_19_2x</vt:lpstr>
      <vt:lpstr>'Div 3'!OSRRefD21_19_3x</vt:lpstr>
      <vt:lpstr>Summary!OSRRefD21_19_3x</vt:lpstr>
      <vt:lpstr>'300'!OSRRefD21_19x_0</vt:lpstr>
      <vt:lpstr>'300 &amp; 317'!OSRRefD21_19x_0</vt:lpstr>
      <vt:lpstr>'301'!OSRRefD21_19x_0</vt:lpstr>
      <vt:lpstr>'310 &amp; 491'!OSRRefD21_19x_0</vt:lpstr>
      <vt:lpstr>'331'!OSRRefD21_19x_0</vt:lpstr>
      <vt:lpstr>'491'!OSRRefD21_19x_0</vt:lpstr>
      <vt:lpstr>'Div 2'!OSRRefD21_19x_0</vt:lpstr>
      <vt:lpstr>'Div 3'!OSRRefD21_19x_0</vt:lpstr>
      <vt:lpstr>'Div 4'!OSRRefD21_19x_0</vt:lpstr>
      <vt:lpstr>Summary!OSRRefD21_19x_0</vt:lpstr>
      <vt:lpstr>'200'!OSRRefD21_1x_0</vt:lpstr>
      <vt:lpstr>'201'!OSRRefD21_1x_0</vt:lpstr>
      <vt:lpstr>'202'!OSRRefD21_1x_0</vt:lpstr>
      <vt:lpstr>'203'!OSRRefD21_1x_0</vt:lpstr>
      <vt:lpstr>'204'!OSRRefD21_1x_0</vt:lpstr>
      <vt:lpstr>'205'!OSRRefD21_1x_0</vt:lpstr>
      <vt:lpstr>'206'!OSRRefD21_1x_0</vt:lpstr>
      <vt:lpstr>'300'!OSRRefD21_1x_0</vt:lpstr>
      <vt:lpstr>'300 &amp; 317'!OSRRefD21_1x_0</vt:lpstr>
      <vt:lpstr>'301'!OSRRefD21_1x_0</vt:lpstr>
      <vt:lpstr>'307'!OSRRefD21_1x_0</vt:lpstr>
      <vt:lpstr>'308'!OSRRefD21_1x_0</vt:lpstr>
      <vt:lpstr>'309'!OSRRefD21_1x_0</vt:lpstr>
      <vt:lpstr>'310'!OSRRefD21_1x_0</vt:lpstr>
      <vt:lpstr>'310 &amp; 491'!OSRRefD21_1x_0</vt:lpstr>
      <vt:lpstr>'311'!OSRRefD21_1x_0</vt:lpstr>
      <vt:lpstr>'315'!OSRRefD21_1x_0</vt:lpstr>
      <vt:lpstr>'316'!OSRRefD21_1x_0</vt:lpstr>
      <vt:lpstr>'317'!OSRRefD21_1x_0</vt:lpstr>
      <vt:lpstr>'321'!OSRRefD21_1x_0</vt:lpstr>
      <vt:lpstr>'325'!OSRRefD21_1x_0</vt:lpstr>
      <vt:lpstr>'326'!OSRRefD21_1x_0</vt:lpstr>
      <vt:lpstr>'330'!OSRRefD21_1x_0</vt:lpstr>
      <vt:lpstr>'331'!OSRRefD21_1x_0</vt:lpstr>
      <vt:lpstr>'332'!OSRRefD21_1x_0</vt:lpstr>
      <vt:lpstr>'405'!OSRRefD21_1x_0</vt:lpstr>
      <vt:lpstr>'411'!OSRRefD21_1x_0</vt:lpstr>
      <vt:lpstr>'412'!OSRRefD21_1x_0</vt:lpstr>
      <vt:lpstr>'415'!OSRRefD21_1x_0</vt:lpstr>
      <vt:lpstr>'418'!OSRRefD21_1x_0</vt:lpstr>
      <vt:lpstr>'423'!OSRRefD21_1x_0</vt:lpstr>
      <vt:lpstr>'430'!OSRRefD21_1x_0</vt:lpstr>
      <vt:lpstr>'433'!OSRRefD21_1x_0</vt:lpstr>
      <vt:lpstr>'444'!OSRRefD21_1x_0</vt:lpstr>
      <vt:lpstr>'450'!OSRRefD21_1x_0</vt:lpstr>
      <vt:lpstr>'491'!OSRRefD21_1x_0</vt:lpstr>
      <vt:lpstr>'492'!OSRRefD21_1x_0</vt:lpstr>
      <vt:lpstr>'501'!OSRRefD21_1x_0</vt:lpstr>
      <vt:lpstr>'Div 2'!OSRRefD21_1x_0</vt:lpstr>
      <vt:lpstr>'Div 3'!OSRRefD21_1x_0</vt:lpstr>
      <vt:lpstr>'Div 4'!OSRRefD21_1x_0</vt:lpstr>
      <vt:lpstr>'Div 5'!OSRRefD21_1x_0</vt:lpstr>
      <vt:lpstr>'Div 6'!OSRRefD21_1x_0</vt:lpstr>
      <vt:lpstr>Summary!OSRRefD21_1x_0</vt:lpstr>
      <vt:lpstr>'200'!OSRRefD21_2_0x</vt:lpstr>
      <vt:lpstr>'201'!OSRRefD21_2_0x</vt:lpstr>
      <vt:lpstr>'202'!OSRRefD21_2_0x</vt:lpstr>
      <vt:lpstr>'203'!OSRRefD21_2_0x</vt:lpstr>
      <vt:lpstr>'204'!OSRRefD21_2_0x</vt:lpstr>
      <vt:lpstr>'205'!OSRRefD21_2_0x</vt:lpstr>
      <vt:lpstr>'206'!OSRRefD21_2_0x</vt:lpstr>
      <vt:lpstr>'300'!OSRRefD21_2_0x</vt:lpstr>
      <vt:lpstr>'300 &amp; 317'!OSRRefD21_2_0x</vt:lpstr>
      <vt:lpstr>'301'!OSRRefD21_2_0x</vt:lpstr>
      <vt:lpstr>'307'!OSRRefD21_2_0x</vt:lpstr>
      <vt:lpstr>'308'!OSRRefD21_2_0x</vt:lpstr>
      <vt:lpstr>'309'!OSRRefD21_2_0x</vt:lpstr>
      <vt:lpstr>'310'!OSRRefD21_2_0x</vt:lpstr>
      <vt:lpstr>'310 &amp; 491'!OSRRefD21_2_0x</vt:lpstr>
      <vt:lpstr>'311'!OSRRefD21_2_0x</vt:lpstr>
      <vt:lpstr>'315'!OSRRefD21_2_0x</vt:lpstr>
      <vt:lpstr>'316'!OSRRefD21_2_0x</vt:lpstr>
      <vt:lpstr>'317'!OSRRefD21_2_0x</vt:lpstr>
      <vt:lpstr>'321'!OSRRefD21_2_0x</vt:lpstr>
      <vt:lpstr>'325'!OSRRefD21_2_0x</vt:lpstr>
      <vt:lpstr>'326'!OSRRefD21_2_0x</vt:lpstr>
      <vt:lpstr>'330'!OSRRefD21_2_0x</vt:lpstr>
      <vt:lpstr>'331'!OSRRefD21_2_0x</vt:lpstr>
      <vt:lpstr>'332'!OSRRefD21_2_0x</vt:lpstr>
      <vt:lpstr>'405'!OSRRefD21_2_0x</vt:lpstr>
      <vt:lpstr>'411'!OSRRefD21_2_0x</vt:lpstr>
      <vt:lpstr>'415'!OSRRefD21_2_0x</vt:lpstr>
      <vt:lpstr>'418'!OSRRefD21_2_0x</vt:lpstr>
      <vt:lpstr>'423'!OSRRefD21_2_0x</vt:lpstr>
      <vt:lpstr>'430'!OSRRefD21_2_0x</vt:lpstr>
      <vt:lpstr>'433'!OSRRefD21_2_0x</vt:lpstr>
      <vt:lpstr>'444'!OSRRefD21_2_0x</vt:lpstr>
      <vt:lpstr>'450'!OSRRefD21_2_0x</vt:lpstr>
      <vt:lpstr>'491'!OSRRefD21_2_0x</vt:lpstr>
      <vt:lpstr>'492'!OSRRefD21_2_0x</vt:lpstr>
      <vt:lpstr>'501'!OSRRefD21_2_0x</vt:lpstr>
      <vt:lpstr>'Div 2'!OSRRefD21_2_0x</vt:lpstr>
      <vt:lpstr>'Div 3'!OSRRefD21_2_0x</vt:lpstr>
      <vt:lpstr>'Div 4'!OSRRefD21_2_0x</vt:lpstr>
      <vt:lpstr>'Div 5'!OSRRefD21_2_0x</vt:lpstr>
      <vt:lpstr>'Div 6'!OSRRefD21_2_0x</vt:lpstr>
      <vt:lpstr>Summary!OSRRefD21_2_0x</vt:lpstr>
      <vt:lpstr>'204'!OSRRefD21_2_1x</vt:lpstr>
      <vt:lpstr>'300'!OSRRefD21_20_0x</vt:lpstr>
      <vt:lpstr>'300 &amp; 317'!OSRRefD21_20_0x</vt:lpstr>
      <vt:lpstr>'301'!OSRRefD21_20_0x</vt:lpstr>
      <vt:lpstr>'310 &amp; 491'!OSRRefD21_20_0x</vt:lpstr>
      <vt:lpstr>'Div 3'!OSRRefD21_20_0x</vt:lpstr>
      <vt:lpstr>'Div 4'!OSRRefD21_20_0x</vt:lpstr>
      <vt:lpstr>Summary!OSRRefD21_20_0x</vt:lpstr>
      <vt:lpstr>'300'!OSRRefD21_20_1x</vt:lpstr>
      <vt:lpstr>'300 &amp; 317'!OSRRefD21_20_1x</vt:lpstr>
      <vt:lpstr>'Div 3'!OSRRefD21_20_1x</vt:lpstr>
      <vt:lpstr>Summary!OSRRefD21_20_1x</vt:lpstr>
      <vt:lpstr>'300'!OSRRefD21_20_2x</vt:lpstr>
      <vt:lpstr>'300 &amp; 317'!OSRRefD21_20_2x</vt:lpstr>
      <vt:lpstr>Summary!OSRRefD21_20_2x</vt:lpstr>
      <vt:lpstr>'300'!OSRRefD21_20_3x</vt:lpstr>
      <vt:lpstr>'300 &amp; 317'!OSRRefD21_20_3x</vt:lpstr>
      <vt:lpstr>Summary!OSRRefD21_20_3x</vt:lpstr>
      <vt:lpstr>'300'!OSRRefD21_20_4x</vt:lpstr>
      <vt:lpstr>'300 &amp; 317'!OSRRefD21_20_4x</vt:lpstr>
      <vt:lpstr>Summary!OSRRefD21_20_4x</vt:lpstr>
      <vt:lpstr>'300'!OSRRefD21_20_5x</vt:lpstr>
      <vt:lpstr>'300 &amp; 317'!OSRRefD21_20_5x</vt:lpstr>
      <vt:lpstr>'300'!OSRRefD21_20_6x</vt:lpstr>
      <vt:lpstr>'300 &amp; 317'!OSRRefD21_20_6x</vt:lpstr>
      <vt:lpstr>'300'!OSRRefD21_20x_0</vt:lpstr>
      <vt:lpstr>'300 &amp; 317'!OSRRefD21_20x_0</vt:lpstr>
      <vt:lpstr>'301'!OSRRefD21_20x_0</vt:lpstr>
      <vt:lpstr>'310 &amp; 491'!OSRRefD21_20x_0</vt:lpstr>
      <vt:lpstr>'Div 3'!OSRRefD21_20x_0</vt:lpstr>
      <vt:lpstr>'Div 4'!OSRRefD21_20x_0</vt:lpstr>
      <vt:lpstr>Summary!OSRRefD21_20x_0</vt:lpstr>
      <vt:lpstr>'300'!OSRRefD21_21_0x</vt:lpstr>
      <vt:lpstr>'300 &amp; 317'!OSRRefD21_21_0x</vt:lpstr>
      <vt:lpstr>'Div 3'!OSRRefD21_21_0x</vt:lpstr>
      <vt:lpstr>'Div 4'!OSRRefD21_21_0x</vt:lpstr>
      <vt:lpstr>Summary!OSRRefD21_21_0x</vt:lpstr>
      <vt:lpstr>'300'!OSRRefD21_21_1x</vt:lpstr>
      <vt:lpstr>'300 &amp; 317'!OSRRefD21_21_1x</vt:lpstr>
      <vt:lpstr>'Div 3'!OSRRefD21_21_1x</vt:lpstr>
      <vt:lpstr>Summary!OSRRefD21_21_1x</vt:lpstr>
      <vt:lpstr>'Div 3'!OSRRefD21_21_2x</vt:lpstr>
      <vt:lpstr>'Div 3'!OSRRefD21_21_3x</vt:lpstr>
      <vt:lpstr>'Div 3'!OSRRefD21_21_4x</vt:lpstr>
      <vt:lpstr>'Div 3'!OSRRefD21_21_5x</vt:lpstr>
      <vt:lpstr>'Div 3'!OSRRefD21_21_6x</vt:lpstr>
      <vt:lpstr>'300'!OSRRefD21_21x_0</vt:lpstr>
      <vt:lpstr>'300 &amp; 317'!OSRRefD21_21x_0</vt:lpstr>
      <vt:lpstr>'Div 3'!OSRRefD21_21x_0</vt:lpstr>
      <vt:lpstr>'Div 4'!OSRRefD21_21x_0</vt:lpstr>
      <vt:lpstr>Summary!OSRRefD21_21x_0</vt:lpstr>
      <vt:lpstr>'300'!OSRRefD21_22_0x</vt:lpstr>
      <vt:lpstr>'300 &amp; 317'!OSRRefD21_22_0x</vt:lpstr>
      <vt:lpstr>'Div 3'!OSRRefD21_22_0x</vt:lpstr>
      <vt:lpstr>Summary!OSRRefD21_22_0x</vt:lpstr>
      <vt:lpstr>'Div 3'!OSRRefD21_22_1x</vt:lpstr>
      <vt:lpstr>Summary!OSRRefD21_22_1x</vt:lpstr>
      <vt:lpstr>Summary!OSRRefD21_22_2x</vt:lpstr>
      <vt:lpstr>Summary!OSRRefD21_22_3x</vt:lpstr>
      <vt:lpstr>Summary!OSRRefD21_22_4x</vt:lpstr>
      <vt:lpstr>Summary!OSRRefD21_22_5x</vt:lpstr>
      <vt:lpstr>Summary!OSRRefD21_22_6x</vt:lpstr>
      <vt:lpstr>Summary!OSRRefD21_22_7x</vt:lpstr>
      <vt:lpstr>Summary!OSRRefD21_22_8x</vt:lpstr>
      <vt:lpstr>Summary!OSRRefD21_22_9x</vt:lpstr>
      <vt:lpstr>'300'!OSRRefD21_22x_0</vt:lpstr>
      <vt:lpstr>'300 &amp; 317'!OSRRefD21_22x_0</vt:lpstr>
      <vt:lpstr>'Div 3'!OSRRefD21_22x_0</vt:lpstr>
      <vt:lpstr>Summary!OSRRefD21_22x_0</vt:lpstr>
      <vt:lpstr>'300'!OSRRefD21_23_0x</vt:lpstr>
      <vt:lpstr>'300 &amp; 317'!OSRRefD21_23_0x</vt:lpstr>
      <vt:lpstr>'Div 3'!OSRRefD21_23_0x</vt:lpstr>
      <vt:lpstr>Summary!OSRRefD21_23_0x</vt:lpstr>
      <vt:lpstr>'300'!OSRRefD21_23_1x</vt:lpstr>
      <vt:lpstr>'300 &amp; 317'!OSRRefD21_23_1x</vt:lpstr>
      <vt:lpstr>Summary!OSRRefD21_23_1x</vt:lpstr>
      <vt:lpstr>'300'!OSRRefD21_23_2x</vt:lpstr>
      <vt:lpstr>'300 &amp; 317'!OSRRefD21_23_2x</vt:lpstr>
      <vt:lpstr>'300'!OSRRefD21_23x_0</vt:lpstr>
      <vt:lpstr>'300 &amp; 317'!OSRRefD21_23x_0</vt:lpstr>
      <vt:lpstr>'Div 3'!OSRRefD21_23x_0</vt:lpstr>
      <vt:lpstr>Summary!OSRRefD21_23x_0</vt:lpstr>
      <vt:lpstr>'300'!OSRRefD21_24_0x</vt:lpstr>
      <vt:lpstr>'300 &amp; 317'!OSRRefD21_24_0x</vt:lpstr>
      <vt:lpstr>'Div 3'!OSRRefD21_24_0x</vt:lpstr>
      <vt:lpstr>Summary!OSRRefD21_24_0x</vt:lpstr>
      <vt:lpstr>'Div 3'!OSRRefD21_24_1x</vt:lpstr>
      <vt:lpstr>'Div 3'!OSRRefD21_24_2x</vt:lpstr>
      <vt:lpstr>'300'!OSRRefD21_24x_0</vt:lpstr>
      <vt:lpstr>'300 &amp; 317'!OSRRefD21_24x_0</vt:lpstr>
      <vt:lpstr>'Div 3'!OSRRefD21_24x_0</vt:lpstr>
      <vt:lpstr>Summary!OSRRefD21_24x_0</vt:lpstr>
      <vt:lpstr>'Div 3'!OSRRefD21_25_0x</vt:lpstr>
      <vt:lpstr>Summary!OSRRefD21_25_0x</vt:lpstr>
      <vt:lpstr>Summary!OSRRefD21_25_1x</vt:lpstr>
      <vt:lpstr>Summary!OSRRefD21_25_2x</vt:lpstr>
      <vt:lpstr>'Div 3'!OSRRefD21_25x_0</vt:lpstr>
      <vt:lpstr>Summary!OSRRefD21_25x_0</vt:lpstr>
      <vt:lpstr>Summary!OSRRefD21_26_0x</vt:lpstr>
      <vt:lpstr>Summary!OSRRefD21_26x_0</vt:lpstr>
      <vt:lpstr>'200'!OSRRefD21_2x_0</vt:lpstr>
      <vt:lpstr>'201'!OSRRefD21_2x_0</vt:lpstr>
      <vt:lpstr>'202'!OSRRefD21_2x_0</vt:lpstr>
      <vt:lpstr>'203'!OSRRefD21_2x_0</vt:lpstr>
      <vt:lpstr>'204'!OSRRefD21_2x_0</vt:lpstr>
      <vt:lpstr>'205'!OSRRefD21_2x_0</vt:lpstr>
      <vt:lpstr>'206'!OSRRefD21_2x_0</vt:lpstr>
      <vt:lpstr>'300'!OSRRefD21_2x_0</vt:lpstr>
      <vt:lpstr>'300 &amp; 317'!OSRRefD21_2x_0</vt:lpstr>
      <vt:lpstr>'301'!OSRRefD21_2x_0</vt:lpstr>
      <vt:lpstr>'307'!OSRRefD21_2x_0</vt:lpstr>
      <vt:lpstr>'308'!OSRRefD21_2x_0</vt:lpstr>
      <vt:lpstr>'309'!OSRRefD21_2x_0</vt:lpstr>
      <vt:lpstr>'310'!OSRRefD21_2x_0</vt:lpstr>
      <vt:lpstr>'310 &amp; 491'!OSRRefD21_2x_0</vt:lpstr>
      <vt:lpstr>'311'!OSRRefD21_2x_0</vt:lpstr>
      <vt:lpstr>'315'!OSRRefD21_2x_0</vt:lpstr>
      <vt:lpstr>'316'!OSRRefD21_2x_0</vt:lpstr>
      <vt:lpstr>'317'!OSRRefD21_2x_0</vt:lpstr>
      <vt:lpstr>'321'!OSRRefD21_2x_0</vt:lpstr>
      <vt:lpstr>'325'!OSRRefD21_2x_0</vt:lpstr>
      <vt:lpstr>'326'!OSRRefD21_2x_0</vt:lpstr>
      <vt:lpstr>'330'!OSRRefD21_2x_0</vt:lpstr>
      <vt:lpstr>'331'!OSRRefD21_2x_0</vt:lpstr>
      <vt:lpstr>'332'!OSRRefD21_2x_0</vt:lpstr>
      <vt:lpstr>'405'!OSRRefD21_2x_0</vt:lpstr>
      <vt:lpstr>'411'!OSRRefD21_2x_0</vt:lpstr>
      <vt:lpstr>'415'!OSRRefD21_2x_0</vt:lpstr>
      <vt:lpstr>'418'!OSRRefD21_2x_0</vt:lpstr>
      <vt:lpstr>'423'!OSRRefD21_2x_0</vt:lpstr>
      <vt:lpstr>'430'!OSRRefD21_2x_0</vt:lpstr>
      <vt:lpstr>'433'!OSRRefD21_2x_0</vt:lpstr>
      <vt:lpstr>'444'!OSRRefD21_2x_0</vt:lpstr>
      <vt:lpstr>'450'!OSRRefD21_2x_0</vt:lpstr>
      <vt:lpstr>'491'!OSRRefD21_2x_0</vt:lpstr>
      <vt:lpstr>'492'!OSRRefD21_2x_0</vt:lpstr>
      <vt:lpstr>'501'!OSRRefD21_2x_0</vt:lpstr>
      <vt:lpstr>'Div 2'!OSRRefD21_2x_0</vt:lpstr>
      <vt:lpstr>'Div 3'!OSRRefD21_2x_0</vt:lpstr>
      <vt:lpstr>'Div 4'!OSRRefD21_2x_0</vt:lpstr>
      <vt:lpstr>'Div 5'!OSRRefD21_2x_0</vt:lpstr>
      <vt:lpstr>'Div 6'!OSRRefD21_2x_0</vt:lpstr>
      <vt:lpstr>Summary!OSRRefD21_2x_0</vt:lpstr>
      <vt:lpstr>'200'!OSRRefD21_3_0x</vt:lpstr>
      <vt:lpstr>'201'!OSRRefD21_3_0x</vt:lpstr>
      <vt:lpstr>'202'!OSRRefD21_3_0x</vt:lpstr>
      <vt:lpstr>'203'!OSRRefD21_3_0x</vt:lpstr>
      <vt:lpstr>'204'!OSRRefD21_3_0x</vt:lpstr>
      <vt:lpstr>'205'!OSRRefD21_3_0x</vt:lpstr>
      <vt:lpstr>'206'!OSRRefD21_3_0x</vt:lpstr>
      <vt:lpstr>'300'!OSRRefD21_3_0x</vt:lpstr>
      <vt:lpstr>'300 &amp; 317'!OSRRefD21_3_0x</vt:lpstr>
      <vt:lpstr>'301'!OSRRefD21_3_0x</vt:lpstr>
      <vt:lpstr>'307'!OSRRefD21_3_0x</vt:lpstr>
      <vt:lpstr>'308'!OSRRefD21_3_0x</vt:lpstr>
      <vt:lpstr>'310'!OSRRefD21_3_0x</vt:lpstr>
      <vt:lpstr>'310 &amp; 491'!OSRRefD21_3_0x</vt:lpstr>
      <vt:lpstr>'311'!OSRRefD21_3_0x</vt:lpstr>
      <vt:lpstr>'315'!OSRRefD21_3_0x</vt:lpstr>
      <vt:lpstr>'316'!OSRRefD21_3_0x</vt:lpstr>
      <vt:lpstr>'317'!OSRRefD21_3_0x</vt:lpstr>
      <vt:lpstr>'321'!OSRRefD21_3_0x</vt:lpstr>
      <vt:lpstr>'325'!OSRRefD21_3_0x</vt:lpstr>
      <vt:lpstr>'326'!OSRRefD21_3_0x</vt:lpstr>
      <vt:lpstr>'330'!OSRRefD21_3_0x</vt:lpstr>
      <vt:lpstr>'331'!OSRRefD21_3_0x</vt:lpstr>
      <vt:lpstr>'332'!OSRRefD21_3_0x</vt:lpstr>
      <vt:lpstr>'405'!OSRRefD21_3_0x</vt:lpstr>
      <vt:lpstr>'411'!OSRRefD21_3_0x</vt:lpstr>
      <vt:lpstr>'415'!OSRRefD21_3_0x</vt:lpstr>
      <vt:lpstr>'418'!OSRRefD21_3_0x</vt:lpstr>
      <vt:lpstr>'423'!OSRRefD21_3_0x</vt:lpstr>
      <vt:lpstr>'430'!OSRRefD21_3_0x</vt:lpstr>
      <vt:lpstr>'433'!OSRRefD21_3_0x</vt:lpstr>
      <vt:lpstr>'444'!OSRRefD21_3_0x</vt:lpstr>
      <vt:lpstr>'450'!OSRRefD21_3_0x</vt:lpstr>
      <vt:lpstr>'491'!OSRRefD21_3_0x</vt:lpstr>
      <vt:lpstr>'492'!OSRRefD21_3_0x</vt:lpstr>
      <vt:lpstr>'501'!OSRRefD21_3_0x</vt:lpstr>
      <vt:lpstr>'Div 2'!OSRRefD21_3_0x</vt:lpstr>
      <vt:lpstr>'Div 3'!OSRRefD21_3_0x</vt:lpstr>
      <vt:lpstr>'Div 4'!OSRRefD21_3_0x</vt:lpstr>
      <vt:lpstr>'Div 5'!OSRRefD21_3_0x</vt:lpstr>
      <vt:lpstr>'Div 6'!OSRRefD21_3_0x</vt:lpstr>
      <vt:lpstr>Summary!OSRRefD21_3_0x</vt:lpstr>
      <vt:lpstr>'200'!OSRRefD21_3_1x</vt:lpstr>
      <vt:lpstr>'411'!OSRRefD21_3_1x</vt:lpstr>
      <vt:lpstr>'200'!OSRRefD21_3x_0</vt:lpstr>
      <vt:lpstr>'201'!OSRRefD21_3x_0</vt:lpstr>
      <vt:lpstr>'202'!OSRRefD21_3x_0</vt:lpstr>
      <vt:lpstr>'203'!OSRRefD21_3x_0</vt:lpstr>
      <vt:lpstr>'204'!OSRRefD21_3x_0</vt:lpstr>
      <vt:lpstr>'205'!OSRRefD21_3x_0</vt:lpstr>
      <vt:lpstr>'206'!OSRRefD21_3x_0</vt:lpstr>
      <vt:lpstr>'300'!OSRRefD21_3x_0</vt:lpstr>
      <vt:lpstr>'300 &amp; 317'!OSRRefD21_3x_0</vt:lpstr>
      <vt:lpstr>'301'!OSRRefD21_3x_0</vt:lpstr>
      <vt:lpstr>'307'!OSRRefD21_3x_0</vt:lpstr>
      <vt:lpstr>'308'!OSRRefD21_3x_0</vt:lpstr>
      <vt:lpstr>'310'!OSRRefD21_3x_0</vt:lpstr>
      <vt:lpstr>'310 &amp; 491'!OSRRefD21_3x_0</vt:lpstr>
      <vt:lpstr>'311'!OSRRefD21_3x_0</vt:lpstr>
      <vt:lpstr>'315'!OSRRefD21_3x_0</vt:lpstr>
      <vt:lpstr>'316'!OSRRefD21_3x_0</vt:lpstr>
      <vt:lpstr>'317'!OSRRefD21_3x_0</vt:lpstr>
      <vt:lpstr>'321'!OSRRefD21_3x_0</vt:lpstr>
      <vt:lpstr>'325'!OSRRefD21_3x_0</vt:lpstr>
      <vt:lpstr>'326'!OSRRefD21_3x_0</vt:lpstr>
      <vt:lpstr>'330'!OSRRefD21_3x_0</vt:lpstr>
      <vt:lpstr>'331'!OSRRefD21_3x_0</vt:lpstr>
      <vt:lpstr>'332'!OSRRefD21_3x_0</vt:lpstr>
      <vt:lpstr>'405'!OSRRefD21_3x_0</vt:lpstr>
      <vt:lpstr>'411'!OSRRefD21_3x_0</vt:lpstr>
      <vt:lpstr>'415'!OSRRefD21_3x_0</vt:lpstr>
      <vt:lpstr>'418'!OSRRefD21_3x_0</vt:lpstr>
      <vt:lpstr>'423'!OSRRefD21_3x_0</vt:lpstr>
      <vt:lpstr>'430'!OSRRefD21_3x_0</vt:lpstr>
      <vt:lpstr>'433'!OSRRefD21_3x_0</vt:lpstr>
      <vt:lpstr>'444'!OSRRefD21_3x_0</vt:lpstr>
      <vt:lpstr>'450'!OSRRefD21_3x_0</vt:lpstr>
      <vt:lpstr>'491'!OSRRefD21_3x_0</vt:lpstr>
      <vt:lpstr>'492'!OSRRefD21_3x_0</vt:lpstr>
      <vt:lpstr>'501'!OSRRefD21_3x_0</vt:lpstr>
      <vt:lpstr>'Div 2'!OSRRefD21_3x_0</vt:lpstr>
      <vt:lpstr>'Div 3'!OSRRefD21_3x_0</vt:lpstr>
      <vt:lpstr>'Div 4'!OSRRefD21_3x_0</vt:lpstr>
      <vt:lpstr>'Div 5'!OSRRefD21_3x_0</vt:lpstr>
      <vt:lpstr>'Div 6'!OSRRefD21_3x_0</vt:lpstr>
      <vt:lpstr>Summary!OSRRefD21_3x_0</vt:lpstr>
      <vt:lpstr>'201'!OSRRefD21_4_0x</vt:lpstr>
      <vt:lpstr>'202'!OSRRefD21_4_0x</vt:lpstr>
      <vt:lpstr>'203'!OSRRefD21_4_0x</vt:lpstr>
      <vt:lpstr>'204'!OSRRefD21_4_0x</vt:lpstr>
      <vt:lpstr>'205'!OSRRefD21_4_0x</vt:lpstr>
      <vt:lpstr>'206'!OSRRefD21_4_0x</vt:lpstr>
      <vt:lpstr>'300'!OSRRefD21_4_0x</vt:lpstr>
      <vt:lpstr>'300 &amp; 317'!OSRRefD21_4_0x</vt:lpstr>
      <vt:lpstr>'301'!OSRRefD21_4_0x</vt:lpstr>
      <vt:lpstr>'307'!OSRRefD21_4_0x</vt:lpstr>
      <vt:lpstr>'308'!OSRRefD21_4_0x</vt:lpstr>
      <vt:lpstr>'310'!OSRRefD21_4_0x</vt:lpstr>
      <vt:lpstr>'310 &amp; 491'!OSRRefD21_4_0x</vt:lpstr>
      <vt:lpstr>'311'!OSRRefD21_4_0x</vt:lpstr>
      <vt:lpstr>'315'!OSRRefD21_4_0x</vt:lpstr>
      <vt:lpstr>'316'!OSRRefD21_4_0x</vt:lpstr>
      <vt:lpstr>'317'!OSRRefD21_4_0x</vt:lpstr>
      <vt:lpstr>'321'!OSRRefD21_4_0x</vt:lpstr>
      <vt:lpstr>'325'!OSRRefD21_4_0x</vt:lpstr>
      <vt:lpstr>'326'!OSRRefD21_4_0x</vt:lpstr>
      <vt:lpstr>'330'!OSRRefD21_4_0x</vt:lpstr>
      <vt:lpstr>'331'!OSRRefD21_4_0x</vt:lpstr>
      <vt:lpstr>'332'!OSRRefD21_4_0x</vt:lpstr>
      <vt:lpstr>'405'!OSRRefD21_4_0x</vt:lpstr>
      <vt:lpstr>'411'!OSRRefD21_4_0x</vt:lpstr>
      <vt:lpstr>'415'!OSRRefD21_4_0x</vt:lpstr>
      <vt:lpstr>'418'!OSRRefD21_4_0x</vt:lpstr>
      <vt:lpstr>'430'!OSRRefD21_4_0x</vt:lpstr>
      <vt:lpstr>'433'!OSRRefD21_4_0x</vt:lpstr>
      <vt:lpstr>'444'!OSRRefD21_4_0x</vt:lpstr>
      <vt:lpstr>'450'!OSRRefD21_4_0x</vt:lpstr>
      <vt:lpstr>'491'!OSRRefD21_4_0x</vt:lpstr>
      <vt:lpstr>'492'!OSRRefD21_4_0x</vt:lpstr>
      <vt:lpstr>'501'!OSRRefD21_4_0x</vt:lpstr>
      <vt:lpstr>'Div 2'!OSRRefD21_4_0x</vt:lpstr>
      <vt:lpstr>'Div 3'!OSRRefD21_4_0x</vt:lpstr>
      <vt:lpstr>'Div 4'!OSRRefD21_4_0x</vt:lpstr>
      <vt:lpstr>'Div 5'!OSRRefD21_4_0x</vt:lpstr>
      <vt:lpstr>'Div 6'!OSRRefD21_4_0x</vt:lpstr>
      <vt:lpstr>Summary!OSRRefD21_4_0x</vt:lpstr>
      <vt:lpstr>'204'!OSRRefD21_4_1x</vt:lpstr>
      <vt:lpstr>'205'!OSRRefD21_4_1x</vt:lpstr>
      <vt:lpstr>'301'!OSRRefD21_4_1x</vt:lpstr>
      <vt:lpstr>'325'!OSRRefD21_4_1x</vt:lpstr>
      <vt:lpstr>'405'!OSRRefD21_4_1x</vt:lpstr>
      <vt:lpstr>'418'!OSRRefD21_4_1x</vt:lpstr>
      <vt:lpstr>'204'!OSRRefD21_4_2x</vt:lpstr>
      <vt:lpstr>'205'!OSRRefD21_4_2x</vt:lpstr>
      <vt:lpstr>'201'!OSRRefD21_4x_0</vt:lpstr>
      <vt:lpstr>'202'!OSRRefD21_4x_0</vt:lpstr>
      <vt:lpstr>'203'!OSRRefD21_4x_0</vt:lpstr>
      <vt:lpstr>'204'!OSRRefD21_4x_0</vt:lpstr>
      <vt:lpstr>'205'!OSRRefD21_4x_0</vt:lpstr>
      <vt:lpstr>'206'!OSRRefD21_4x_0</vt:lpstr>
      <vt:lpstr>'300'!OSRRefD21_4x_0</vt:lpstr>
      <vt:lpstr>'300 &amp; 317'!OSRRefD21_4x_0</vt:lpstr>
      <vt:lpstr>'301'!OSRRefD21_4x_0</vt:lpstr>
      <vt:lpstr>'307'!OSRRefD21_4x_0</vt:lpstr>
      <vt:lpstr>'308'!OSRRefD21_4x_0</vt:lpstr>
      <vt:lpstr>'310'!OSRRefD21_4x_0</vt:lpstr>
      <vt:lpstr>'310 &amp; 491'!OSRRefD21_4x_0</vt:lpstr>
      <vt:lpstr>'311'!OSRRefD21_4x_0</vt:lpstr>
      <vt:lpstr>'315'!OSRRefD21_4x_0</vt:lpstr>
      <vt:lpstr>'316'!OSRRefD21_4x_0</vt:lpstr>
      <vt:lpstr>'317'!OSRRefD21_4x_0</vt:lpstr>
      <vt:lpstr>'321'!OSRRefD21_4x_0</vt:lpstr>
      <vt:lpstr>'325'!OSRRefD21_4x_0</vt:lpstr>
      <vt:lpstr>'326'!OSRRefD21_4x_0</vt:lpstr>
      <vt:lpstr>'330'!OSRRefD21_4x_0</vt:lpstr>
      <vt:lpstr>'331'!OSRRefD21_4x_0</vt:lpstr>
      <vt:lpstr>'332'!OSRRefD21_4x_0</vt:lpstr>
      <vt:lpstr>'405'!OSRRefD21_4x_0</vt:lpstr>
      <vt:lpstr>'411'!OSRRefD21_4x_0</vt:lpstr>
      <vt:lpstr>'415'!OSRRefD21_4x_0</vt:lpstr>
      <vt:lpstr>'418'!OSRRefD21_4x_0</vt:lpstr>
      <vt:lpstr>'430'!OSRRefD21_4x_0</vt:lpstr>
      <vt:lpstr>'433'!OSRRefD21_4x_0</vt:lpstr>
      <vt:lpstr>'444'!OSRRefD21_4x_0</vt:lpstr>
      <vt:lpstr>'450'!OSRRefD21_4x_0</vt:lpstr>
      <vt:lpstr>'491'!OSRRefD21_4x_0</vt:lpstr>
      <vt:lpstr>'492'!OSRRefD21_4x_0</vt:lpstr>
      <vt:lpstr>'501'!OSRRefD21_4x_0</vt:lpstr>
      <vt:lpstr>'Div 2'!OSRRefD21_4x_0</vt:lpstr>
      <vt:lpstr>'Div 3'!OSRRefD21_4x_0</vt:lpstr>
      <vt:lpstr>'Div 4'!OSRRefD21_4x_0</vt:lpstr>
      <vt:lpstr>'Div 5'!OSRRefD21_4x_0</vt:lpstr>
      <vt:lpstr>'Div 6'!OSRRefD21_4x_0</vt:lpstr>
      <vt:lpstr>Summary!OSRRefD21_4x_0</vt:lpstr>
      <vt:lpstr>'201'!OSRRefD21_5_0x</vt:lpstr>
      <vt:lpstr>'202'!OSRRefD21_5_0x</vt:lpstr>
      <vt:lpstr>'203'!OSRRefD21_5_0x</vt:lpstr>
      <vt:lpstr>'204'!OSRRefD21_5_0x</vt:lpstr>
      <vt:lpstr>'205'!OSRRefD21_5_0x</vt:lpstr>
      <vt:lpstr>'206'!OSRRefD21_5_0x</vt:lpstr>
      <vt:lpstr>'300'!OSRRefD21_5_0x</vt:lpstr>
      <vt:lpstr>'300 &amp; 317'!OSRRefD21_5_0x</vt:lpstr>
      <vt:lpstr>'301'!OSRRefD21_5_0x</vt:lpstr>
      <vt:lpstr>'307'!OSRRefD21_5_0x</vt:lpstr>
      <vt:lpstr>'308'!OSRRefD21_5_0x</vt:lpstr>
      <vt:lpstr>'310'!OSRRefD21_5_0x</vt:lpstr>
      <vt:lpstr>'310 &amp; 491'!OSRRefD21_5_0x</vt:lpstr>
      <vt:lpstr>'311'!OSRRefD21_5_0x</vt:lpstr>
      <vt:lpstr>'315'!OSRRefD21_5_0x</vt:lpstr>
      <vt:lpstr>'316'!OSRRefD21_5_0x</vt:lpstr>
      <vt:lpstr>'317'!OSRRefD21_5_0x</vt:lpstr>
      <vt:lpstr>'321'!OSRRefD21_5_0x</vt:lpstr>
      <vt:lpstr>'325'!OSRRefD21_5_0x</vt:lpstr>
      <vt:lpstr>'326'!OSRRefD21_5_0x</vt:lpstr>
      <vt:lpstr>'330'!OSRRefD21_5_0x</vt:lpstr>
      <vt:lpstr>'331'!OSRRefD21_5_0x</vt:lpstr>
      <vt:lpstr>'332'!OSRRefD21_5_0x</vt:lpstr>
      <vt:lpstr>'405'!OSRRefD21_5_0x</vt:lpstr>
      <vt:lpstr>'411'!OSRRefD21_5_0x</vt:lpstr>
      <vt:lpstr>'415'!OSRRefD21_5_0x</vt:lpstr>
      <vt:lpstr>'418'!OSRRefD21_5_0x</vt:lpstr>
      <vt:lpstr>'430'!OSRRefD21_5_0x</vt:lpstr>
      <vt:lpstr>'433'!OSRRefD21_5_0x</vt:lpstr>
      <vt:lpstr>'444'!OSRRefD21_5_0x</vt:lpstr>
      <vt:lpstr>'450'!OSRRefD21_5_0x</vt:lpstr>
      <vt:lpstr>'491'!OSRRefD21_5_0x</vt:lpstr>
      <vt:lpstr>'492'!OSRRefD21_5_0x</vt:lpstr>
      <vt:lpstr>'501'!OSRRefD21_5_0x</vt:lpstr>
      <vt:lpstr>'Div 2'!OSRRefD21_5_0x</vt:lpstr>
      <vt:lpstr>'Div 3'!OSRRefD21_5_0x</vt:lpstr>
      <vt:lpstr>'Div 4'!OSRRefD21_5_0x</vt:lpstr>
      <vt:lpstr>'Div 5'!OSRRefD21_5_0x</vt:lpstr>
      <vt:lpstr>'Div 6'!OSRRefD21_5_0x</vt:lpstr>
      <vt:lpstr>Summary!OSRRefD21_5_0x</vt:lpstr>
      <vt:lpstr>'204'!OSRRefD21_5_1x</vt:lpstr>
      <vt:lpstr>'206'!OSRRefD21_5_1x</vt:lpstr>
      <vt:lpstr>'300'!OSRRefD21_5_1x</vt:lpstr>
      <vt:lpstr>'300 &amp; 317'!OSRRefD21_5_1x</vt:lpstr>
      <vt:lpstr>'310'!OSRRefD21_5_1x</vt:lpstr>
      <vt:lpstr>'310 &amp; 491'!OSRRefD21_5_1x</vt:lpstr>
      <vt:lpstr>'316'!OSRRefD21_5_1x</vt:lpstr>
      <vt:lpstr>'332'!OSRRefD21_5_1x</vt:lpstr>
      <vt:lpstr>'415'!OSRRefD21_5_1x</vt:lpstr>
      <vt:lpstr>'430'!OSRRefD21_5_1x</vt:lpstr>
      <vt:lpstr>'491'!OSRRefD21_5_1x</vt:lpstr>
      <vt:lpstr>'Div 2'!OSRRefD21_5_1x</vt:lpstr>
      <vt:lpstr>'Div 3'!OSRRefD21_5_1x</vt:lpstr>
      <vt:lpstr>'Div 4'!OSRRefD21_5_1x</vt:lpstr>
      <vt:lpstr>Summary!OSRRefD21_5_1x</vt:lpstr>
      <vt:lpstr>'201'!OSRRefD21_5x_0</vt:lpstr>
      <vt:lpstr>'202'!OSRRefD21_5x_0</vt:lpstr>
      <vt:lpstr>'203'!OSRRefD21_5x_0</vt:lpstr>
      <vt:lpstr>'204'!OSRRefD21_5x_0</vt:lpstr>
      <vt:lpstr>'205'!OSRRefD21_5x_0</vt:lpstr>
      <vt:lpstr>'206'!OSRRefD21_5x_0</vt:lpstr>
      <vt:lpstr>'300'!OSRRefD21_5x_0</vt:lpstr>
      <vt:lpstr>'300 &amp; 317'!OSRRefD21_5x_0</vt:lpstr>
      <vt:lpstr>'301'!OSRRefD21_5x_0</vt:lpstr>
      <vt:lpstr>'307'!OSRRefD21_5x_0</vt:lpstr>
      <vt:lpstr>'308'!OSRRefD21_5x_0</vt:lpstr>
      <vt:lpstr>'310'!OSRRefD21_5x_0</vt:lpstr>
      <vt:lpstr>'310 &amp; 491'!OSRRefD21_5x_0</vt:lpstr>
      <vt:lpstr>'311'!OSRRefD21_5x_0</vt:lpstr>
      <vt:lpstr>'315'!OSRRefD21_5x_0</vt:lpstr>
      <vt:lpstr>'316'!OSRRefD21_5x_0</vt:lpstr>
      <vt:lpstr>'317'!OSRRefD21_5x_0</vt:lpstr>
      <vt:lpstr>'321'!OSRRefD21_5x_0</vt:lpstr>
      <vt:lpstr>'325'!OSRRefD21_5x_0</vt:lpstr>
      <vt:lpstr>'326'!OSRRefD21_5x_0</vt:lpstr>
      <vt:lpstr>'330'!OSRRefD21_5x_0</vt:lpstr>
      <vt:lpstr>'331'!OSRRefD21_5x_0</vt:lpstr>
      <vt:lpstr>'332'!OSRRefD21_5x_0</vt:lpstr>
      <vt:lpstr>'405'!OSRRefD21_5x_0</vt:lpstr>
      <vt:lpstr>'411'!OSRRefD21_5x_0</vt:lpstr>
      <vt:lpstr>'415'!OSRRefD21_5x_0</vt:lpstr>
      <vt:lpstr>'418'!OSRRefD21_5x_0</vt:lpstr>
      <vt:lpstr>'430'!OSRRefD21_5x_0</vt:lpstr>
      <vt:lpstr>'433'!OSRRefD21_5x_0</vt:lpstr>
      <vt:lpstr>'444'!OSRRefD21_5x_0</vt:lpstr>
      <vt:lpstr>'450'!OSRRefD21_5x_0</vt:lpstr>
      <vt:lpstr>'491'!OSRRefD21_5x_0</vt:lpstr>
      <vt:lpstr>'492'!OSRRefD21_5x_0</vt:lpstr>
      <vt:lpstr>'501'!OSRRefD21_5x_0</vt:lpstr>
      <vt:lpstr>'Div 2'!OSRRefD21_5x_0</vt:lpstr>
      <vt:lpstr>'Div 3'!OSRRefD21_5x_0</vt:lpstr>
      <vt:lpstr>'Div 4'!OSRRefD21_5x_0</vt:lpstr>
      <vt:lpstr>'Div 5'!OSRRefD21_5x_0</vt:lpstr>
      <vt:lpstr>'Div 6'!OSRRefD21_5x_0</vt:lpstr>
      <vt:lpstr>Summary!OSRRefD21_5x_0</vt:lpstr>
      <vt:lpstr>'201'!OSRRefD21_6_0x</vt:lpstr>
      <vt:lpstr>'202'!OSRRefD21_6_0x</vt:lpstr>
      <vt:lpstr>'203'!OSRRefD21_6_0x</vt:lpstr>
      <vt:lpstr>'204'!OSRRefD21_6_0x</vt:lpstr>
      <vt:lpstr>'205'!OSRRefD21_6_0x</vt:lpstr>
      <vt:lpstr>'300'!OSRRefD21_6_0x</vt:lpstr>
      <vt:lpstr>'300 &amp; 317'!OSRRefD21_6_0x</vt:lpstr>
      <vt:lpstr>'301'!OSRRefD21_6_0x</vt:lpstr>
      <vt:lpstr>'307'!OSRRefD21_6_0x</vt:lpstr>
      <vt:lpstr>'308'!OSRRefD21_6_0x</vt:lpstr>
      <vt:lpstr>'310'!OSRRefD21_6_0x</vt:lpstr>
      <vt:lpstr>'310 &amp; 491'!OSRRefD21_6_0x</vt:lpstr>
      <vt:lpstr>'311'!OSRRefD21_6_0x</vt:lpstr>
      <vt:lpstr>'315'!OSRRefD21_6_0x</vt:lpstr>
      <vt:lpstr>'316'!OSRRefD21_6_0x</vt:lpstr>
      <vt:lpstr>'317'!OSRRefD21_6_0x</vt:lpstr>
      <vt:lpstr>'321'!OSRRefD21_6_0x</vt:lpstr>
      <vt:lpstr>'325'!OSRRefD21_6_0x</vt:lpstr>
      <vt:lpstr>'326'!OSRRefD21_6_0x</vt:lpstr>
      <vt:lpstr>'330'!OSRRefD21_6_0x</vt:lpstr>
      <vt:lpstr>'331'!OSRRefD21_6_0x</vt:lpstr>
      <vt:lpstr>'332'!OSRRefD21_6_0x</vt:lpstr>
      <vt:lpstr>'405'!OSRRefD21_6_0x</vt:lpstr>
      <vt:lpstr>'411'!OSRRefD21_6_0x</vt:lpstr>
      <vt:lpstr>'415'!OSRRefD21_6_0x</vt:lpstr>
      <vt:lpstr>'418'!OSRRefD21_6_0x</vt:lpstr>
      <vt:lpstr>'430'!OSRRefD21_6_0x</vt:lpstr>
      <vt:lpstr>'433'!OSRRefD21_6_0x</vt:lpstr>
      <vt:lpstr>'444'!OSRRefD21_6_0x</vt:lpstr>
      <vt:lpstr>'450'!OSRRefD21_6_0x</vt:lpstr>
      <vt:lpstr>'491'!OSRRefD21_6_0x</vt:lpstr>
      <vt:lpstr>'492'!OSRRefD21_6_0x</vt:lpstr>
      <vt:lpstr>'501'!OSRRefD21_6_0x</vt:lpstr>
      <vt:lpstr>'Div 2'!OSRRefD21_6_0x</vt:lpstr>
      <vt:lpstr>'Div 3'!OSRRefD21_6_0x</vt:lpstr>
      <vt:lpstr>'Div 4'!OSRRefD21_6_0x</vt:lpstr>
      <vt:lpstr>'Div 5'!OSRRefD21_6_0x</vt:lpstr>
      <vt:lpstr>'Div 6'!OSRRefD21_6_0x</vt:lpstr>
      <vt:lpstr>Summary!OSRRefD21_6_0x</vt:lpstr>
      <vt:lpstr>'202'!OSRRefD21_6_1x</vt:lpstr>
      <vt:lpstr>'300'!OSRRefD21_6_1x</vt:lpstr>
      <vt:lpstr>'300 &amp; 317'!OSRRefD21_6_1x</vt:lpstr>
      <vt:lpstr>'315'!OSRRefD21_6_1x</vt:lpstr>
      <vt:lpstr>'316'!OSRRefD21_6_1x</vt:lpstr>
      <vt:lpstr>'321'!OSRRefD21_6_1x</vt:lpstr>
      <vt:lpstr>'331'!OSRRefD21_6_1x</vt:lpstr>
      <vt:lpstr>'332'!OSRRefD21_6_1x</vt:lpstr>
      <vt:lpstr>'Div 3'!OSRRefD21_6_1x</vt:lpstr>
      <vt:lpstr>Summary!OSRRefD21_6_1x</vt:lpstr>
      <vt:lpstr>'202'!OSRRefD21_6_2x</vt:lpstr>
      <vt:lpstr>'316'!OSRRefD21_6_2x</vt:lpstr>
      <vt:lpstr>'332'!OSRRefD21_6_2x</vt:lpstr>
      <vt:lpstr>'201'!OSRRefD21_6x_0</vt:lpstr>
      <vt:lpstr>'202'!OSRRefD21_6x_0</vt:lpstr>
      <vt:lpstr>'203'!OSRRefD21_6x_0</vt:lpstr>
      <vt:lpstr>'204'!OSRRefD21_6x_0</vt:lpstr>
      <vt:lpstr>'205'!OSRRefD21_6x_0</vt:lpstr>
      <vt:lpstr>'300'!OSRRefD21_6x_0</vt:lpstr>
      <vt:lpstr>'300 &amp; 317'!OSRRefD21_6x_0</vt:lpstr>
      <vt:lpstr>'301'!OSRRefD21_6x_0</vt:lpstr>
      <vt:lpstr>'307'!OSRRefD21_6x_0</vt:lpstr>
      <vt:lpstr>'308'!OSRRefD21_6x_0</vt:lpstr>
      <vt:lpstr>'310'!OSRRefD21_6x_0</vt:lpstr>
      <vt:lpstr>'310 &amp; 491'!OSRRefD21_6x_0</vt:lpstr>
      <vt:lpstr>'311'!OSRRefD21_6x_0</vt:lpstr>
      <vt:lpstr>'315'!OSRRefD21_6x_0</vt:lpstr>
      <vt:lpstr>'316'!OSRRefD21_6x_0</vt:lpstr>
      <vt:lpstr>'317'!OSRRefD21_6x_0</vt:lpstr>
      <vt:lpstr>'321'!OSRRefD21_6x_0</vt:lpstr>
      <vt:lpstr>'325'!OSRRefD21_6x_0</vt:lpstr>
      <vt:lpstr>'326'!OSRRefD21_6x_0</vt:lpstr>
      <vt:lpstr>'330'!OSRRefD21_6x_0</vt:lpstr>
      <vt:lpstr>'331'!OSRRefD21_6x_0</vt:lpstr>
      <vt:lpstr>'332'!OSRRefD21_6x_0</vt:lpstr>
      <vt:lpstr>'405'!OSRRefD21_6x_0</vt:lpstr>
      <vt:lpstr>'411'!OSRRefD21_6x_0</vt:lpstr>
      <vt:lpstr>'415'!OSRRefD21_6x_0</vt:lpstr>
      <vt:lpstr>'418'!OSRRefD21_6x_0</vt:lpstr>
      <vt:lpstr>'430'!OSRRefD21_6x_0</vt:lpstr>
      <vt:lpstr>'433'!OSRRefD21_6x_0</vt:lpstr>
      <vt:lpstr>'444'!OSRRefD21_6x_0</vt:lpstr>
      <vt:lpstr>'450'!OSRRefD21_6x_0</vt:lpstr>
      <vt:lpstr>'491'!OSRRefD21_6x_0</vt:lpstr>
      <vt:lpstr>'492'!OSRRefD21_6x_0</vt:lpstr>
      <vt:lpstr>'501'!OSRRefD21_6x_0</vt:lpstr>
      <vt:lpstr>'Div 2'!OSRRefD21_6x_0</vt:lpstr>
      <vt:lpstr>'Div 3'!OSRRefD21_6x_0</vt:lpstr>
      <vt:lpstr>'Div 4'!OSRRefD21_6x_0</vt:lpstr>
      <vt:lpstr>'Div 5'!OSRRefD21_6x_0</vt:lpstr>
      <vt:lpstr>'Div 6'!OSRRefD21_6x_0</vt:lpstr>
      <vt:lpstr>Summary!OSRRefD21_6x_0</vt:lpstr>
      <vt:lpstr>'201'!OSRRefD21_7_0x</vt:lpstr>
      <vt:lpstr>'202'!OSRRefD21_7_0x</vt:lpstr>
      <vt:lpstr>'203'!OSRRefD21_7_0x</vt:lpstr>
      <vt:lpstr>'204'!OSRRefD21_7_0x</vt:lpstr>
      <vt:lpstr>'205'!OSRRefD21_7_0x</vt:lpstr>
      <vt:lpstr>'300'!OSRRefD21_7_0x</vt:lpstr>
      <vt:lpstr>'300 &amp; 317'!OSRRefD21_7_0x</vt:lpstr>
      <vt:lpstr>'301'!OSRRefD21_7_0x</vt:lpstr>
      <vt:lpstr>'307'!OSRRefD21_7_0x</vt:lpstr>
      <vt:lpstr>'308'!OSRRefD21_7_0x</vt:lpstr>
      <vt:lpstr>'310'!OSRRefD21_7_0x</vt:lpstr>
      <vt:lpstr>'310 &amp; 491'!OSRRefD21_7_0x</vt:lpstr>
      <vt:lpstr>'311'!OSRRefD21_7_0x</vt:lpstr>
      <vt:lpstr>'315'!OSRRefD21_7_0x</vt:lpstr>
      <vt:lpstr>'316'!OSRRefD21_7_0x</vt:lpstr>
      <vt:lpstr>'317'!OSRRefD21_7_0x</vt:lpstr>
      <vt:lpstr>'321'!OSRRefD21_7_0x</vt:lpstr>
      <vt:lpstr>'325'!OSRRefD21_7_0x</vt:lpstr>
      <vt:lpstr>'326'!OSRRefD21_7_0x</vt:lpstr>
      <vt:lpstr>'330'!OSRRefD21_7_0x</vt:lpstr>
      <vt:lpstr>'331'!OSRRefD21_7_0x</vt:lpstr>
      <vt:lpstr>'332'!OSRRefD21_7_0x</vt:lpstr>
      <vt:lpstr>'405'!OSRRefD21_7_0x</vt:lpstr>
      <vt:lpstr>'411'!OSRRefD21_7_0x</vt:lpstr>
      <vt:lpstr>'415'!OSRRefD21_7_0x</vt:lpstr>
      <vt:lpstr>'418'!OSRRefD21_7_0x</vt:lpstr>
      <vt:lpstr>'433'!OSRRefD21_7_0x</vt:lpstr>
      <vt:lpstr>'444'!OSRRefD21_7_0x</vt:lpstr>
      <vt:lpstr>'450'!OSRRefD21_7_0x</vt:lpstr>
      <vt:lpstr>'491'!OSRRefD21_7_0x</vt:lpstr>
      <vt:lpstr>'492'!OSRRefD21_7_0x</vt:lpstr>
      <vt:lpstr>'501'!OSRRefD21_7_0x</vt:lpstr>
      <vt:lpstr>'Div 2'!OSRRefD21_7_0x</vt:lpstr>
      <vt:lpstr>'Div 3'!OSRRefD21_7_0x</vt:lpstr>
      <vt:lpstr>'Div 4'!OSRRefD21_7_0x</vt:lpstr>
      <vt:lpstr>'Div 5'!OSRRefD21_7_0x</vt:lpstr>
      <vt:lpstr>'Div 6'!OSRRefD21_7_0x</vt:lpstr>
      <vt:lpstr>Summary!OSRRefD21_7_0x</vt:lpstr>
      <vt:lpstr>'204'!OSRRefD21_7_1x</vt:lpstr>
      <vt:lpstr>'331'!OSRRefD21_7_1x</vt:lpstr>
      <vt:lpstr>'411'!OSRRefD21_7_1x</vt:lpstr>
      <vt:lpstr>'418'!OSRRefD21_7_1x</vt:lpstr>
      <vt:lpstr>'411'!OSRRefD21_7_2x</vt:lpstr>
      <vt:lpstr>'201'!OSRRefD21_7x_0</vt:lpstr>
      <vt:lpstr>'202'!OSRRefD21_7x_0</vt:lpstr>
      <vt:lpstr>'203'!OSRRefD21_7x_0</vt:lpstr>
      <vt:lpstr>'204'!OSRRefD21_7x_0</vt:lpstr>
      <vt:lpstr>'205'!OSRRefD21_7x_0</vt:lpstr>
      <vt:lpstr>'300'!OSRRefD21_7x_0</vt:lpstr>
      <vt:lpstr>'300 &amp; 317'!OSRRefD21_7x_0</vt:lpstr>
      <vt:lpstr>'301'!OSRRefD21_7x_0</vt:lpstr>
      <vt:lpstr>'307'!OSRRefD21_7x_0</vt:lpstr>
      <vt:lpstr>'308'!OSRRefD21_7x_0</vt:lpstr>
      <vt:lpstr>'310'!OSRRefD21_7x_0</vt:lpstr>
      <vt:lpstr>'310 &amp; 491'!OSRRefD21_7x_0</vt:lpstr>
      <vt:lpstr>'311'!OSRRefD21_7x_0</vt:lpstr>
      <vt:lpstr>'315'!OSRRefD21_7x_0</vt:lpstr>
      <vt:lpstr>'316'!OSRRefD21_7x_0</vt:lpstr>
      <vt:lpstr>'317'!OSRRefD21_7x_0</vt:lpstr>
      <vt:lpstr>'321'!OSRRefD21_7x_0</vt:lpstr>
      <vt:lpstr>'325'!OSRRefD21_7x_0</vt:lpstr>
      <vt:lpstr>'326'!OSRRefD21_7x_0</vt:lpstr>
      <vt:lpstr>'330'!OSRRefD21_7x_0</vt:lpstr>
      <vt:lpstr>'331'!OSRRefD21_7x_0</vt:lpstr>
      <vt:lpstr>'332'!OSRRefD21_7x_0</vt:lpstr>
      <vt:lpstr>'405'!OSRRefD21_7x_0</vt:lpstr>
      <vt:lpstr>'411'!OSRRefD21_7x_0</vt:lpstr>
      <vt:lpstr>'415'!OSRRefD21_7x_0</vt:lpstr>
      <vt:lpstr>'418'!OSRRefD21_7x_0</vt:lpstr>
      <vt:lpstr>'433'!OSRRefD21_7x_0</vt:lpstr>
      <vt:lpstr>'444'!OSRRefD21_7x_0</vt:lpstr>
      <vt:lpstr>'450'!OSRRefD21_7x_0</vt:lpstr>
      <vt:lpstr>'491'!OSRRefD21_7x_0</vt:lpstr>
      <vt:lpstr>'492'!OSRRefD21_7x_0</vt:lpstr>
      <vt:lpstr>'501'!OSRRefD21_7x_0</vt:lpstr>
      <vt:lpstr>'Div 2'!OSRRefD21_7x_0</vt:lpstr>
      <vt:lpstr>'Div 3'!OSRRefD21_7x_0</vt:lpstr>
      <vt:lpstr>'Div 4'!OSRRefD21_7x_0</vt:lpstr>
      <vt:lpstr>'Div 5'!OSRRefD21_7x_0</vt:lpstr>
      <vt:lpstr>'Div 6'!OSRRefD21_7x_0</vt:lpstr>
      <vt:lpstr>Summary!OSRRefD21_7x_0</vt:lpstr>
      <vt:lpstr>'201'!OSRRefD21_8_0x</vt:lpstr>
      <vt:lpstr>'202'!OSRRefD21_8_0x</vt:lpstr>
      <vt:lpstr>'203'!OSRRefD21_8_0x</vt:lpstr>
      <vt:lpstr>'204'!OSRRefD21_8_0x</vt:lpstr>
      <vt:lpstr>'300'!OSRRefD21_8_0x</vt:lpstr>
      <vt:lpstr>'300 &amp; 317'!OSRRefD21_8_0x</vt:lpstr>
      <vt:lpstr>'301'!OSRRefD21_8_0x</vt:lpstr>
      <vt:lpstr>'307'!OSRRefD21_8_0x</vt:lpstr>
      <vt:lpstr>'308'!OSRRefD21_8_0x</vt:lpstr>
      <vt:lpstr>'310'!OSRRefD21_8_0x</vt:lpstr>
      <vt:lpstr>'310 &amp; 491'!OSRRefD21_8_0x</vt:lpstr>
      <vt:lpstr>'311'!OSRRefD21_8_0x</vt:lpstr>
      <vt:lpstr>'315'!OSRRefD21_8_0x</vt:lpstr>
      <vt:lpstr>'316'!OSRRefD21_8_0x</vt:lpstr>
      <vt:lpstr>'317'!OSRRefD21_8_0x</vt:lpstr>
      <vt:lpstr>'321'!OSRRefD21_8_0x</vt:lpstr>
      <vt:lpstr>'325'!OSRRefD21_8_0x</vt:lpstr>
      <vt:lpstr>'326'!OSRRefD21_8_0x</vt:lpstr>
      <vt:lpstr>'330'!OSRRefD21_8_0x</vt:lpstr>
      <vt:lpstr>'331'!OSRRefD21_8_0x</vt:lpstr>
      <vt:lpstr>'332'!OSRRefD21_8_0x</vt:lpstr>
      <vt:lpstr>'405'!OSRRefD21_8_0x</vt:lpstr>
      <vt:lpstr>'411'!OSRRefD21_8_0x</vt:lpstr>
      <vt:lpstr>'415'!OSRRefD21_8_0x</vt:lpstr>
      <vt:lpstr>'418'!OSRRefD21_8_0x</vt:lpstr>
      <vt:lpstr>'433'!OSRRefD21_8_0x</vt:lpstr>
      <vt:lpstr>'444'!OSRRefD21_8_0x</vt:lpstr>
      <vt:lpstr>'450'!OSRRefD21_8_0x</vt:lpstr>
      <vt:lpstr>'491'!OSRRefD21_8_0x</vt:lpstr>
      <vt:lpstr>'492'!OSRRefD21_8_0x</vt:lpstr>
      <vt:lpstr>'501'!OSRRefD21_8_0x</vt:lpstr>
      <vt:lpstr>'Div 2'!OSRRefD21_8_0x</vt:lpstr>
      <vt:lpstr>'Div 3'!OSRRefD21_8_0x</vt:lpstr>
      <vt:lpstr>'Div 4'!OSRRefD21_8_0x</vt:lpstr>
      <vt:lpstr>'Div 5'!OSRRefD21_8_0x</vt:lpstr>
      <vt:lpstr>'Div 6'!OSRRefD21_8_0x</vt:lpstr>
      <vt:lpstr>Summary!OSRRefD21_8_0x</vt:lpstr>
      <vt:lpstr>'203'!OSRRefD21_8_1x</vt:lpstr>
      <vt:lpstr>'307'!OSRRefD21_8_1x</vt:lpstr>
      <vt:lpstr>'308'!OSRRefD21_8_1x</vt:lpstr>
      <vt:lpstr>'310 &amp; 491'!OSRRefD21_8_1x</vt:lpstr>
      <vt:lpstr>'311'!OSRRefD21_8_1x</vt:lpstr>
      <vt:lpstr>'316'!OSRRefD21_8_1x</vt:lpstr>
      <vt:lpstr>'317'!OSRRefD21_8_1x</vt:lpstr>
      <vt:lpstr>'330'!OSRRefD21_8_1x</vt:lpstr>
      <vt:lpstr>'332'!OSRRefD21_8_1x</vt:lpstr>
      <vt:lpstr>'405'!OSRRefD21_8_1x</vt:lpstr>
      <vt:lpstr>'411'!OSRRefD21_8_1x</vt:lpstr>
      <vt:lpstr>'418'!OSRRefD21_8_1x</vt:lpstr>
      <vt:lpstr>'491'!OSRRefD21_8_1x</vt:lpstr>
      <vt:lpstr>'Div 6'!OSRRefD21_8_1x</vt:lpstr>
      <vt:lpstr>'203'!OSRRefD21_8_2x</vt:lpstr>
      <vt:lpstr>'307'!OSRRefD21_8_2x</vt:lpstr>
      <vt:lpstr>'308'!OSRRefD21_8_2x</vt:lpstr>
      <vt:lpstr>'311'!OSRRefD21_8_2x</vt:lpstr>
      <vt:lpstr>'316'!OSRRefD21_8_2x</vt:lpstr>
      <vt:lpstr>'330'!OSRRefD21_8_2x</vt:lpstr>
      <vt:lpstr>'332'!OSRRefD21_8_2x</vt:lpstr>
      <vt:lpstr>'316'!OSRRefD21_8_3x</vt:lpstr>
      <vt:lpstr>'332'!OSRRefD21_8_3x</vt:lpstr>
      <vt:lpstr>'201'!OSRRefD21_8x_0</vt:lpstr>
      <vt:lpstr>'202'!OSRRefD21_8x_0</vt:lpstr>
      <vt:lpstr>'203'!OSRRefD21_8x_0</vt:lpstr>
      <vt:lpstr>'204'!OSRRefD21_8x_0</vt:lpstr>
      <vt:lpstr>'300'!OSRRefD21_8x_0</vt:lpstr>
      <vt:lpstr>'300 &amp; 317'!OSRRefD21_8x_0</vt:lpstr>
      <vt:lpstr>'301'!OSRRefD21_8x_0</vt:lpstr>
      <vt:lpstr>'307'!OSRRefD21_8x_0</vt:lpstr>
      <vt:lpstr>'308'!OSRRefD21_8x_0</vt:lpstr>
      <vt:lpstr>'310'!OSRRefD21_8x_0</vt:lpstr>
      <vt:lpstr>'310 &amp; 491'!OSRRefD21_8x_0</vt:lpstr>
      <vt:lpstr>'311'!OSRRefD21_8x_0</vt:lpstr>
      <vt:lpstr>'315'!OSRRefD21_8x_0</vt:lpstr>
      <vt:lpstr>'316'!OSRRefD21_8x_0</vt:lpstr>
      <vt:lpstr>'317'!OSRRefD21_8x_0</vt:lpstr>
      <vt:lpstr>'321'!OSRRefD21_8x_0</vt:lpstr>
      <vt:lpstr>'325'!OSRRefD21_8x_0</vt:lpstr>
      <vt:lpstr>'326'!OSRRefD21_8x_0</vt:lpstr>
      <vt:lpstr>'330'!OSRRefD21_8x_0</vt:lpstr>
      <vt:lpstr>'331'!OSRRefD21_8x_0</vt:lpstr>
      <vt:lpstr>'332'!OSRRefD21_8x_0</vt:lpstr>
      <vt:lpstr>'405'!OSRRefD21_8x_0</vt:lpstr>
      <vt:lpstr>'411'!OSRRefD21_8x_0</vt:lpstr>
      <vt:lpstr>'415'!OSRRefD21_8x_0</vt:lpstr>
      <vt:lpstr>'418'!OSRRefD21_8x_0</vt:lpstr>
      <vt:lpstr>'433'!OSRRefD21_8x_0</vt:lpstr>
      <vt:lpstr>'444'!OSRRefD21_8x_0</vt:lpstr>
      <vt:lpstr>'450'!OSRRefD21_8x_0</vt:lpstr>
      <vt:lpstr>'491'!OSRRefD21_8x_0</vt:lpstr>
      <vt:lpstr>'492'!OSRRefD21_8x_0</vt:lpstr>
      <vt:lpstr>'501'!OSRRefD21_8x_0</vt:lpstr>
      <vt:lpstr>'Div 2'!OSRRefD21_8x_0</vt:lpstr>
      <vt:lpstr>'Div 3'!OSRRefD21_8x_0</vt:lpstr>
      <vt:lpstr>'Div 4'!OSRRefD21_8x_0</vt:lpstr>
      <vt:lpstr>'Div 5'!OSRRefD21_8x_0</vt:lpstr>
      <vt:lpstr>'Div 6'!OSRRefD21_8x_0</vt:lpstr>
      <vt:lpstr>Summary!OSRRefD21_8x_0</vt:lpstr>
      <vt:lpstr>'201'!OSRRefD21_9_0x</vt:lpstr>
      <vt:lpstr>'202'!OSRRefD21_9_0x</vt:lpstr>
      <vt:lpstr>'203'!OSRRefD21_9_0x</vt:lpstr>
      <vt:lpstr>'300'!OSRRefD21_9_0x</vt:lpstr>
      <vt:lpstr>'300 &amp; 317'!OSRRefD21_9_0x</vt:lpstr>
      <vt:lpstr>'301'!OSRRefD21_9_0x</vt:lpstr>
      <vt:lpstr>'307'!OSRRefD21_9_0x</vt:lpstr>
      <vt:lpstr>'308'!OSRRefD21_9_0x</vt:lpstr>
      <vt:lpstr>'310'!OSRRefD21_9_0x</vt:lpstr>
      <vt:lpstr>'310 &amp; 491'!OSRRefD21_9_0x</vt:lpstr>
      <vt:lpstr>'311'!OSRRefD21_9_0x</vt:lpstr>
      <vt:lpstr>'315'!OSRRefD21_9_0x</vt:lpstr>
      <vt:lpstr>'316'!OSRRefD21_9_0x</vt:lpstr>
      <vt:lpstr>'317'!OSRRefD21_9_0x</vt:lpstr>
      <vt:lpstr>'321'!OSRRefD21_9_0x</vt:lpstr>
      <vt:lpstr>'325'!OSRRefD21_9_0x</vt:lpstr>
      <vt:lpstr>'326'!OSRRefD21_9_0x</vt:lpstr>
      <vt:lpstr>'330'!OSRRefD21_9_0x</vt:lpstr>
      <vt:lpstr>'331'!OSRRefD21_9_0x</vt:lpstr>
      <vt:lpstr>'332'!OSRRefD21_9_0x</vt:lpstr>
      <vt:lpstr>'405'!OSRRefD21_9_0x</vt:lpstr>
      <vt:lpstr>'411'!OSRRefD21_9_0x</vt:lpstr>
      <vt:lpstr>'415'!OSRRefD21_9_0x</vt:lpstr>
      <vt:lpstr>'418'!OSRRefD21_9_0x</vt:lpstr>
      <vt:lpstr>'433'!OSRRefD21_9_0x</vt:lpstr>
      <vt:lpstr>'444'!OSRRefD21_9_0x</vt:lpstr>
      <vt:lpstr>'450'!OSRRefD21_9_0x</vt:lpstr>
      <vt:lpstr>'491'!OSRRefD21_9_0x</vt:lpstr>
      <vt:lpstr>'492'!OSRRefD21_9_0x</vt:lpstr>
      <vt:lpstr>'501'!OSRRefD21_9_0x</vt:lpstr>
      <vt:lpstr>'Div 2'!OSRRefD21_9_0x</vt:lpstr>
      <vt:lpstr>'Div 3'!OSRRefD21_9_0x</vt:lpstr>
      <vt:lpstr>'Div 4'!OSRRefD21_9_0x</vt:lpstr>
      <vt:lpstr>'Div 5'!OSRRefD21_9_0x</vt:lpstr>
      <vt:lpstr>'Div 6'!OSRRefD21_9_0x</vt:lpstr>
      <vt:lpstr>Summary!OSRRefD21_9_0x</vt:lpstr>
      <vt:lpstr>'201'!OSRRefD21_9_1x</vt:lpstr>
      <vt:lpstr>'308'!OSRRefD21_9_1x</vt:lpstr>
      <vt:lpstr>'311'!OSRRefD21_9_1x</vt:lpstr>
      <vt:lpstr>'321'!OSRRefD21_9_1x</vt:lpstr>
      <vt:lpstr>'405'!OSRRefD21_9_1x</vt:lpstr>
      <vt:lpstr>'418'!OSRRefD21_9_1x</vt:lpstr>
      <vt:lpstr>'501'!OSRRefD21_9_1x</vt:lpstr>
      <vt:lpstr>'Div 4'!OSRRefD21_9_1x</vt:lpstr>
      <vt:lpstr>'Div 5'!OSRRefD21_9_1x</vt:lpstr>
      <vt:lpstr>'201'!OSRRefD21_9_2x</vt:lpstr>
      <vt:lpstr>'405'!OSRRefD21_9_2x</vt:lpstr>
      <vt:lpstr>'418'!OSRRefD21_9_2x</vt:lpstr>
      <vt:lpstr>'501'!OSRRefD21_9_2x</vt:lpstr>
      <vt:lpstr>'Div 5'!OSRRefD21_9_2x</vt:lpstr>
      <vt:lpstr>'201'!OSRRefD21_9x_0</vt:lpstr>
      <vt:lpstr>'202'!OSRRefD21_9x_0</vt:lpstr>
      <vt:lpstr>'203'!OSRRefD21_9x_0</vt:lpstr>
      <vt:lpstr>'300'!OSRRefD21_9x_0</vt:lpstr>
      <vt:lpstr>'300 &amp; 317'!OSRRefD21_9x_0</vt:lpstr>
      <vt:lpstr>'301'!OSRRefD21_9x_0</vt:lpstr>
      <vt:lpstr>'307'!OSRRefD21_9x_0</vt:lpstr>
      <vt:lpstr>'308'!OSRRefD21_9x_0</vt:lpstr>
      <vt:lpstr>'310'!OSRRefD21_9x_0</vt:lpstr>
      <vt:lpstr>'310 &amp; 491'!OSRRefD21_9x_0</vt:lpstr>
      <vt:lpstr>'311'!OSRRefD21_9x_0</vt:lpstr>
      <vt:lpstr>'315'!OSRRefD21_9x_0</vt:lpstr>
      <vt:lpstr>'316'!OSRRefD21_9x_0</vt:lpstr>
      <vt:lpstr>'317'!OSRRefD21_9x_0</vt:lpstr>
      <vt:lpstr>'321'!OSRRefD21_9x_0</vt:lpstr>
      <vt:lpstr>'325'!OSRRefD21_9x_0</vt:lpstr>
      <vt:lpstr>'326'!OSRRefD21_9x_0</vt:lpstr>
      <vt:lpstr>'330'!OSRRefD21_9x_0</vt:lpstr>
      <vt:lpstr>'331'!OSRRefD21_9x_0</vt:lpstr>
      <vt:lpstr>'332'!OSRRefD21_9x_0</vt:lpstr>
      <vt:lpstr>'405'!OSRRefD21_9x_0</vt:lpstr>
      <vt:lpstr>'411'!OSRRefD21_9x_0</vt:lpstr>
      <vt:lpstr>'415'!OSRRefD21_9x_0</vt:lpstr>
      <vt:lpstr>'418'!OSRRefD21_9x_0</vt:lpstr>
      <vt:lpstr>'433'!OSRRefD21_9x_0</vt:lpstr>
      <vt:lpstr>'444'!OSRRefD21_9x_0</vt:lpstr>
      <vt:lpstr>'450'!OSRRefD21_9x_0</vt:lpstr>
      <vt:lpstr>'491'!OSRRefD21_9x_0</vt:lpstr>
      <vt:lpstr>'492'!OSRRefD21_9x_0</vt:lpstr>
      <vt:lpstr>'501'!OSRRefD21_9x_0</vt:lpstr>
      <vt:lpstr>'Div 2'!OSRRefD21_9x_0</vt:lpstr>
      <vt:lpstr>'Div 3'!OSRRefD21_9x_0</vt:lpstr>
      <vt:lpstr>'Div 4'!OSRRefD21_9x_0</vt:lpstr>
      <vt:lpstr>'Div 5'!OSRRefD21_9x_0</vt:lpstr>
      <vt:lpstr>'Div 6'!OSRRefD21_9x_0</vt:lpstr>
      <vt:lpstr>Summary!OSRRefD21_9x_0</vt:lpstr>
      <vt:lpstr>'100'!OSRRefD23_0x</vt:lpstr>
      <vt:lpstr>'200'!OSRRefD23_0x</vt:lpstr>
      <vt:lpstr>'201'!OSRRefD23_0x</vt:lpstr>
      <vt:lpstr>'202'!OSRRefD23_0x</vt:lpstr>
      <vt:lpstr>'203'!OSRRefD23_0x</vt:lpstr>
      <vt:lpstr>'204'!OSRRefD23_0x</vt:lpstr>
      <vt:lpstr>'205'!OSRRefD23_0x</vt:lpstr>
      <vt:lpstr>'206'!OSRRefD23_0x</vt:lpstr>
      <vt:lpstr>'300'!OSRRefD23_0x</vt:lpstr>
      <vt:lpstr>'300 &amp; 317'!OSRRefD23_0x</vt:lpstr>
      <vt:lpstr>'301'!OSRRefD23_0x</vt:lpstr>
      <vt:lpstr>'307'!OSRRefD23_0x</vt:lpstr>
      <vt:lpstr>'308'!OSRRefD23_0x</vt:lpstr>
      <vt:lpstr>'309'!OSRRefD23_0x</vt:lpstr>
      <vt:lpstr>'310'!OSRRefD23_0x</vt:lpstr>
      <vt:lpstr>'310 &amp; 491'!OSRRefD23_0x</vt:lpstr>
      <vt:lpstr>'311'!OSRRefD23_0x</vt:lpstr>
      <vt:lpstr>'313'!OSRRefD23_0x</vt:lpstr>
      <vt:lpstr>'315'!OSRRefD23_0x</vt:lpstr>
      <vt:lpstr>'316'!OSRRefD23_0x</vt:lpstr>
      <vt:lpstr>'317'!OSRRefD23_0x</vt:lpstr>
      <vt:lpstr>'321'!OSRRefD23_0x</vt:lpstr>
      <vt:lpstr>'324'!OSRRefD23_0x</vt:lpstr>
      <vt:lpstr>'325'!OSRRefD23_0x</vt:lpstr>
      <vt:lpstr>'326'!OSRRefD23_0x</vt:lpstr>
      <vt:lpstr>'327'!OSRRefD23_0x</vt:lpstr>
      <vt:lpstr>'330'!OSRRefD23_0x</vt:lpstr>
      <vt:lpstr>'331'!OSRRefD23_0x</vt:lpstr>
      <vt:lpstr>'332'!OSRRefD23_0x</vt:lpstr>
      <vt:lpstr>'405'!OSRRefD23_0x</vt:lpstr>
      <vt:lpstr>'411'!OSRRefD23_0x</vt:lpstr>
      <vt:lpstr>'412'!OSRRefD23_0x</vt:lpstr>
      <vt:lpstr>'413'!OSRRefD23_0x</vt:lpstr>
      <vt:lpstr>'415'!OSRRefD23_0x</vt:lpstr>
      <vt:lpstr>'418'!OSRRefD23_0x</vt:lpstr>
      <vt:lpstr>'423'!OSRRefD23_0x</vt:lpstr>
      <vt:lpstr>'424'!OSRRefD23_0x</vt:lpstr>
      <vt:lpstr>'425'!OSRRefD23_0x</vt:lpstr>
      <vt:lpstr>'430'!OSRRefD23_0x</vt:lpstr>
      <vt:lpstr>'433'!OSRRefD23_0x</vt:lpstr>
      <vt:lpstr>'444'!OSRRefD23_0x</vt:lpstr>
      <vt:lpstr>'450'!OSRRefD23_0x</vt:lpstr>
      <vt:lpstr>'455'!OSRRefD23_0x</vt:lpstr>
      <vt:lpstr>'491'!OSRRefD23_0x</vt:lpstr>
      <vt:lpstr>'492'!OSRRefD23_0x</vt:lpstr>
      <vt:lpstr>'501'!OSRRefD23_0x</vt:lpstr>
      <vt:lpstr>'Div 1'!OSRRefD23_0x</vt:lpstr>
      <vt:lpstr>'Div 2'!OSRRefD23_0x</vt:lpstr>
      <vt:lpstr>'Div 3'!OSRRefD23_0x</vt:lpstr>
      <vt:lpstr>'Div 4'!OSRRefD23_0x</vt:lpstr>
      <vt:lpstr>'Div 5'!OSRRefD23_0x</vt:lpstr>
      <vt:lpstr>'Div 6'!OSRRefD23_0x</vt:lpstr>
      <vt:lpstr>Summary!OSRRefD23_0x</vt:lpstr>
      <vt:lpstr>'100'!OSRRefD28_0x</vt:lpstr>
      <vt:lpstr>'200'!OSRRefD28_0x</vt:lpstr>
      <vt:lpstr>'201'!OSRRefD28_0x</vt:lpstr>
      <vt:lpstr>'202'!OSRRefD28_0x</vt:lpstr>
      <vt:lpstr>'203'!OSRRefD28_0x</vt:lpstr>
      <vt:lpstr>'204'!OSRRefD28_0x</vt:lpstr>
      <vt:lpstr>'205'!OSRRefD28_0x</vt:lpstr>
      <vt:lpstr>'206'!OSRRefD28_0x</vt:lpstr>
      <vt:lpstr>'300'!OSRRefD28_0x</vt:lpstr>
      <vt:lpstr>'300 &amp; 317'!OSRRefD28_0x</vt:lpstr>
      <vt:lpstr>'301'!OSRRefD28_0x</vt:lpstr>
      <vt:lpstr>'307'!OSRRefD28_0x</vt:lpstr>
      <vt:lpstr>'308'!OSRRefD28_0x</vt:lpstr>
      <vt:lpstr>'309'!OSRRefD28_0x</vt:lpstr>
      <vt:lpstr>'310'!OSRRefD28_0x</vt:lpstr>
      <vt:lpstr>'310 &amp; 491'!OSRRefD28_0x</vt:lpstr>
      <vt:lpstr>'311'!OSRRefD28_0x</vt:lpstr>
      <vt:lpstr>'313'!OSRRefD28_0x</vt:lpstr>
      <vt:lpstr>'315'!OSRRefD28_0x</vt:lpstr>
      <vt:lpstr>'316'!OSRRefD28_0x</vt:lpstr>
      <vt:lpstr>'317'!OSRRefD28_0x</vt:lpstr>
      <vt:lpstr>'321'!OSRRefD28_0x</vt:lpstr>
      <vt:lpstr>'324'!OSRRefD28_0x</vt:lpstr>
      <vt:lpstr>'325'!OSRRefD28_0x</vt:lpstr>
      <vt:lpstr>'326'!OSRRefD28_0x</vt:lpstr>
      <vt:lpstr>'327'!OSRRefD28_0x</vt:lpstr>
      <vt:lpstr>'330'!OSRRefD28_0x</vt:lpstr>
      <vt:lpstr>'331'!OSRRefD28_0x</vt:lpstr>
      <vt:lpstr>'332'!OSRRefD28_0x</vt:lpstr>
      <vt:lpstr>'405'!OSRRefD28_0x</vt:lpstr>
      <vt:lpstr>'411'!OSRRefD28_0x</vt:lpstr>
      <vt:lpstr>'412'!OSRRefD28_0x</vt:lpstr>
      <vt:lpstr>'413'!OSRRefD28_0x</vt:lpstr>
      <vt:lpstr>'415'!OSRRefD28_0x</vt:lpstr>
      <vt:lpstr>'418'!OSRRefD28_0x</vt:lpstr>
      <vt:lpstr>'423'!OSRRefD28_0x</vt:lpstr>
      <vt:lpstr>'424'!OSRRefD28_0x</vt:lpstr>
      <vt:lpstr>'425'!OSRRefD28_0x</vt:lpstr>
      <vt:lpstr>'430'!OSRRefD28_0x</vt:lpstr>
      <vt:lpstr>'433'!OSRRefD28_0x</vt:lpstr>
      <vt:lpstr>'444'!OSRRefD28_0x</vt:lpstr>
      <vt:lpstr>'450'!OSRRefD28_0x</vt:lpstr>
      <vt:lpstr>'455'!OSRRefD28_0x</vt:lpstr>
      <vt:lpstr>'491'!OSRRefD28_0x</vt:lpstr>
      <vt:lpstr>'492'!OSRRefD28_0x</vt:lpstr>
      <vt:lpstr>'501'!OSRRefD28_0x</vt:lpstr>
      <vt:lpstr>'Div 3'!OSRRefD28_0x</vt:lpstr>
      <vt:lpstr>'Div 4'!OSRRefD28_0x</vt:lpstr>
      <vt:lpstr>'Div 5'!OSRRefD28_0x</vt:lpstr>
      <vt:lpstr>'Div 6'!OSRRefD28_0x</vt:lpstr>
      <vt:lpstr>Summary!OSRRefD28_0x</vt:lpstr>
      <vt:lpstr>'100'!OSRRefD33_0x</vt:lpstr>
      <vt:lpstr>'Div 1'!OSRRefD33_0x</vt:lpstr>
      <vt:lpstr>Summary!OSRRefD33_0x</vt:lpstr>
      <vt:lpstr>'100'!OSRRefD34_0x</vt:lpstr>
      <vt:lpstr>'Div 1'!OSRRefD34_0x</vt:lpstr>
      <vt:lpstr>Summary!OSRRefD34_0x</vt:lpstr>
      <vt:lpstr>'300'!OSRRefE11_0x</vt:lpstr>
      <vt:lpstr>'300 &amp; 317'!OSRRefE11_0x</vt:lpstr>
      <vt:lpstr>'307'!OSRRefE11_0x</vt:lpstr>
      <vt:lpstr>'308'!OSRRefE11_0x</vt:lpstr>
      <vt:lpstr>'310'!OSRRefE11_0x</vt:lpstr>
      <vt:lpstr>'310 &amp; 491'!OSRRefE11_0x</vt:lpstr>
      <vt:lpstr>'311'!OSRRefE11_0x</vt:lpstr>
      <vt:lpstr>'315'!OSRRefE11_0x</vt:lpstr>
      <vt:lpstr>'316'!OSRRefE11_0x</vt:lpstr>
      <vt:lpstr>'317'!OSRRefE11_0x</vt:lpstr>
      <vt:lpstr>'321'!OSRRefE11_0x</vt:lpstr>
      <vt:lpstr>'324'!OSRRefE11_0x</vt:lpstr>
      <vt:lpstr>'325'!OSRRefE11_0x</vt:lpstr>
      <vt:lpstr>'326'!OSRRefE11_0x</vt:lpstr>
      <vt:lpstr>'327'!OSRRefE11_0x</vt:lpstr>
      <vt:lpstr>'330'!OSRRefE11_0x</vt:lpstr>
      <vt:lpstr>'331'!OSRRefE11_0x</vt:lpstr>
      <vt:lpstr>'332'!OSRRefE11_0x</vt:lpstr>
      <vt:lpstr>'405'!OSRRefE11_0x</vt:lpstr>
      <vt:lpstr>'415'!OSRRefE11_0x</vt:lpstr>
      <vt:lpstr>'418'!OSRRefE11_0x</vt:lpstr>
      <vt:lpstr>'433'!OSRRefE11_0x</vt:lpstr>
      <vt:lpstr>'444'!OSRRefE11_0x</vt:lpstr>
      <vt:lpstr>'450'!OSRRefE11_0x</vt:lpstr>
      <vt:lpstr>'491'!OSRRefE11_0x</vt:lpstr>
      <vt:lpstr>'492'!OSRRefE11_0x</vt:lpstr>
      <vt:lpstr>'501'!OSRRefE11_0x</vt:lpstr>
      <vt:lpstr>'Div 3'!OSRRefE11_0x</vt:lpstr>
      <vt:lpstr>'Div 4'!OSRRefE11_0x</vt:lpstr>
      <vt:lpstr>'Div 5'!OSRRefE11_0x</vt:lpstr>
      <vt:lpstr>'Div 6'!OSRRefE11_0x</vt:lpstr>
      <vt:lpstr>Summary!OSRRefE11_0x</vt:lpstr>
      <vt:lpstr>'300'!OSRRefE11_1x</vt:lpstr>
      <vt:lpstr>'300 &amp; 317'!OSRRefE11_1x</vt:lpstr>
      <vt:lpstr>'307'!OSRRefE11_1x</vt:lpstr>
      <vt:lpstr>'308'!OSRRefE11_1x</vt:lpstr>
      <vt:lpstr>'310'!OSRRefE11_1x</vt:lpstr>
      <vt:lpstr>'310 &amp; 491'!OSRRefE11_1x</vt:lpstr>
      <vt:lpstr>'311'!OSRRefE11_1x</vt:lpstr>
      <vt:lpstr>'315'!OSRRefE11_1x</vt:lpstr>
      <vt:lpstr>'316'!OSRRefE11_1x</vt:lpstr>
      <vt:lpstr>'317'!OSRRefE11_1x</vt:lpstr>
      <vt:lpstr>'321'!OSRRefE11_1x</vt:lpstr>
      <vt:lpstr>'324'!OSRRefE11_1x</vt:lpstr>
      <vt:lpstr>'325'!OSRRefE11_1x</vt:lpstr>
      <vt:lpstr>'326'!OSRRefE11_1x</vt:lpstr>
      <vt:lpstr>'330'!OSRRefE11_1x</vt:lpstr>
      <vt:lpstr>'331'!OSRRefE11_1x</vt:lpstr>
      <vt:lpstr>'332'!OSRRefE11_1x</vt:lpstr>
      <vt:lpstr>'405'!OSRRefE11_1x</vt:lpstr>
      <vt:lpstr>'415'!OSRRefE11_1x</vt:lpstr>
      <vt:lpstr>'418'!OSRRefE11_1x</vt:lpstr>
      <vt:lpstr>'444'!OSRRefE11_1x</vt:lpstr>
      <vt:lpstr>'491'!OSRRefE11_1x</vt:lpstr>
      <vt:lpstr>'492'!OSRRefE11_1x</vt:lpstr>
      <vt:lpstr>'Div 3'!OSRRefE11_1x</vt:lpstr>
      <vt:lpstr>'Div 4'!OSRRefE11_1x</vt:lpstr>
      <vt:lpstr>'Div 6'!OSRRefE11_1x</vt:lpstr>
      <vt:lpstr>Summary!OSRRefE11_1x</vt:lpstr>
      <vt:lpstr>'300'!OSRRefE11_2x</vt:lpstr>
      <vt:lpstr>'300 &amp; 317'!OSRRefE11_2x</vt:lpstr>
      <vt:lpstr>'308'!OSRRefE11_2x</vt:lpstr>
      <vt:lpstr>'310 &amp; 491'!OSRRefE11_2x</vt:lpstr>
      <vt:lpstr>'311'!OSRRefE11_2x</vt:lpstr>
      <vt:lpstr>'315'!OSRRefE11_2x</vt:lpstr>
      <vt:lpstr>'316'!OSRRefE11_2x</vt:lpstr>
      <vt:lpstr>'317'!OSRRefE11_2x</vt:lpstr>
      <vt:lpstr>'326'!OSRRefE11_2x</vt:lpstr>
      <vt:lpstr>'331'!OSRRefE11_2x</vt:lpstr>
      <vt:lpstr>'332'!OSRRefE11_2x</vt:lpstr>
      <vt:lpstr>'415'!OSRRefE11_2x</vt:lpstr>
      <vt:lpstr>'444'!OSRRefE11_2x</vt:lpstr>
      <vt:lpstr>'491'!OSRRefE11_2x</vt:lpstr>
      <vt:lpstr>'492'!OSRRefE11_2x</vt:lpstr>
      <vt:lpstr>'Div 3'!OSRRefE11_2x</vt:lpstr>
      <vt:lpstr>'Div 4'!OSRRefE11_2x</vt:lpstr>
      <vt:lpstr>'Div 6'!OSRRefE11_2x</vt:lpstr>
      <vt:lpstr>Summary!OSRRefE11_2x</vt:lpstr>
      <vt:lpstr>'300'!OSRRefE11_3x</vt:lpstr>
      <vt:lpstr>'300 &amp; 317'!OSRRefE11_3x</vt:lpstr>
      <vt:lpstr>'308'!OSRRefE11_3x</vt:lpstr>
      <vt:lpstr>'310 &amp; 491'!OSRRefE11_3x</vt:lpstr>
      <vt:lpstr>'311'!OSRRefE11_3x</vt:lpstr>
      <vt:lpstr>'315'!OSRRefE11_3x</vt:lpstr>
      <vt:lpstr>'317'!OSRRefE11_3x</vt:lpstr>
      <vt:lpstr>'331'!OSRRefE11_3x</vt:lpstr>
      <vt:lpstr>'415'!OSRRefE11_3x</vt:lpstr>
      <vt:lpstr>'444'!OSRRefE11_3x</vt:lpstr>
      <vt:lpstr>'491'!OSRRefE11_3x</vt:lpstr>
      <vt:lpstr>'492'!OSRRefE11_3x</vt:lpstr>
      <vt:lpstr>'Div 3'!OSRRefE11_3x</vt:lpstr>
      <vt:lpstr>'Div 4'!OSRRefE11_3x</vt:lpstr>
      <vt:lpstr>'Div 6'!OSRRefE11_3x</vt:lpstr>
      <vt:lpstr>Summary!OSRRefE11_3x</vt:lpstr>
      <vt:lpstr>'300'!OSRRefE11_4x</vt:lpstr>
      <vt:lpstr>'300 &amp; 317'!OSRRefE11_4x</vt:lpstr>
      <vt:lpstr>'Div 3'!OSRRefE11_4x</vt:lpstr>
      <vt:lpstr>'Div 4'!OSRRefE11_4x</vt:lpstr>
      <vt:lpstr>Summary!OSRRefE11_4x</vt:lpstr>
      <vt:lpstr>'Div 4'!OSRRefE11_5x</vt:lpstr>
      <vt:lpstr>Summary!OSRRefE11_5x</vt:lpstr>
      <vt:lpstr>Summary!OSRRefE11_6x</vt:lpstr>
      <vt:lpstr>Summary!OSRRefE11_7x</vt:lpstr>
      <vt:lpstr>Summary!OSRRefE11_8x</vt:lpstr>
      <vt:lpstr>'300'!OSRRefE11x_0</vt:lpstr>
      <vt:lpstr>'300 &amp; 317'!OSRRefE11x_0</vt:lpstr>
      <vt:lpstr>'307'!OSRRefE11x_0</vt:lpstr>
      <vt:lpstr>'308'!OSRRefE11x_0</vt:lpstr>
      <vt:lpstr>'310'!OSRRefE11x_0</vt:lpstr>
      <vt:lpstr>'310 &amp; 491'!OSRRefE11x_0</vt:lpstr>
      <vt:lpstr>'311'!OSRRefE11x_0</vt:lpstr>
      <vt:lpstr>'315'!OSRRefE11x_0</vt:lpstr>
      <vt:lpstr>'316'!OSRRefE11x_0</vt:lpstr>
      <vt:lpstr>'317'!OSRRefE11x_0</vt:lpstr>
      <vt:lpstr>'321'!OSRRefE11x_0</vt:lpstr>
      <vt:lpstr>'324'!OSRRefE11x_0</vt:lpstr>
      <vt:lpstr>'325'!OSRRefE11x_0</vt:lpstr>
      <vt:lpstr>'326'!OSRRefE11x_0</vt:lpstr>
      <vt:lpstr>'327'!OSRRefE11x_0</vt:lpstr>
      <vt:lpstr>'330'!OSRRefE11x_0</vt:lpstr>
      <vt:lpstr>'331'!OSRRefE11x_0</vt:lpstr>
      <vt:lpstr>'332'!OSRRefE11x_0</vt:lpstr>
      <vt:lpstr>'405'!OSRRefE11x_0</vt:lpstr>
      <vt:lpstr>'415'!OSRRefE11x_0</vt:lpstr>
      <vt:lpstr>'418'!OSRRefE11x_0</vt:lpstr>
      <vt:lpstr>'433'!OSRRefE11x_0</vt:lpstr>
      <vt:lpstr>'444'!OSRRefE11x_0</vt:lpstr>
      <vt:lpstr>'450'!OSRRefE11x_0</vt:lpstr>
      <vt:lpstr>'491'!OSRRefE11x_0</vt:lpstr>
      <vt:lpstr>'492'!OSRRefE11x_0</vt:lpstr>
      <vt:lpstr>'501'!OSRRefE11x_0</vt:lpstr>
      <vt:lpstr>'Div 3'!OSRRefE11x_0</vt:lpstr>
      <vt:lpstr>'Div 4'!OSRRefE11x_0</vt:lpstr>
      <vt:lpstr>'Div 5'!OSRRefE11x_0</vt:lpstr>
      <vt:lpstr>'Div 6'!OSRRefE11x_0</vt:lpstr>
      <vt:lpstr>Summary!OSRRefE11x_0</vt:lpstr>
      <vt:lpstr>'300'!OSRRefE11x_1</vt:lpstr>
      <vt:lpstr>'300 &amp; 317'!OSRRefE11x_1</vt:lpstr>
      <vt:lpstr>'307'!OSRRefE11x_1</vt:lpstr>
      <vt:lpstr>'308'!OSRRefE11x_1</vt:lpstr>
      <vt:lpstr>'310'!OSRRefE11x_1</vt:lpstr>
      <vt:lpstr>'310 &amp; 491'!OSRRefE11x_1</vt:lpstr>
      <vt:lpstr>'311'!OSRRefE11x_1</vt:lpstr>
      <vt:lpstr>'315'!OSRRefE11x_1</vt:lpstr>
      <vt:lpstr>'316'!OSRRefE11x_1</vt:lpstr>
      <vt:lpstr>'317'!OSRRefE11x_1</vt:lpstr>
      <vt:lpstr>'321'!OSRRefE11x_1</vt:lpstr>
      <vt:lpstr>'324'!OSRRefE11x_1</vt:lpstr>
      <vt:lpstr>'325'!OSRRefE11x_1</vt:lpstr>
      <vt:lpstr>'326'!OSRRefE11x_1</vt:lpstr>
      <vt:lpstr>'327'!OSRRefE11x_1</vt:lpstr>
      <vt:lpstr>'330'!OSRRefE11x_1</vt:lpstr>
      <vt:lpstr>'331'!OSRRefE11x_1</vt:lpstr>
      <vt:lpstr>'332'!OSRRefE11x_1</vt:lpstr>
      <vt:lpstr>'405'!OSRRefE11x_1</vt:lpstr>
      <vt:lpstr>'415'!OSRRefE11x_1</vt:lpstr>
      <vt:lpstr>'418'!OSRRefE11x_1</vt:lpstr>
      <vt:lpstr>'433'!OSRRefE11x_1</vt:lpstr>
      <vt:lpstr>'444'!OSRRefE11x_1</vt:lpstr>
      <vt:lpstr>'450'!OSRRefE11x_1</vt:lpstr>
      <vt:lpstr>'491'!OSRRefE11x_1</vt:lpstr>
      <vt:lpstr>'492'!OSRRefE11x_1</vt:lpstr>
      <vt:lpstr>'501'!OSRRefE11x_1</vt:lpstr>
      <vt:lpstr>'Div 3'!OSRRefE11x_1</vt:lpstr>
      <vt:lpstr>'Div 4'!OSRRefE11x_1</vt:lpstr>
      <vt:lpstr>'Div 5'!OSRRefE11x_1</vt:lpstr>
      <vt:lpstr>'Div 6'!OSRRefE11x_1</vt:lpstr>
      <vt:lpstr>Summary!OSRRefE11x_1</vt:lpstr>
      <vt:lpstr>'300'!OSRRefE11x_10</vt:lpstr>
      <vt:lpstr>'300 &amp; 317'!OSRRefE11x_10</vt:lpstr>
      <vt:lpstr>'307'!OSRRefE11x_10</vt:lpstr>
      <vt:lpstr>'308'!OSRRefE11x_10</vt:lpstr>
      <vt:lpstr>'310'!OSRRefE11x_10</vt:lpstr>
      <vt:lpstr>'310 &amp; 491'!OSRRefE11x_10</vt:lpstr>
      <vt:lpstr>'311'!OSRRefE11x_10</vt:lpstr>
      <vt:lpstr>'315'!OSRRefE11x_10</vt:lpstr>
      <vt:lpstr>'316'!OSRRefE11x_10</vt:lpstr>
      <vt:lpstr>'317'!OSRRefE11x_10</vt:lpstr>
      <vt:lpstr>'321'!OSRRefE11x_10</vt:lpstr>
      <vt:lpstr>'324'!OSRRefE11x_10</vt:lpstr>
      <vt:lpstr>'325'!OSRRefE11x_10</vt:lpstr>
      <vt:lpstr>'326'!OSRRefE11x_10</vt:lpstr>
      <vt:lpstr>'327'!OSRRefE11x_10</vt:lpstr>
      <vt:lpstr>'330'!OSRRefE11x_10</vt:lpstr>
      <vt:lpstr>'331'!OSRRefE11x_10</vt:lpstr>
      <vt:lpstr>'332'!OSRRefE11x_10</vt:lpstr>
      <vt:lpstr>'405'!OSRRefE11x_10</vt:lpstr>
      <vt:lpstr>'415'!OSRRefE11x_10</vt:lpstr>
      <vt:lpstr>'418'!OSRRefE11x_10</vt:lpstr>
      <vt:lpstr>'433'!OSRRefE11x_10</vt:lpstr>
      <vt:lpstr>'444'!OSRRefE11x_10</vt:lpstr>
      <vt:lpstr>'450'!OSRRefE11x_10</vt:lpstr>
      <vt:lpstr>'491'!OSRRefE11x_10</vt:lpstr>
      <vt:lpstr>'492'!OSRRefE11x_10</vt:lpstr>
      <vt:lpstr>'501'!OSRRefE11x_10</vt:lpstr>
      <vt:lpstr>'Div 3'!OSRRefE11x_10</vt:lpstr>
      <vt:lpstr>'Div 4'!OSRRefE11x_10</vt:lpstr>
      <vt:lpstr>'Div 5'!OSRRefE11x_10</vt:lpstr>
      <vt:lpstr>'Div 6'!OSRRefE11x_10</vt:lpstr>
      <vt:lpstr>Summary!OSRRefE11x_10</vt:lpstr>
      <vt:lpstr>'300'!OSRRefE11x_2</vt:lpstr>
      <vt:lpstr>'300 &amp; 317'!OSRRefE11x_2</vt:lpstr>
      <vt:lpstr>'307'!OSRRefE11x_2</vt:lpstr>
      <vt:lpstr>'308'!OSRRefE11x_2</vt:lpstr>
      <vt:lpstr>'310'!OSRRefE11x_2</vt:lpstr>
      <vt:lpstr>'310 &amp; 491'!OSRRefE11x_2</vt:lpstr>
      <vt:lpstr>'311'!OSRRefE11x_2</vt:lpstr>
      <vt:lpstr>'315'!OSRRefE11x_2</vt:lpstr>
      <vt:lpstr>'316'!OSRRefE11x_2</vt:lpstr>
      <vt:lpstr>'317'!OSRRefE11x_2</vt:lpstr>
      <vt:lpstr>'321'!OSRRefE11x_2</vt:lpstr>
      <vt:lpstr>'324'!OSRRefE11x_2</vt:lpstr>
      <vt:lpstr>'325'!OSRRefE11x_2</vt:lpstr>
      <vt:lpstr>'326'!OSRRefE11x_2</vt:lpstr>
      <vt:lpstr>'327'!OSRRefE11x_2</vt:lpstr>
      <vt:lpstr>'330'!OSRRefE11x_2</vt:lpstr>
      <vt:lpstr>'331'!OSRRefE11x_2</vt:lpstr>
      <vt:lpstr>'332'!OSRRefE11x_2</vt:lpstr>
      <vt:lpstr>'405'!OSRRefE11x_2</vt:lpstr>
      <vt:lpstr>'415'!OSRRefE11x_2</vt:lpstr>
      <vt:lpstr>'418'!OSRRefE11x_2</vt:lpstr>
      <vt:lpstr>'433'!OSRRefE11x_2</vt:lpstr>
      <vt:lpstr>'444'!OSRRefE11x_2</vt:lpstr>
      <vt:lpstr>'450'!OSRRefE11x_2</vt:lpstr>
      <vt:lpstr>'491'!OSRRefE11x_2</vt:lpstr>
      <vt:lpstr>'492'!OSRRefE11x_2</vt:lpstr>
      <vt:lpstr>'501'!OSRRefE11x_2</vt:lpstr>
      <vt:lpstr>'Div 3'!OSRRefE11x_2</vt:lpstr>
      <vt:lpstr>'Div 4'!OSRRefE11x_2</vt:lpstr>
      <vt:lpstr>'Div 5'!OSRRefE11x_2</vt:lpstr>
      <vt:lpstr>'Div 6'!OSRRefE11x_2</vt:lpstr>
      <vt:lpstr>Summary!OSRRefE11x_2</vt:lpstr>
      <vt:lpstr>'300'!OSRRefE11x_3</vt:lpstr>
      <vt:lpstr>'300 &amp; 317'!OSRRefE11x_3</vt:lpstr>
      <vt:lpstr>'307'!OSRRefE11x_3</vt:lpstr>
      <vt:lpstr>'308'!OSRRefE11x_3</vt:lpstr>
      <vt:lpstr>'310'!OSRRefE11x_3</vt:lpstr>
      <vt:lpstr>'310 &amp; 491'!OSRRefE11x_3</vt:lpstr>
      <vt:lpstr>'311'!OSRRefE11x_3</vt:lpstr>
      <vt:lpstr>'315'!OSRRefE11x_3</vt:lpstr>
      <vt:lpstr>'316'!OSRRefE11x_3</vt:lpstr>
      <vt:lpstr>'317'!OSRRefE11x_3</vt:lpstr>
      <vt:lpstr>'321'!OSRRefE11x_3</vt:lpstr>
      <vt:lpstr>'324'!OSRRefE11x_3</vt:lpstr>
      <vt:lpstr>'325'!OSRRefE11x_3</vt:lpstr>
      <vt:lpstr>'326'!OSRRefE11x_3</vt:lpstr>
      <vt:lpstr>'327'!OSRRefE11x_3</vt:lpstr>
      <vt:lpstr>'330'!OSRRefE11x_3</vt:lpstr>
      <vt:lpstr>'331'!OSRRefE11x_3</vt:lpstr>
      <vt:lpstr>'332'!OSRRefE11x_3</vt:lpstr>
      <vt:lpstr>'405'!OSRRefE11x_3</vt:lpstr>
      <vt:lpstr>'415'!OSRRefE11x_3</vt:lpstr>
      <vt:lpstr>'418'!OSRRefE11x_3</vt:lpstr>
      <vt:lpstr>'433'!OSRRefE11x_3</vt:lpstr>
      <vt:lpstr>'444'!OSRRefE11x_3</vt:lpstr>
      <vt:lpstr>'450'!OSRRefE11x_3</vt:lpstr>
      <vt:lpstr>'491'!OSRRefE11x_3</vt:lpstr>
      <vt:lpstr>'492'!OSRRefE11x_3</vt:lpstr>
      <vt:lpstr>'501'!OSRRefE11x_3</vt:lpstr>
      <vt:lpstr>'Div 3'!OSRRefE11x_3</vt:lpstr>
      <vt:lpstr>'Div 4'!OSRRefE11x_3</vt:lpstr>
      <vt:lpstr>'Div 5'!OSRRefE11x_3</vt:lpstr>
      <vt:lpstr>'Div 6'!OSRRefE11x_3</vt:lpstr>
      <vt:lpstr>Summary!OSRRefE11x_3</vt:lpstr>
      <vt:lpstr>'300'!OSRRefE11x_4</vt:lpstr>
      <vt:lpstr>'300 &amp; 317'!OSRRefE11x_4</vt:lpstr>
      <vt:lpstr>'307'!OSRRefE11x_4</vt:lpstr>
      <vt:lpstr>'308'!OSRRefE11x_4</vt:lpstr>
      <vt:lpstr>'310'!OSRRefE11x_4</vt:lpstr>
      <vt:lpstr>'310 &amp; 491'!OSRRefE11x_4</vt:lpstr>
      <vt:lpstr>'311'!OSRRefE11x_4</vt:lpstr>
      <vt:lpstr>'315'!OSRRefE11x_4</vt:lpstr>
      <vt:lpstr>'316'!OSRRefE11x_4</vt:lpstr>
      <vt:lpstr>'317'!OSRRefE11x_4</vt:lpstr>
      <vt:lpstr>'321'!OSRRefE11x_4</vt:lpstr>
      <vt:lpstr>'324'!OSRRefE11x_4</vt:lpstr>
      <vt:lpstr>'325'!OSRRefE11x_4</vt:lpstr>
      <vt:lpstr>'326'!OSRRefE11x_4</vt:lpstr>
      <vt:lpstr>'327'!OSRRefE11x_4</vt:lpstr>
      <vt:lpstr>'330'!OSRRefE11x_4</vt:lpstr>
      <vt:lpstr>'331'!OSRRefE11x_4</vt:lpstr>
      <vt:lpstr>'332'!OSRRefE11x_4</vt:lpstr>
      <vt:lpstr>'405'!OSRRefE11x_4</vt:lpstr>
      <vt:lpstr>'415'!OSRRefE11x_4</vt:lpstr>
      <vt:lpstr>'418'!OSRRefE11x_4</vt:lpstr>
      <vt:lpstr>'433'!OSRRefE11x_4</vt:lpstr>
      <vt:lpstr>'444'!OSRRefE11x_4</vt:lpstr>
      <vt:lpstr>'450'!OSRRefE11x_4</vt:lpstr>
      <vt:lpstr>'491'!OSRRefE11x_4</vt:lpstr>
      <vt:lpstr>'492'!OSRRefE11x_4</vt:lpstr>
      <vt:lpstr>'501'!OSRRefE11x_4</vt:lpstr>
      <vt:lpstr>'Div 3'!OSRRefE11x_4</vt:lpstr>
      <vt:lpstr>'Div 4'!OSRRefE11x_4</vt:lpstr>
      <vt:lpstr>'Div 5'!OSRRefE11x_4</vt:lpstr>
      <vt:lpstr>'Div 6'!OSRRefE11x_4</vt:lpstr>
      <vt:lpstr>Summary!OSRRefE11x_4</vt:lpstr>
      <vt:lpstr>'300'!OSRRefE11x_5</vt:lpstr>
      <vt:lpstr>'300 &amp; 317'!OSRRefE11x_5</vt:lpstr>
      <vt:lpstr>'307'!OSRRefE11x_5</vt:lpstr>
      <vt:lpstr>'308'!OSRRefE11x_5</vt:lpstr>
      <vt:lpstr>'310'!OSRRefE11x_5</vt:lpstr>
      <vt:lpstr>'310 &amp; 491'!OSRRefE11x_5</vt:lpstr>
      <vt:lpstr>'311'!OSRRefE11x_5</vt:lpstr>
      <vt:lpstr>'315'!OSRRefE11x_5</vt:lpstr>
      <vt:lpstr>'316'!OSRRefE11x_5</vt:lpstr>
      <vt:lpstr>'317'!OSRRefE11x_5</vt:lpstr>
      <vt:lpstr>'321'!OSRRefE11x_5</vt:lpstr>
      <vt:lpstr>'324'!OSRRefE11x_5</vt:lpstr>
      <vt:lpstr>'325'!OSRRefE11x_5</vt:lpstr>
      <vt:lpstr>'326'!OSRRefE11x_5</vt:lpstr>
      <vt:lpstr>'327'!OSRRefE11x_5</vt:lpstr>
      <vt:lpstr>'330'!OSRRefE11x_5</vt:lpstr>
      <vt:lpstr>'331'!OSRRefE11x_5</vt:lpstr>
      <vt:lpstr>'332'!OSRRefE11x_5</vt:lpstr>
      <vt:lpstr>'405'!OSRRefE11x_5</vt:lpstr>
      <vt:lpstr>'415'!OSRRefE11x_5</vt:lpstr>
      <vt:lpstr>'418'!OSRRefE11x_5</vt:lpstr>
      <vt:lpstr>'433'!OSRRefE11x_5</vt:lpstr>
      <vt:lpstr>'444'!OSRRefE11x_5</vt:lpstr>
      <vt:lpstr>'450'!OSRRefE11x_5</vt:lpstr>
      <vt:lpstr>'491'!OSRRefE11x_5</vt:lpstr>
      <vt:lpstr>'492'!OSRRefE11x_5</vt:lpstr>
      <vt:lpstr>'501'!OSRRefE11x_5</vt:lpstr>
      <vt:lpstr>'Div 3'!OSRRefE11x_5</vt:lpstr>
      <vt:lpstr>'Div 4'!OSRRefE11x_5</vt:lpstr>
      <vt:lpstr>'Div 5'!OSRRefE11x_5</vt:lpstr>
      <vt:lpstr>'Div 6'!OSRRefE11x_5</vt:lpstr>
      <vt:lpstr>Summary!OSRRefE11x_5</vt:lpstr>
      <vt:lpstr>'300'!OSRRefE11x_6</vt:lpstr>
      <vt:lpstr>'300 &amp; 317'!OSRRefE11x_6</vt:lpstr>
      <vt:lpstr>'307'!OSRRefE11x_6</vt:lpstr>
      <vt:lpstr>'308'!OSRRefE11x_6</vt:lpstr>
      <vt:lpstr>'310'!OSRRefE11x_6</vt:lpstr>
      <vt:lpstr>'310 &amp; 491'!OSRRefE11x_6</vt:lpstr>
      <vt:lpstr>'311'!OSRRefE11x_6</vt:lpstr>
      <vt:lpstr>'315'!OSRRefE11x_6</vt:lpstr>
      <vt:lpstr>'316'!OSRRefE11x_6</vt:lpstr>
      <vt:lpstr>'317'!OSRRefE11x_6</vt:lpstr>
      <vt:lpstr>'321'!OSRRefE11x_6</vt:lpstr>
      <vt:lpstr>'324'!OSRRefE11x_6</vt:lpstr>
      <vt:lpstr>'325'!OSRRefE11x_6</vt:lpstr>
      <vt:lpstr>'326'!OSRRefE11x_6</vt:lpstr>
      <vt:lpstr>'327'!OSRRefE11x_6</vt:lpstr>
      <vt:lpstr>'330'!OSRRefE11x_6</vt:lpstr>
      <vt:lpstr>'331'!OSRRefE11x_6</vt:lpstr>
      <vt:lpstr>'332'!OSRRefE11x_6</vt:lpstr>
      <vt:lpstr>'405'!OSRRefE11x_6</vt:lpstr>
      <vt:lpstr>'415'!OSRRefE11x_6</vt:lpstr>
      <vt:lpstr>'418'!OSRRefE11x_6</vt:lpstr>
      <vt:lpstr>'433'!OSRRefE11x_6</vt:lpstr>
      <vt:lpstr>'444'!OSRRefE11x_6</vt:lpstr>
      <vt:lpstr>'450'!OSRRefE11x_6</vt:lpstr>
      <vt:lpstr>'491'!OSRRefE11x_6</vt:lpstr>
      <vt:lpstr>'492'!OSRRefE11x_6</vt:lpstr>
      <vt:lpstr>'501'!OSRRefE11x_6</vt:lpstr>
      <vt:lpstr>'Div 3'!OSRRefE11x_6</vt:lpstr>
      <vt:lpstr>'Div 4'!OSRRefE11x_6</vt:lpstr>
      <vt:lpstr>'Div 5'!OSRRefE11x_6</vt:lpstr>
      <vt:lpstr>'Div 6'!OSRRefE11x_6</vt:lpstr>
      <vt:lpstr>Summary!OSRRefE11x_6</vt:lpstr>
      <vt:lpstr>'300'!OSRRefE11x_7</vt:lpstr>
      <vt:lpstr>'300 &amp; 317'!OSRRefE11x_7</vt:lpstr>
      <vt:lpstr>'307'!OSRRefE11x_7</vt:lpstr>
      <vt:lpstr>'308'!OSRRefE11x_7</vt:lpstr>
      <vt:lpstr>'310'!OSRRefE11x_7</vt:lpstr>
      <vt:lpstr>'310 &amp; 491'!OSRRefE11x_7</vt:lpstr>
      <vt:lpstr>'311'!OSRRefE11x_7</vt:lpstr>
      <vt:lpstr>'315'!OSRRefE11x_7</vt:lpstr>
      <vt:lpstr>'316'!OSRRefE11x_7</vt:lpstr>
      <vt:lpstr>'317'!OSRRefE11x_7</vt:lpstr>
      <vt:lpstr>'321'!OSRRefE11x_7</vt:lpstr>
      <vt:lpstr>'324'!OSRRefE11x_7</vt:lpstr>
      <vt:lpstr>'325'!OSRRefE11x_7</vt:lpstr>
      <vt:lpstr>'326'!OSRRefE11x_7</vt:lpstr>
      <vt:lpstr>'327'!OSRRefE11x_7</vt:lpstr>
      <vt:lpstr>'330'!OSRRefE11x_7</vt:lpstr>
      <vt:lpstr>'331'!OSRRefE11x_7</vt:lpstr>
      <vt:lpstr>'332'!OSRRefE11x_7</vt:lpstr>
      <vt:lpstr>'405'!OSRRefE11x_7</vt:lpstr>
      <vt:lpstr>'415'!OSRRefE11x_7</vt:lpstr>
      <vt:lpstr>'418'!OSRRefE11x_7</vt:lpstr>
      <vt:lpstr>'433'!OSRRefE11x_7</vt:lpstr>
      <vt:lpstr>'444'!OSRRefE11x_7</vt:lpstr>
      <vt:lpstr>'450'!OSRRefE11x_7</vt:lpstr>
      <vt:lpstr>'491'!OSRRefE11x_7</vt:lpstr>
      <vt:lpstr>'492'!OSRRefE11x_7</vt:lpstr>
      <vt:lpstr>'501'!OSRRefE11x_7</vt:lpstr>
      <vt:lpstr>'Div 3'!OSRRefE11x_7</vt:lpstr>
      <vt:lpstr>'Div 4'!OSRRefE11x_7</vt:lpstr>
      <vt:lpstr>'Div 5'!OSRRefE11x_7</vt:lpstr>
      <vt:lpstr>'Div 6'!OSRRefE11x_7</vt:lpstr>
      <vt:lpstr>Summary!OSRRefE11x_7</vt:lpstr>
      <vt:lpstr>'300'!OSRRefE11x_8</vt:lpstr>
      <vt:lpstr>'300 &amp; 317'!OSRRefE11x_8</vt:lpstr>
      <vt:lpstr>'307'!OSRRefE11x_8</vt:lpstr>
      <vt:lpstr>'308'!OSRRefE11x_8</vt:lpstr>
      <vt:lpstr>'310'!OSRRefE11x_8</vt:lpstr>
      <vt:lpstr>'310 &amp; 491'!OSRRefE11x_8</vt:lpstr>
      <vt:lpstr>'311'!OSRRefE11x_8</vt:lpstr>
      <vt:lpstr>'315'!OSRRefE11x_8</vt:lpstr>
      <vt:lpstr>'316'!OSRRefE11x_8</vt:lpstr>
      <vt:lpstr>'317'!OSRRefE11x_8</vt:lpstr>
      <vt:lpstr>'321'!OSRRefE11x_8</vt:lpstr>
      <vt:lpstr>'324'!OSRRefE11x_8</vt:lpstr>
      <vt:lpstr>'325'!OSRRefE11x_8</vt:lpstr>
      <vt:lpstr>'326'!OSRRefE11x_8</vt:lpstr>
      <vt:lpstr>'327'!OSRRefE11x_8</vt:lpstr>
      <vt:lpstr>'330'!OSRRefE11x_8</vt:lpstr>
      <vt:lpstr>'331'!OSRRefE11x_8</vt:lpstr>
      <vt:lpstr>'332'!OSRRefE11x_8</vt:lpstr>
      <vt:lpstr>'405'!OSRRefE11x_8</vt:lpstr>
      <vt:lpstr>'415'!OSRRefE11x_8</vt:lpstr>
      <vt:lpstr>'418'!OSRRefE11x_8</vt:lpstr>
      <vt:lpstr>'433'!OSRRefE11x_8</vt:lpstr>
      <vt:lpstr>'444'!OSRRefE11x_8</vt:lpstr>
      <vt:lpstr>'450'!OSRRefE11x_8</vt:lpstr>
      <vt:lpstr>'491'!OSRRefE11x_8</vt:lpstr>
      <vt:lpstr>'492'!OSRRefE11x_8</vt:lpstr>
      <vt:lpstr>'501'!OSRRefE11x_8</vt:lpstr>
      <vt:lpstr>'Div 3'!OSRRefE11x_8</vt:lpstr>
      <vt:lpstr>'Div 4'!OSRRefE11x_8</vt:lpstr>
      <vt:lpstr>'Div 5'!OSRRefE11x_8</vt:lpstr>
      <vt:lpstr>'Div 6'!OSRRefE11x_8</vt:lpstr>
      <vt:lpstr>Summary!OSRRefE11x_8</vt:lpstr>
      <vt:lpstr>'300'!OSRRefE11x_9</vt:lpstr>
      <vt:lpstr>'300 &amp; 317'!OSRRefE11x_9</vt:lpstr>
      <vt:lpstr>'307'!OSRRefE11x_9</vt:lpstr>
      <vt:lpstr>'308'!OSRRefE11x_9</vt:lpstr>
      <vt:lpstr>'310'!OSRRefE11x_9</vt:lpstr>
      <vt:lpstr>'310 &amp; 491'!OSRRefE11x_9</vt:lpstr>
      <vt:lpstr>'311'!OSRRefE11x_9</vt:lpstr>
      <vt:lpstr>'315'!OSRRefE11x_9</vt:lpstr>
      <vt:lpstr>'316'!OSRRefE11x_9</vt:lpstr>
      <vt:lpstr>'317'!OSRRefE11x_9</vt:lpstr>
      <vt:lpstr>'321'!OSRRefE11x_9</vt:lpstr>
      <vt:lpstr>'324'!OSRRefE11x_9</vt:lpstr>
      <vt:lpstr>'325'!OSRRefE11x_9</vt:lpstr>
      <vt:lpstr>'326'!OSRRefE11x_9</vt:lpstr>
      <vt:lpstr>'327'!OSRRefE11x_9</vt:lpstr>
      <vt:lpstr>'330'!OSRRefE11x_9</vt:lpstr>
      <vt:lpstr>'331'!OSRRefE11x_9</vt:lpstr>
      <vt:lpstr>'332'!OSRRefE11x_9</vt:lpstr>
      <vt:lpstr>'405'!OSRRefE11x_9</vt:lpstr>
      <vt:lpstr>'415'!OSRRefE11x_9</vt:lpstr>
      <vt:lpstr>'418'!OSRRefE11x_9</vt:lpstr>
      <vt:lpstr>'433'!OSRRefE11x_9</vt:lpstr>
      <vt:lpstr>'444'!OSRRefE11x_9</vt:lpstr>
      <vt:lpstr>'450'!OSRRefE11x_9</vt:lpstr>
      <vt:lpstr>'491'!OSRRefE11x_9</vt:lpstr>
      <vt:lpstr>'492'!OSRRefE11x_9</vt:lpstr>
      <vt:lpstr>'501'!OSRRefE11x_9</vt:lpstr>
      <vt:lpstr>'Div 3'!OSRRefE11x_9</vt:lpstr>
      <vt:lpstr>'Div 4'!OSRRefE11x_9</vt:lpstr>
      <vt:lpstr>'Div 5'!OSRRefE11x_9</vt:lpstr>
      <vt:lpstr>'Div 6'!OSRRefE11x_9</vt:lpstr>
      <vt:lpstr>Summary!OSRRefE11x_9</vt:lpstr>
      <vt:lpstr>'300'!OSRRefE14_0x</vt:lpstr>
      <vt:lpstr>'300 &amp; 317'!OSRRefE14_0x</vt:lpstr>
      <vt:lpstr>'307'!OSRRefE14_0x</vt:lpstr>
      <vt:lpstr>'308'!OSRRefE14_0x</vt:lpstr>
      <vt:lpstr>'310'!OSRRefE14_0x</vt:lpstr>
      <vt:lpstr>'310 &amp; 491'!OSRRefE14_0x</vt:lpstr>
      <vt:lpstr>'311'!OSRRefE14_0x</vt:lpstr>
      <vt:lpstr>'315'!OSRRefE14_0x</vt:lpstr>
      <vt:lpstr>'316'!OSRRefE14_0x</vt:lpstr>
      <vt:lpstr>'317'!OSRRefE14_0x</vt:lpstr>
      <vt:lpstr>'321'!OSRRefE14_0x</vt:lpstr>
      <vt:lpstr>'324'!OSRRefE14_0x</vt:lpstr>
      <vt:lpstr>'325'!OSRRefE14_0x</vt:lpstr>
      <vt:lpstr>'326'!OSRRefE14_0x</vt:lpstr>
      <vt:lpstr>'327'!OSRRefE14_0x</vt:lpstr>
      <vt:lpstr>'330'!OSRRefE14_0x</vt:lpstr>
      <vt:lpstr>'331'!OSRRefE14_0x</vt:lpstr>
      <vt:lpstr>'332'!OSRRefE14_0x</vt:lpstr>
      <vt:lpstr>'405'!OSRRefE14_0x</vt:lpstr>
      <vt:lpstr>'415'!OSRRefE14_0x</vt:lpstr>
      <vt:lpstr>'418'!OSRRefE14_0x</vt:lpstr>
      <vt:lpstr>'425'!OSRRefE14_0x</vt:lpstr>
      <vt:lpstr>'433'!OSRRefE14_0x</vt:lpstr>
      <vt:lpstr>'444'!OSRRefE14_0x</vt:lpstr>
      <vt:lpstr>'450'!OSRRefE14_0x</vt:lpstr>
      <vt:lpstr>'491'!OSRRefE14_0x</vt:lpstr>
      <vt:lpstr>'492'!OSRRefE14_0x</vt:lpstr>
      <vt:lpstr>'Div 3'!OSRRefE14_0x</vt:lpstr>
      <vt:lpstr>'Div 4'!OSRRefE14_0x</vt:lpstr>
      <vt:lpstr>'Div 6'!OSRRefE14_0x</vt:lpstr>
      <vt:lpstr>Summary!OSRRefE14_0x</vt:lpstr>
      <vt:lpstr>'300'!OSRRefE14_10x</vt:lpstr>
      <vt:lpstr>'300 &amp; 317'!OSRRefE14_10x</vt:lpstr>
      <vt:lpstr>'315'!OSRRefE14_10x</vt:lpstr>
      <vt:lpstr>'331'!OSRRefE14_10x</vt:lpstr>
      <vt:lpstr>'Div 3'!OSRRefE14_10x</vt:lpstr>
      <vt:lpstr>Summary!OSRRefE14_10x</vt:lpstr>
      <vt:lpstr>'300'!OSRRefE14_11x</vt:lpstr>
      <vt:lpstr>'300 &amp; 317'!OSRRefE14_11x</vt:lpstr>
      <vt:lpstr>'315'!OSRRefE14_11x</vt:lpstr>
      <vt:lpstr>'331'!OSRRefE14_11x</vt:lpstr>
      <vt:lpstr>'Div 3'!OSRRefE14_11x</vt:lpstr>
      <vt:lpstr>Summary!OSRRefE14_11x</vt:lpstr>
      <vt:lpstr>'300'!OSRRefE14_12x</vt:lpstr>
      <vt:lpstr>'300 &amp; 317'!OSRRefE14_12x</vt:lpstr>
      <vt:lpstr>'315'!OSRRefE14_12x</vt:lpstr>
      <vt:lpstr>'331'!OSRRefE14_12x</vt:lpstr>
      <vt:lpstr>'Div 3'!OSRRefE14_12x</vt:lpstr>
      <vt:lpstr>Summary!OSRRefE14_12x</vt:lpstr>
      <vt:lpstr>'300'!OSRRefE14_13x</vt:lpstr>
      <vt:lpstr>'300 &amp; 317'!OSRRefE14_13x</vt:lpstr>
      <vt:lpstr>'315'!OSRRefE14_13x</vt:lpstr>
      <vt:lpstr>'331'!OSRRefE14_13x</vt:lpstr>
      <vt:lpstr>'Div 3'!OSRRefE14_13x</vt:lpstr>
      <vt:lpstr>Summary!OSRRefE14_13x</vt:lpstr>
      <vt:lpstr>'300'!OSRRefE14_14x</vt:lpstr>
      <vt:lpstr>'300 &amp; 317'!OSRRefE14_14x</vt:lpstr>
      <vt:lpstr>'315'!OSRRefE14_14x</vt:lpstr>
      <vt:lpstr>'331'!OSRRefE14_14x</vt:lpstr>
      <vt:lpstr>'Div 3'!OSRRefE14_14x</vt:lpstr>
      <vt:lpstr>Summary!OSRRefE14_14x</vt:lpstr>
      <vt:lpstr>'300'!OSRRefE14_15x</vt:lpstr>
      <vt:lpstr>'300 &amp; 317'!OSRRefE14_15x</vt:lpstr>
      <vt:lpstr>'Div 3'!OSRRefE14_15x</vt:lpstr>
      <vt:lpstr>Summary!OSRRefE14_15x</vt:lpstr>
      <vt:lpstr>'300'!OSRRefE14_16x</vt:lpstr>
      <vt:lpstr>'300 &amp; 317'!OSRRefE14_16x</vt:lpstr>
      <vt:lpstr>'Div 3'!OSRRefE14_16x</vt:lpstr>
      <vt:lpstr>Summary!OSRRefE14_16x</vt:lpstr>
      <vt:lpstr>'300'!OSRRefE14_17x</vt:lpstr>
      <vt:lpstr>'300 &amp; 317'!OSRRefE14_17x</vt:lpstr>
      <vt:lpstr>'Div 3'!OSRRefE14_17x</vt:lpstr>
      <vt:lpstr>Summary!OSRRefE14_17x</vt:lpstr>
      <vt:lpstr>'300'!OSRRefE14_18x</vt:lpstr>
      <vt:lpstr>'300 &amp; 317'!OSRRefE14_18x</vt:lpstr>
      <vt:lpstr>'Div 3'!OSRRefE14_18x</vt:lpstr>
      <vt:lpstr>Summary!OSRRefE14_18x</vt:lpstr>
      <vt:lpstr>'300'!OSRRefE14_19x</vt:lpstr>
      <vt:lpstr>'300 &amp; 317'!OSRRefE14_19x</vt:lpstr>
      <vt:lpstr>'Div 3'!OSRRefE14_19x</vt:lpstr>
      <vt:lpstr>Summary!OSRRefE14_19x</vt:lpstr>
      <vt:lpstr>'300'!OSRRefE14_1x</vt:lpstr>
      <vt:lpstr>'300 &amp; 317'!OSRRefE14_1x</vt:lpstr>
      <vt:lpstr>'308'!OSRRefE14_1x</vt:lpstr>
      <vt:lpstr>'310'!OSRRefE14_1x</vt:lpstr>
      <vt:lpstr>'310 &amp; 491'!OSRRefE14_1x</vt:lpstr>
      <vt:lpstr>'311'!OSRRefE14_1x</vt:lpstr>
      <vt:lpstr>'315'!OSRRefE14_1x</vt:lpstr>
      <vt:lpstr>'317'!OSRRefE14_1x</vt:lpstr>
      <vt:lpstr>'325'!OSRRefE14_1x</vt:lpstr>
      <vt:lpstr>'326'!OSRRefE14_1x</vt:lpstr>
      <vt:lpstr>'331'!OSRRefE14_1x</vt:lpstr>
      <vt:lpstr>'415'!OSRRefE14_1x</vt:lpstr>
      <vt:lpstr>'444'!OSRRefE14_1x</vt:lpstr>
      <vt:lpstr>'491'!OSRRefE14_1x</vt:lpstr>
      <vt:lpstr>'492'!OSRRefE14_1x</vt:lpstr>
      <vt:lpstr>'Div 3'!OSRRefE14_1x</vt:lpstr>
      <vt:lpstr>'Div 4'!OSRRefE14_1x</vt:lpstr>
      <vt:lpstr>'Div 6'!OSRRefE14_1x</vt:lpstr>
      <vt:lpstr>Summary!OSRRefE14_1x</vt:lpstr>
      <vt:lpstr>'300'!OSRRefE14_20x</vt:lpstr>
      <vt:lpstr>'300 &amp; 317'!OSRRefE14_20x</vt:lpstr>
      <vt:lpstr>'Div 3'!OSRRefE14_20x</vt:lpstr>
      <vt:lpstr>Summary!OSRRefE14_20x</vt:lpstr>
      <vt:lpstr>'300 &amp; 317'!OSRRefE14_21x</vt:lpstr>
      <vt:lpstr>'Div 3'!OSRRefE14_21x</vt:lpstr>
      <vt:lpstr>Summary!OSRRefE14_21x</vt:lpstr>
      <vt:lpstr>'300 &amp; 317'!OSRRefE14_22x</vt:lpstr>
      <vt:lpstr>Summary!OSRRefE14_22x</vt:lpstr>
      <vt:lpstr>'300 &amp; 317'!OSRRefE14_23x</vt:lpstr>
      <vt:lpstr>Summary!OSRRefE14_23x</vt:lpstr>
      <vt:lpstr>'300 &amp; 317'!OSRRefE14_24x</vt:lpstr>
      <vt:lpstr>Summary!OSRRefE14_24x</vt:lpstr>
      <vt:lpstr>'300 &amp; 317'!OSRRefE14_25x</vt:lpstr>
      <vt:lpstr>Summary!OSRRefE14_25x</vt:lpstr>
      <vt:lpstr>'300 &amp; 317'!OSRRefE14_26x</vt:lpstr>
      <vt:lpstr>Summary!OSRRefE14_26x</vt:lpstr>
      <vt:lpstr>Summary!OSRRefE14_27x</vt:lpstr>
      <vt:lpstr>Summary!OSRRefE14_28x</vt:lpstr>
      <vt:lpstr>'300'!OSRRefE14_2x</vt:lpstr>
      <vt:lpstr>'300 &amp; 317'!OSRRefE14_2x</vt:lpstr>
      <vt:lpstr>'308'!OSRRefE14_2x</vt:lpstr>
      <vt:lpstr>'310 &amp; 491'!OSRRefE14_2x</vt:lpstr>
      <vt:lpstr>'311'!OSRRefE14_2x</vt:lpstr>
      <vt:lpstr>'315'!OSRRefE14_2x</vt:lpstr>
      <vt:lpstr>'317'!OSRRefE14_2x</vt:lpstr>
      <vt:lpstr>'331'!OSRRefE14_2x</vt:lpstr>
      <vt:lpstr>'415'!OSRRefE14_2x</vt:lpstr>
      <vt:lpstr>'444'!OSRRefE14_2x</vt:lpstr>
      <vt:lpstr>'491'!OSRRefE14_2x</vt:lpstr>
      <vt:lpstr>'492'!OSRRefE14_2x</vt:lpstr>
      <vt:lpstr>'Div 3'!OSRRefE14_2x</vt:lpstr>
      <vt:lpstr>'Div 4'!OSRRefE14_2x</vt:lpstr>
      <vt:lpstr>'Div 6'!OSRRefE14_2x</vt:lpstr>
      <vt:lpstr>Summary!OSRRefE14_2x</vt:lpstr>
      <vt:lpstr>'300'!OSRRefE14_3x</vt:lpstr>
      <vt:lpstr>'300 &amp; 317'!OSRRefE14_3x</vt:lpstr>
      <vt:lpstr>'308'!OSRRefE14_3x</vt:lpstr>
      <vt:lpstr>'311'!OSRRefE14_3x</vt:lpstr>
      <vt:lpstr>'315'!OSRRefE14_3x</vt:lpstr>
      <vt:lpstr>'317'!OSRRefE14_3x</vt:lpstr>
      <vt:lpstr>'331'!OSRRefE14_3x</vt:lpstr>
      <vt:lpstr>'Div 3'!OSRRefE14_3x</vt:lpstr>
      <vt:lpstr>'Div 6'!OSRRefE14_3x</vt:lpstr>
      <vt:lpstr>Summary!OSRRefE14_3x</vt:lpstr>
      <vt:lpstr>'300'!OSRRefE14_4x</vt:lpstr>
      <vt:lpstr>'300 &amp; 317'!OSRRefE14_4x</vt:lpstr>
      <vt:lpstr>'308'!OSRRefE14_4x</vt:lpstr>
      <vt:lpstr>'311'!OSRRefE14_4x</vt:lpstr>
      <vt:lpstr>'315'!OSRRefE14_4x</vt:lpstr>
      <vt:lpstr>'317'!OSRRefE14_4x</vt:lpstr>
      <vt:lpstr>'331'!OSRRefE14_4x</vt:lpstr>
      <vt:lpstr>'Div 3'!OSRRefE14_4x</vt:lpstr>
      <vt:lpstr>'Div 6'!OSRRefE14_4x</vt:lpstr>
      <vt:lpstr>Summary!OSRRefE14_4x</vt:lpstr>
      <vt:lpstr>'300'!OSRRefE14_5x</vt:lpstr>
      <vt:lpstr>'300 &amp; 317'!OSRRefE14_5x</vt:lpstr>
      <vt:lpstr>'308'!OSRRefE14_5x</vt:lpstr>
      <vt:lpstr>'311'!OSRRefE14_5x</vt:lpstr>
      <vt:lpstr>'315'!OSRRefE14_5x</vt:lpstr>
      <vt:lpstr>'317'!OSRRefE14_5x</vt:lpstr>
      <vt:lpstr>'331'!OSRRefE14_5x</vt:lpstr>
      <vt:lpstr>'Div 3'!OSRRefE14_5x</vt:lpstr>
      <vt:lpstr>'Div 6'!OSRRefE14_5x</vt:lpstr>
      <vt:lpstr>Summary!OSRRefE14_5x</vt:lpstr>
      <vt:lpstr>'300'!OSRRefE14_6x</vt:lpstr>
      <vt:lpstr>'300 &amp; 317'!OSRRefE14_6x</vt:lpstr>
      <vt:lpstr>'308'!OSRRefE14_6x</vt:lpstr>
      <vt:lpstr>'311'!OSRRefE14_6x</vt:lpstr>
      <vt:lpstr>'315'!OSRRefE14_6x</vt:lpstr>
      <vt:lpstr>'317'!OSRRefE14_6x</vt:lpstr>
      <vt:lpstr>'331'!OSRRefE14_6x</vt:lpstr>
      <vt:lpstr>'Div 3'!OSRRefE14_6x</vt:lpstr>
      <vt:lpstr>'Div 6'!OSRRefE14_6x</vt:lpstr>
      <vt:lpstr>Summary!OSRRefE14_6x</vt:lpstr>
      <vt:lpstr>'300'!OSRRefE14_7x</vt:lpstr>
      <vt:lpstr>'300 &amp; 317'!OSRRefE14_7x</vt:lpstr>
      <vt:lpstr>'308'!OSRRefE14_7x</vt:lpstr>
      <vt:lpstr>'311'!OSRRefE14_7x</vt:lpstr>
      <vt:lpstr>'315'!OSRRefE14_7x</vt:lpstr>
      <vt:lpstr>'317'!OSRRefE14_7x</vt:lpstr>
      <vt:lpstr>'331'!OSRRefE14_7x</vt:lpstr>
      <vt:lpstr>'Div 3'!OSRRefE14_7x</vt:lpstr>
      <vt:lpstr>'Div 6'!OSRRefE14_7x</vt:lpstr>
      <vt:lpstr>Summary!OSRRefE14_7x</vt:lpstr>
      <vt:lpstr>'300'!OSRRefE14_8x</vt:lpstr>
      <vt:lpstr>'300 &amp; 317'!OSRRefE14_8x</vt:lpstr>
      <vt:lpstr>'308'!OSRRefE14_8x</vt:lpstr>
      <vt:lpstr>'311'!OSRRefE14_8x</vt:lpstr>
      <vt:lpstr>'315'!OSRRefE14_8x</vt:lpstr>
      <vt:lpstr>'317'!OSRRefE14_8x</vt:lpstr>
      <vt:lpstr>'331'!OSRRefE14_8x</vt:lpstr>
      <vt:lpstr>'Div 3'!OSRRefE14_8x</vt:lpstr>
      <vt:lpstr>'Div 6'!OSRRefE14_8x</vt:lpstr>
      <vt:lpstr>Summary!OSRRefE14_8x</vt:lpstr>
      <vt:lpstr>'300'!OSRRefE14_9x</vt:lpstr>
      <vt:lpstr>'300 &amp; 317'!OSRRefE14_9x</vt:lpstr>
      <vt:lpstr>'308'!OSRRefE14_9x</vt:lpstr>
      <vt:lpstr>'311'!OSRRefE14_9x</vt:lpstr>
      <vt:lpstr>'315'!OSRRefE14_9x</vt:lpstr>
      <vt:lpstr>'317'!OSRRefE14_9x</vt:lpstr>
      <vt:lpstr>'331'!OSRRefE14_9x</vt:lpstr>
      <vt:lpstr>'Div 3'!OSRRefE14_9x</vt:lpstr>
      <vt:lpstr>'Div 6'!OSRRefE14_9x</vt:lpstr>
      <vt:lpstr>Summary!OSRRefE14_9x</vt:lpstr>
      <vt:lpstr>'300'!OSRRefE14x_0</vt:lpstr>
      <vt:lpstr>'300 &amp; 317'!OSRRefE14x_0</vt:lpstr>
      <vt:lpstr>'307'!OSRRefE14x_0</vt:lpstr>
      <vt:lpstr>'308'!OSRRefE14x_0</vt:lpstr>
      <vt:lpstr>'310'!OSRRefE14x_0</vt:lpstr>
      <vt:lpstr>'310 &amp; 491'!OSRRefE14x_0</vt:lpstr>
      <vt:lpstr>'311'!OSRRefE14x_0</vt:lpstr>
      <vt:lpstr>'315'!OSRRefE14x_0</vt:lpstr>
      <vt:lpstr>'316'!OSRRefE14x_0</vt:lpstr>
      <vt:lpstr>'317'!OSRRefE14x_0</vt:lpstr>
      <vt:lpstr>'321'!OSRRefE14x_0</vt:lpstr>
      <vt:lpstr>'324'!OSRRefE14x_0</vt:lpstr>
      <vt:lpstr>'325'!OSRRefE14x_0</vt:lpstr>
      <vt:lpstr>'326'!OSRRefE14x_0</vt:lpstr>
      <vt:lpstr>'327'!OSRRefE14x_0</vt:lpstr>
      <vt:lpstr>'330'!OSRRefE14x_0</vt:lpstr>
      <vt:lpstr>'331'!OSRRefE14x_0</vt:lpstr>
      <vt:lpstr>'332'!OSRRefE14x_0</vt:lpstr>
      <vt:lpstr>'405'!OSRRefE14x_0</vt:lpstr>
      <vt:lpstr>'415'!OSRRefE14x_0</vt:lpstr>
      <vt:lpstr>'418'!OSRRefE14x_0</vt:lpstr>
      <vt:lpstr>'425'!OSRRefE14x_0</vt:lpstr>
      <vt:lpstr>'433'!OSRRefE14x_0</vt:lpstr>
      <vt:lpstr>'444'!OSRRefE14x_0</vt:lpstr>
      <vt:lpstr>'450'!OSRRefE14x_0</vt:lpstr>
      <vt:lpstr>'491'!OSRRefE14x_0</vt:lpstr>
      <vt:lpstr>'492'!OSRRefE14x_0</vt:lpstr>
      <vt:lpstr>'Div 3'!OSRRefE14x_0</vt:lpstr>
      <vt:lpstr>'Div 4'!OSRRefE14x_0</vt:lpstr>
      <vt:lpstr>'Div 6'!OSRRefE14x_0</vt:lpstr>
      <vt:lpstr>Summary!OSRRefE14x_0</vt:lpstr>
      <vt:lpstr>'300'!OSRRefE14x_1</vt:lpstr>
      <vt:lpstr>'300 &amp; 317'!OSRRefE14x_1</vt:lpstr>
      <vt:lpstr>'307'!OSRRefE14x_1</vt:lpstr>
      <vt:lpstr>'308'!OSRRefE14x_1</vt:lpstr>
      <vt:lpstr>'310'!OSRRefE14x_1</vt:lpstr>
      <vt:lpstr>'310 &amp; 491'!OSRRefE14x_1</vt:lpstr>
      <vt:lpstr>'311'!OSRRefE14x_1</vt:lpstr>
      <vt:lpstr>'315'!OSRRefE14x_1</vt:lpstr>
      <vt:lpstr>'316'!OSRRefE14x_1</vt:lpstr>
      <vt:lpstr>'317'!OSRRefE14x_1</vt:lpstr>
      <vt:lpstr>'321'!OSRRefE14x_1</vt:lpstr>
      <vt:lpstr>'324'!OSRRefE14x_1</vt:lpstr>
      <vt:lpstr>'325'!OSRRefE14x_1</vt:lpstr>
      <vt:lpstr>'326'!OSRRefE14x_1</vt:lpstr>
      <vt:lpstr>'327'!OSRRefE14x_1</vt:lpstr>
      <vt:lpstr>'330'!OSRRefE14x_1</vt:lpstr>
      <vt:lpstr>'331'!OSRRefE14x_1</vt:lpstr>
      <vt:lpstr>'332'!OSRRefE14x_1</vt:lpstr>
      <vt:lpstr>'405'!OSRRefE14x_1</vt:lpstr>
      <vt:lpstr>'415'!OSRRefE14x_1</vt:lpstr>
      <vt:lpstr>'418'!OSRRefE14x_1</vt:lpstr>
      <vt:lpstr>'425'!OSRRefE14x_1</vt:lpstr>
      <vt:lpstr>'433'!OSRRefE14x_1</vt:lpstr>
      <vt:lpstr>'444'!OSRRefE14x_1</vt:lpstr>
      <vt:lpstr>'450'!OSRRefE14x_1</vt:lpstr>
      <vt:lpstr>'491'!OSRRefE14x_1</vt:lpstr>
      <vt:lpstr>'492'!OSRRefE14x_1</vt:lpstr>
      <vt:lpstr>'Div 3'!OSRRefE14x_1</vt:lpstr>
      <vt:lpstr>'Div 4'!OSRRefE14x_1</vt:lpstr>
      <vt:lpstr>'Div 6'!OSRRefE14x_1</vt:lpstr>
      <vt:lpstr>Summary!OSRRefE14x_1</vt:lpstr>
      <vt:lpstr>'300'!OSRRefE14x_10</vt:lpstr>
      <vt:lpstr>'300 &amp; 317'!OSRRefE14x_10</vt:lpstr>
      <vt:lpstr>'307'!OSRRefE14x_10</vt:lpstr>
      <vt:lpstr>'308'!OSRRefE14x_10</vt:lpstr>
      <vt:lpstr>'310'!OSRRefE14x_10</vt:lpstr>
      <vt:lpstr>'310 &amp; 491'!OSRRefE14x_10</vt:lpstr>
      <vt:lpstr>'311'!OSRRefE14x_10</vt:lpstr>
      <vt:lpstr>'315'!OSRRefE14x_10</vt:lpstr>
      <vt:lpstr>'316'!OSRRefE14x_10</vt:lpstr>
      <vt:lpstr>'317'!OSRRefE14x_10</vt:lpstr>
      <vt:lpstr>'321'!OSRRefE14x_10</vt:lpstr>
      <vt:lpstr>'324'!OSRRefE14x_10</vt:lpstr>
      <vt:lpstr>'325'!OSRRefE14x_10</vt:lpstr>
      <vt:lpstr>'326'!OSRRefE14x_10</vt:lpstr>
      <vt:lpstr>'327'!OSRRefE14x_10</vt:lpstr>
      <vt:lpstr>'330'!OSRRefE14x_10</vt:lpstr>
      <vt:lpstr>'331'!OSRRefE14x_10</vt:lpstr>
      <vt:lpstr>'332'!OSRRefE14x_10</vt:lpstr>
      <vt:lpstr>'405'!OSRRefE14x_10</vt:lpstr>
      <vt:lpstr>'415'!OSRRefE14x_10</vt:lpstr>
      <vt:lpstr>'418'!OSRRefE14x_10</vt:lpstr>
      <vt:lpstr>'425'!OSRRefE14x_10</vt:lpstr>
      <vt:lpstr>'433'!OSRRefE14x_10</vt:lpstr>
      <vt:lpstr>'444'!OSRRefE14x_10</vt:lpstr>
      <vt:lpstr>'450'!OSRRefE14x_10</vt:lpstr>
      <vt:lpstr>'491'!OSRRefE14x_10</vt:lpstr>
      <vt:lpstr>'492'!OSRRefE14x_10</vt:lpstr>
      <vt:lpstr>'Div 3'!OSRRefE14x_10</vt:lpstr>
      <vt:lpstr>'Div 4'!OSRRefE14x_10</vt:lpstr>
      <vt:lpstr>'Div 6'!OSRRefE14x_10</vt:lpstr>
      <vt:lpstr>Summary!OSRRefE14x_10</vt:lpstr>
      <vt:lpstr>'300'!OSRRefE14x_2</vt:lpstr>
      <vt:lpstr>'300 &amp; 317'!OSRRefE14x_2</vt:lpstr>
      <vt:lpstr>'307'!OSRRefE14x_2</vt:lpstr>
      <vt:lpstr>'308'!OSRRefE14x_2</vt:lpstr>
      <vt:lpstr>'310'!OSRRefE14x_2</vt:lpstr>
      <vt:lpstr>'310 &amp; 491'!OSRRefE14x_2</vt:lpstr>
      <vt:lpstr>'311'!OSRRefE14x_2</vt:lpstr>
      <vt:lpstr>'315'!OSRRefE14x_2</vt:lpstr>
      <vt:lpstr>'316'!OSRRefE14x_2</vt:lpstr>
      <vt:lpstr>'317'!OSRRefE14x_2</vt:lpstr>
      <vt:lpstr>'321'!OSRRefE14x_2</vt:lpstr>
      <vt:lpstr>'324'!OSRRefE14x_2</vt:lpstr>
      <vt:lpstr>'325'!OSRRefE14x_2</vt:lpstr>
      <vt:lpstr>'326'!OSRRefE14x_2</vt:lpstr>
      <vt:lpstr>'327'!OSRRefE14x_2</vt:lpstr>
      <vt:lpstr>'330'!OSRRefE14x_2</vt:lpstr>
      <vt:lpstr>'331'!OSRRefE14x_2</vt:lpstr>
      <vt:lpstr>'332'!OSRRefE14x_2</vt:lpstr>
      <vt:lpstr>'405'!OSRRefE14x_2</vt:lpstr>
      <vt:lpstr>'415'!OSRRefE14x_2</vt:lpstr>
      <vt:lpstr>'418'!OSRRefE14x_2</vt:lpstr>
      <vt:lpstr>'425'!OSRRefE14x_2</vt:lpstr>
      <vt:lpstr>'433'!OSRRefE14x_2</vt:lpstr>
      <vt:lpstr>'444'!OSRRefE14x_2</vt:lpstr>
      <vt:lpstr>'450'!OSRRefE14x_2</vt:lpstr>
      <vt:lpstr>'491'!OSRRefE14x_2</vt:lpstr>
      <vt:lpstr>'492'!OSRRefE14x_2</vt:lpstr>
      <vt:lpstr>'Div 3'!OSRRefE14x_2</vt:lpstr>
      <vt:lpstr>'Div 4'!OSRRefE14x_2</vt:lpstr>
      <vt:lpstr>'Div 6'!OSRRefE14x_2</vt:lpstr>
      <vt:lpstr>Summary!OSRRefE14x_2</vt:lpstr>
      <vt:lpstr>'300'!OSRRefE14x_3</vt:lpstr>
      <vt:lpstr>'300 &amp; 317'!OSRRefE14x_3</vt:lpstr>
      <vt:lpstr>'307'!OSRRefE14x_3</vt:lpstr>
      <vt:lpstr>'308'!OSRRefE14x_3</vt:lpstr>
      <vt:lpstr>'310'!OSRRefE14x_3</vt:lpstr>
      <vt:lpstr>'310 &amp; 491'!OSRRefE14x_3</vt:lpstr>
      <vt:lpstr>'311'!OSRRefE14x_3</vt:lpstr>
      <vt:lpstr>'315'!OSRRefE14x_3</vt:lpstr>
      <vt:lpstr>'316'!OSRRefE14x_3</vt:lpstr>
      <vt:lpstr>'317'!OSRRefE14x_3</vt:lpstr>
      <vt:lpstr>'321'!OSRRefE14x_3</vt:lpstr>
      <vt:lpstr>'324'!OSRRefE14x_3</vt:lpstr>
      <vt:lpstr>'325'!OSRRefE14x_3</vt:lpstr>
      <vt:lpstr>'326'!OSRRefE14x_3</vt:lpstr>
      <vt:lpstr>'327'!OSRRefE14x_3</vt:lpstr>
      <vt:lpstr>'330'!OSRRefE14x_3</vt:lpstr>
      <vt:lpstr>'331'!OSRRefE14x_3</vt:lpstr>
      <vt:lpstr>'332'!OSRRefE14x_3</vt:lpstr>
      <vt:lpstr>'405'!OSRRefE14x_3</vt:lpstr>
      <vt:lpstr>'415'!OSRRefE14x_3</vt:lpstr>
      <vt:lpstr>'418'!OSRRefE14x_3</vt:lpstr>
      <vt:lpstr>'425'!OSRRefE14x_3</vt:lpstr>
      <vt:lpstr>'433'!OSRRefE14x_3</vt:lpstr>
      <vt:lpstr>'444'!OSRRefE14x_3</vt:lpstr>
      <vt:lpstr>'450'!OSRRefE14x_3</vt:lpstr>
      <vt:lpstr>'491'!OSRRefE14x_3</vt:lpstr>
      <vt:lpstr>'492'!OSRRefE14x_3</vt:lpstr>
      <vt:lpstr>'Div 3'!OSRRefE14x_3</vt:lpstr>
      <vt:lpstr>'Div 4'!OSRRefE14x_3</vt:lpstr>
      <vt:lpstr>'Div 6'!OSRRefE14x_3</vt:lpstr>
      <vt:lpstr>Summary!OSRRefE14x_3</vt:lpstr>
      <vt:lpstr>'300'!OSRRefE14x_4</vt:lpstr>
      <vt:lpstr>'300 &amp; 317'!OSRRefE14x_4</vt:lpstr>
      <vt:lpstr>'307'!OSRRefE14x_4</vt:lpstr>
      <vt:lpstr>'308'!OSRRefE14x_4</vt:lpstr>
      <vt:lpstr>'310'!OSRRefE14x_4</vt:lpstr>
      <vt:lpstr>'310 &amp; 491'!OSRRefE14x_4</vt:lpstr>
      <vt:lpstr>'311'!OSRRefE14x_4</vt:lpstr>
      <vt:lpstr>'315'!OSRRefE14x_4</vt:lpstr>
      <vt:lpstr>'316'!OSRRefE14x_4</vt:lpstr>
      <vt:lpstr>'317'!OSRRefE14x_4</vt:lpstr>
      <vt:lpstr>'321'!OSRRefE14x_4</vt:lpstr>
      <vt:lpstr>'324'!OSRRefE14x_4</vt:lpstr>
      <vt:lpstr>'325'!OSRRefE14x_4</vt:lpstr>
      <vt:lpstr>'326'!OSRRefE14x_4</vt:lpstr>
      <vt:lpstr>'327'!OSRRefE14x_4</vt:lpstr>
      <vt:lpstr>'330'!OSRRefE14x_4</vt:lpstr>
      <vt:lpstr>'331'!OSRRefE14x_4</vt:lpstr>
      <vt:lpstr>'332'!OSRRefE14x_4</vt:lpstr>
      <vt:lpstr>'405'!OSRRefE14x_4</vt:lpstr>
      <vt:lpstr>'415'!OSRRefE14x_4</vt:lpstr>
      <vt:lpstr>'418'!OSRRefE14x_4</vt:lpstr>
      <vt:lpstr>'425'!OSRRefE14x_4</vt:lpstr>
      <vt:lpstr>'433'!OSRRefE14x_4</vt:lpstr>
      <vt:lpstr>'444'!OSRRefE14x_4</vt:lpstr>
      <vt:lpstr>'450'!OSRRefE14x_4</vt:lpstr>
      <vt:lpstr>'491'!OSRRefE14x_4</vt:lpstr>
      <vt:lpstr>'492'!OSRRefE14x_4</vt:lpstr>
      <vt:lpstr>'Div 3'!OSRRefE14x_4</vt:lpstr>
      <vt:lpstr>'Div 4'!OSRRefE14x_4</vt:lpstr>
      <vt:lpstr>'Div 6'!OSRRefE14x_4</vt:lpstr>
      <vt:lpstr>Summary!OSRRefE14x_4</vt:lpstr>
      <vt:lpstr>'300'!OSRRefE14x_5</vt:lpstr>
      <vt:lpstr>'300 &amp; 317'!OSRRefE14x_5</vt:lpstr>
      <vt:lpstr>'307'!OSRRefE14x_5</vt:lpstr>
      <vt:lpstr>'308'!OSRRefE14x_5</vt:lpstr>
      <vt:lpstr>'310'!OSRRefE14x_5</vt:lpstr>
      <vt:lpstr>'310 &amp; 491'!OSRRefE14x_5</vt:lpstr>
      <vt:lpstr>'311'!OSRRefE14x_5</vt:lpstr>
      <vt:lpstr>'315'!OSRRefE14x_5</vt:lpstr>
      <vt:lpstr>'316'!OSRRefE14x_5</vt:lpstr>
      <vt:lpstr>'317'!OSRRefE14x_5</vt:lpstr>
      <vt:lpstr>'321'!OSRRefE14x_5</vt:lpstr>
      <vt:lpstr>'324'!OSRRefE14x_5</vt:lpstr>
      <vt:lpstr>'325'!OSRRefE14x_5</vt:lpstr>
      <vt:lpstr>'326'!OSRRefE14x_5</vt:lpstr>
      <vt:lpstr>'327'!OSRRefE14x_5</vt:lpstr>
      <vt:lpstr>'330'!OSRRefE14x_5</vt:lpstr>
      <vt:lpstr>'331'!OSRRefE14x_5</vt:lpstr>
      <vt:lpstr>'332'!OSRRefE14x_5</vt:lpstr>
      <vt:lpstr>'405'!OSRRefE14x_5</vt:lpstr>
      <vt:lpstr>'415'!OSRRefE14x_5</vt:lpstr>
      <vt:lpstr>'418'!OSRRefE14x_5</vt:lpstr>
      <vt:lpstr>'425'!OSRRefE14x_5</vt:lpstr>
      <vt:lpstr>'433'!OSRRefE14x_5</vt:lpstr>
      <vt:lpstr>'444'!OSRRefE14x_5</vt:lpstr>
      <vt:lpstr>'450'!OSRRefE14x_5</vt:lpstr>
      <vt:lpstr>'491'!OSRRefE14x_5</vt:lpstr>
      <vt:lpstr>'492'!OSRRefE14x_5</vt:lpstr>
      <vt:lpstr>'Div 3'!OSRRefE14x_5</vt:lpstr>
      <vt:lpstr>'Div 4'!OSRRefE14x_5</vt:lpstr>
      <vt:lpstr>'Div 6'!OSRRefE14x_5</vt:lpstr>
      <vt:lpstr>Summary!OSRRefE14x_5</vt:lpstr>
      <vt:lpstr>'300'!OSRRefE14x_6</vt:lpstr>
      <vt:lpstr>'300 &amp; 317'!OSRRefE14x_6</vt:lpstr>
      <vt:lpstr>'307'!OSRRefE14x_6</vt:lpstr>
      <vt:lpstr>'308'!OSRRefE14x_6</vt:lpstr>
      <vt:lpstr>'310'!OSRRefE14x_6</vt:lpstr>
      <vt:lpstr>'310 &amp; 491'!OSRRefE14x_6</vt:lpstr>
      <vt:lpstr>'311'!OSRRefE14x_6</vt:lpstr>
      <vt:lpstr>'315'!OSRRefE14x_6</vt:lpstr>
      <vt:lpstr>'316'!OSRRefE14x_6</vt:lpstr>
      <vt:lpstr>'317'!OSRRefE14x_6</vt:lpstr>
      <vt:lpstr>'321'!OSRRefE14x_6</vt:lpstr>
      <vt:lpstr>'324'!OSRRefE14x_6</vt:lpstr>
      <vt:lpstr>'325'!OSRRefE14x_6</vt:lpstr>
      <vt:lpstr>'326'!OSRRefE14x_6</vt:lpstr>
      <vt:lpstr>'327'!OSRRefE14x_6</vt:lpstr>
      <vt:lpstr>'330'!OSRRefE14x_6</vt:lpstr>
      <vt:lpstr>'331'!OSRRefE14x_6</vt:lpstr>
      <vt:lpstr>'332'!OSRRefE14x_6</vt:lpstr>
      <vt:lpstr>'405'!OSRRefE14x_6</vt:lpstr>
      <vt:lpstr>'415'!OSRRefE14x_6</vt:lpstr>
      <vt:lpstr>'418'!OSRRefE14x_6</vt:lpstr>
      <vt:lpstr>'425'!OSRRefE14x_6</vt:lpstr>
      <vt:lpstr>'433'!OSRRefE14x_6</vt:lpstr>
      <vt:lpstr>'444'!OSRRefE14x_6</vt:lpstr>
      <vt:lpstr>'450'!OSRRefE14x_6</vt:lpstr>
      <vt:lpstr>'491'!OSRRefE14x_6</vt:lpstr>
      <vt:lpstr>'492'!OSRRefE14x_6</vt:lpstr>
      <vt:lpstr>'Div 3'!OSRRefE14x_6</vt:lpstr>
      <vt:lpstr>'Div 4'!OSRRefE14x_6</vt:lpstr>
      <vt:lpstr>'Div 6'!OSRRefE14x_6</vt:lpstr>
      <vt:lpstr>Summary!OSRRefE14x_6</vt:lpstr>
      <vt:lpstr>'300'!OSRRefE14x_7</vt:lpstr>
      <vt:lpstr>'300 &amp; 317'!OSRRefE14x_7</vt:lpstr>
      <vt:lpstr>'307'!OSRRefE14x_7</vt:lpstr>
      <vt:lpstr>'308'!OSRRefE14x_7</vt:lpstr>
      <vt:lpstr>'310'!OSRRefE14x_7</vt:lpstr>
      <vt:lpstr>'310 &amp; 491'!OSRRefE14x_7</vt:lpstr>
      <vt:lpstr>'311'!OSRRefE14x_7</vt:lpstr>
      <vt:lpstr>'315'!OSRRefE14x_7</vt:lpstr>
      <vt:lpstr>'316'!OSRRefE14x_7</vt:lpstr>
      <vt:lpstr>'317'!OSRRefE14x_7</vt:lpstr>
      <vt:lpstr>'321'!OSRRefE14x_7</vt:lpstr>
      <vt:lpstr>'324'!OSRRefE14x_7</vt:lpstr>
      <vt:lpstr>'325'!OSRRefE14x_7</vt:lpstr>
      <vt:lpstr>'326'!OSRRefE14x_7</vt:lpstr>
      <vt:lpstr>'327'!OSRRefE14x_7</vt:lpstr>
      <vt:lpstr>'330'!OSRRefE14x_7</vt:lpstr>
      <vt:lpstr>'331'!OSRRefE14x_7</vt:lpstr>
      <vt:lpstr>'332'!OSRRefE14x_7</vt:lpstr>
      <vt:lpstr>'405'!OSRRefE14x_7</vt:lpstr>
      <vt:lpstr>'415'!OSRRefE14x_7</vt:lpstr>
      <vt:lpstr>'418'!OSRRefE14x_7</vt:lpstr>
      <vt:lpstr>'425'!OSRRefE14x_7</vt:lpstr>
      <vt:lpstr>'433'!OSRRefE14x_7</vt:lpstr>
      <vt:lpstr>'444'!OSRRefE14x_7</vt:lpstr>
      <vt:lpstr>'450'!OSRRefE14x_7</vt:lpstr>
      <vt:lpstr>'491'!OSRRefE14x_7</vt:lpstr>
      <vt:lpstr>'492'!OSRRefE14x_7</vt:lpstr>
      <vt:lpstr>'Div 3'!OSRRefE14x_7</vt:lpstr>
      <vt:lpstr>'Div 4'!OSRRefE14x_7</vt:lpstr>
      <vt:lpstr>'Div 6'!OSRRefE14x_7</vt:lpstr>
      <vt:lpstr>Summary!OSRRefE14x_7</vt:lpstr>
      <vt:lpstr>'300'!OSRRefE14x_8</vt:lpstr>
      <vt:lpstr>'300 &amp; 317'!OSRRefE14x_8</vt:lpstr>
      <vt:lpstr>'307'!OSRRefE14x_8</vt:lpstr>
      <vt:lpstr>'308'!OSRRefE14x_8</vt:lpstr>
      <vt:lpstr>'310'!OSRRefE14x_8</vt:lpstr>
      <vt:lpstr>'310 &amp; 491'!OSRRefE14x_8</vt:lpstr>
      <vt:lpstr>'311'!OSRRefE14x_8</vt:lpstr>
      <vt:lpstr>'315'!OSRRefE14x_8</vt:lpstr>
      <vt:lpstr>'316'!OSRRefE14x_8</vt:lpstr>
      <vt:lpstr>'317'!OSRRefE14x_8</vt:lpstr>
      <vt:lpstr>'321'!OSRRefE14x_8</vt:lpstr>
      <vt:lpstr>'324'!OSRRefE14x_8</vt:lpstr>
      <vt:lpstr>'325'!OSRRefE14x_8</vt:lpstr>
      <vt:lpstr>'326'!OSRRefE14x_8</vt:lpstr>
      <vt:lpstr>'327'!OSRRefE14x_8</vt:lpstr>
      <vt:lpstr>'330'!OSRRefE14x_8</vt:lpstr>
      <vt:lpstr>'331'!OSRRefE14x_8</vt:lpstr>
      <vt:lpstr>'332'!OSRRefE14x_8</vt:lpstr>
      <vt:lpstr>'405'!OSRRefE14x_8</vt:lpstr>
      <vt:lpstr>'415'!OSRRefE14x_8</vt:lpstr>
      <vt:lpstr>'418'!OSRRefE14x_8</vt:lpstr>
      <vt:lpstr>'425'!OSRRefE14x_8</vt:lpstr>
      <vt:lpstr>'433'!OSRRefE14x_8</vt:lpstr>
      <vt:lpstr>'444'!OSRRefE14x_8</vt:lpstr>
      <vt:lpstr>'450'!OSRRefE14x_8</vt:lpstr>
      <vt:lpstr>'491'!OSRRefE14x_8</vt:lpstr>
      <vt:lpstr>'492'!OSRRefE14x_8</vt:lpstr>
      <vt:lpstr>'Div 3'!OSRRefE14x_8</vt:lpstr>
      <vt:lpstr>'Div 4'!OSRRefE14x_8</vt:lpstr>
      <vt:lpstr>'Div 6'!OSRRefE14x_8</vt:lpstr>
      <vt:lpstr>Summary!OSRRefE14x_8</vt:lpstr>
      <vt:lpstr>'300'!OSRRefE14x_9</vt:lpstr>
      <vt:lpstr>'300 &amp; 317'!OSRRefE14x_9</vt:lpstr>
      <vt:lpstr>'307'!OSRRefE14x_9</vt:lpstr>
      <vt:lpstr>'308'!OSRRefE14x_9</vt:lpstr>
      <vt:lpstr>'310'!OSRRefE14x_9</vt:lpstr>
      <vt:lpstr>'310 &amp; 491'!OSRRefE14x_9</vt:lpstr>
      <vt:lpstr>'311'!OSRRefE14x_9</vt:lpstr>
      <vt:lpstr>'315'!OSRRefE14x_9</vt:lpstr>
      <vt:lpstr>'316'!OSRRefE14x_9</vt:lpstr>
      <vt:lpstr>'317'!OSRRefE14x_9</vt:lpstr>
      <vt:lpstr>'321'!OSRRefE14x_9</vt:lpstr>
      <vt:lpstr>'324'!OSRRefE14x_9</vt:lpstr>
      <vt:lpstr>'325'!OSRRefE14x_9</vt:lpstr>
      <vt:lpstr>'326'!OSRRefE14x_9</vt:lpstr>
      <vt:lpstr>'327'!OSRRefE14x_9</vt:lpstr>
      <vt:lpstr>'330'!OSRRefE14x_9</vt:lpstr>
      <vt:lpstr>'331'!OSRRefE14x_9</vt:lpstr>
      <vt:lpstr>'332'!OSRRefE14x_9</vt:lpstr>
      <vt:lpstr>'405'!OSRRefE14x_9</vt:lpstr>
      <vt:lpstr>'415'!OSRRefE14x_9</vt:lpstr>
      <vt:lpstr>'418'!OSRRefE14x_9</vt:lpstr>
      <vt:lpstr>'425'!OSRRefE14x_9</vt:lpstr>
      <vt:lpstr>'433'!OSRRefE14x_9</vt:lpstr>
      <vt:lpstr>'444'!OSRRefE14x_9</vt:lpstr>
      <vt:lpstr>'450'!OSRRefE14x_9</vt:lpstr>
      <vt:lpstr>'491'!OSRRefE14x_9</vt:lpstr>
      <vt:lpstr>'492'!OSRRefE14x_9</vt:lpstr>
      <vt:lpstr>'Div 3'!OSRRefE14x_9</vt:lpstr>
      <vt:lpstr>'Div 4'!OSRRefE14x_9</vt:lpstr>
      <vt:lpstr>'Div 6'!OSRRefE14x_9</vt:lpstr>
      <vt:lpstr>Summary!OSRRefE14x_9</vt:lpstr>
      <vt:lpstr>'200'!OSRRefE20_0x</vt:lpstr>
      <vt:lpstr>'201'!OSRRefE20_0x</vt:lpstr>
      <vt:lpstr>'202'!OSRRefE20_0x</vt:lpstr>
      <vt:lpstr>'203'!OSRRefE20_0x</vt:lpstr>
      <vt:lpstr>'204'!OSRRefE20_0x</vt:lpstr>
      <vt:lpstr>'205'!OSRRefE20_0x</vt:lpstr>
      <vt:lpstr>'206'!OSRRefE20_0x</vt:lpstr>
      <vt:lpstr>'300'!OSRRefE20_0x</vt:lpstr>
      <vt:lpstr>'300 &amp; 317'!OSRRefE20_0x</vt:lpstr>
      <vt:lpstr>'301'!OSRRefE20_0x</vt:lpstr>
      <vt:lpstr>'307'!OSRRefE20_0x</vt:lpstr>
      <vt:lpstr>'308'!OSRRefE20_0x</vt:lpstr>
      <vt:lpstr>'309'!OSRRefE20_0x</vt:lpstr>
      <vt:lpstr>'310'!OSRRefE20_0x</vt:lpstr>
      <vt:lpstr>'310 &amp; 491'!OSRRefE20_0x</vt:lpstr>
      <vt:lpstr>'311'!OSRRefE20_0x</vt:lpstr>
      <vt:lpstr>'313'!OSRRefE20_0x</vt:lpstr>
      <vt:lpstr>'315'!OSRRefE20_0x</vt:lpstr>
      <vt:lpstr>'316'!OSRRefE20_0x</vt:lpstr>
      <vt:lpstr>'317'!OSRRefE20_0x</vt:lpstr>
      <vt:lpstr>'321'!OSRRefE20_0x</vt:lpstr>
      <vt:lpstr>'325'!OSRRefE20_0x</vt:lpstr>
      <vt:lpstr>'326'!OSRRefE20_0x</vt:lpstr>
      <vt:lpstr>'327'!OSRRefE20_0x</vt:lpstr>
      <vt:lpstr>'330'!OSRRefE20_0x</vt:lpstr>
      <vt:lpstr>'331'!OSRRefE20_0x</vt:lpstr>
      <vt:lpstr>'332'!OSRRefE20_0x</vt:lpstr>
      <vt:lpstr>'405'!OSRRefE20_0x</vt:lpstr>
      <vt:lpstr>'411'!OSRRefE20_0x</vt:lpstr>
      <vt:lpstr>'412'!OSRRefE20_0x</vt:lpstr>
      <vt:lpstr>'413'!OSRRefE20_0x</vt:lpstr>
      <vt:lpstr>'415'!OSRRefE20_0x</vt:lpstr>
      <vt:lpstr>'418'!OSRRefE20_0x</vt:lpstr>
      <vt:lpstr>'423'!OSRRefE20_0x</vt:lpstr>
      <vt:lpstr>'424'!OSRRefE20_0x</vt:lpstr>
      <vt:lpstr>'425'!OSRRefE20_0x</vt:lpstr>
      <vt:lpstr>'430'!OSRRefE20_0x</vt:lpstr>
      <vt:lpstr>'433'!OSRRefE20_0x</vt:lpstr>
      <vt:lpstr>'444'!OSRRefE20_0x</vt:lpstr>
      <vt:lpstr>'450'!OSRRefE20_0x</vt:lpstr>
      <vt:lpstr>'491'!OSRRefE20_0x</vt:lpstr>
      <vt:lpstr>'492'!OSRRefE20_0x</vt:lpstr>
      <vt:lpstr>'501'!OSRRefE20_0x</vt:lpstr>
      <vt:lpstr>'Div 2'!OSRRefE20_0x</vt:lpstr>
      <vt:lpstr>'Div 3'!OSRRefE20_0x</vt:lpstr>
      <vt:lpstr>'Div 4'!OSRRefE20_0x</vt:lpstr>
      <vt:lpstr>'Div 5'!OSRRefE20_0x</vt:lpstr>
      <vt:lpstr>'Div 6'!OSRRefE20_0x</vt:lpstr>
      <vt:lpstr>Summary!OSRRefE20_0x</vt:lpstr>
      <vt:lpstr>'201'!OSRRefE20_10x</vt:lpstr>
      <vt:lpstr>'202'!OSRRefE20_10x</vt:lpstr>
      <vt:lpstr>'203'!OSRRefE20_10x</vt:lpstr>
      <vt:lpstr>'300'!OSRRefE20_10x</vt:lpstr>
      <vt:lpstr>'300 &amp; 317'!OSRRefE20_10x</vt:lpstr>
      <vt:lpstr>'301'!OSRRefE20_10x</vt:lpstr>
      <vt:lpstr>'308'!OSRRefE20_10x</vt:lpstr>
      <vt:lpstr>'310'!OSRRefE20_10x</vt:lpstr>
      <vt:lpstr>'310 &amp; 491'!OSRRefE20_10x</vt:lpstr>
      <vt:lpstr>'311'!OSRRefE20_10x</vt:lpstr>
      <vt:lpstr>'315'!OSRRefE20_10x</vt:lpstr>
      <vt:lpstr>'321'!OSRRefE20_10x</vt:lpstr>
      <vt:lpstr>'325'!OSRRefE20_10x</vt:lpstr>
      <vt:lpstr>'326'!OSRRefE20_10x</vt:lpstr>
      <vt:lpstr>'331'!OSRRefE20_10x</vt:lpstr>
      <vt:lpstr>'405'!OSRRefE20_10x</vt:lpstr>
      <vt:lpstr>'411'!OSRRefE20_10x</vt:lpstr>
      <vt:lpstr>'415'!OSRRefE20_10x</vt:lpstr>
      <vt:lpstr>'418'!OSRRefE20_10x</vt:lpstr>
      <vt:lpstr>'433'!OSRRefE20_10x</vt:lpstr>
      <vt:lpstr>'444'!OSRRefE20_10x</vt:lpstr>
      <vt:lpstr>'450'!OSRRefE20_10x</vt:lpstr>
      <vt:lpstr>'491'!OSRRefE20_10x</vt:lpstr>
      <vt:lpstr>'492'!OSRRefE20_10x</vt:lpstr>
      <vt:lpstr>'501'!OSRRefE20_10x</vt:lpstr>
      <vt:lpstr>'Div 2'!OSRRefE20_10x</vt:lpstr>
      <vt:lpstr>'Div 3'!OSRRefE20_10x</vt:lpstr>
      <vt:lpstr>'Div 4'!OSRRefE20_10x</vt:lpstr>
      <vt:lpstr>'Div 5'!OSRRefE20_10x</vt:lpstr>
      <vt:lpstr>Summary!OSRRefE20_10x</vt:lpstr>
      <vt:lpstr>'201'!OSRRefE20_11x</vt:lpstr>
      <vt:lpstr>'202'!OSRRefE20_11x</vt:lpstr>
      <vt:lpstr>'203'!OSRRefE20_11x</vt:lpstr>
      <vt:lpstr>'300'!OSRRefE20_11x</vt:lpstr>
      <vt:lpstr>'300 &amp; 317'!OSRRefE20_11x</vt:lpstr>
      <vt:lpstr>'301'!OSRRefE20_11x</vt:lpstr>
      <vt:lpstr>'308'!OSRRefE20_11x</vt:lpstr>
      <vt:lpstr>'310'!OSRRefE20_11x</vt:lpstr>
      <vt:lpstr>'310 &amp; 491'!OSRRefE20_11x</vt:lpstr>
      <vt:lpstr>'311'!OSRRefE20_11x</vt:lpstr>
      <vt:lpstr>'315'!OSRRefE20_11x</vt:lpstr>
      <vt:lpstr>'321'!OSRRefE20_11x</vt:lpstr>
      <vt:lpstr>'325'!OSRRefE20_11x</vt:lpstr>
      <vt:lpstr>'326'!OSRRefE20_11x</vt:lpstr>
      <vt:lpstr>'331'!OSRRefE20_11x</vt:lpstr>
      <vt:lpstr>'405'!OSRRefE20_11x</vt:lpstr>
      <vt:lpstr>'411'!OSRRefE20_11x</vt:lpstr>
      <vt:lpstr>'415'!OSRRefE20_11x</vt:lpstr>
      <vt:lpstr>'418'!OSRRefE20_11x</vt:lpstr>
      <vt:lpstr>'433'!OSRRefE20_11x</vt:lpstr>
      <vt:lpstr>'444'!OSRRefE20_11x</vt:lpstr>
      <vt:lpstr>'450'!OSRRefE20_11x</vt:lpstr>
      <vt:lpstr>'491'!OSRRefE20_11x</vt:lpstr>
      <vt:lpstr>'492'!OSRRefE20_11x</vt:lpstr>
      <vt:lpstr>'501'!OSRRefE20_11x</vt:lpstr>
      <vt:lpstr>'Div 2'!OSRRefE20_11x</vt:lpstr>
      <vt:lpstr>'Div 3'!OSRRefE20_11x</vt:lpstr>
      <vt:lpstr>'Div 4'!OSRRefE20_11x</vt:lpstr>
      <vt:lpstr>'Div 5'!OSRRefE20_11x</vt:lpstr>
      <vt:lpstr>Summary!OSRRefE20_11x</vt:lpstr>
      <vt:lpstr>'201'!OSRRefE20_12x</vt:lpstr>
      <vt:lpstr>'203'!OSRRefE20_12x</vt:lpstr>
      <vt:lpstr>'300'!OSRRefE20_12x</vt:lpstr>
      <vt:lpstr>'300 &amp; 317'!OSRRefE20_12x</vt:lpstr>
      <vt:lpstr>'301'!OSRRefE20_12x</vt:lpstr>
      <vt:lpstr>'308'!OSRRefE20_12x</vt:lpstr>
      <vt:lpstr>'310'!OSRRefE20_12x</vt:lpstr>
      <vt:lpstr>'310 &amp; 491'!OSRRefE20_12x</vt:lpstr>
      <vt:lpstr>'311'!OSRRefE20_12x</vt:lpstr>
      <vt:lpstr>'315'!OSRRefE20_12x</vt:lpstr>
      <vt:lpstr>'325'!OSRRefE20_12x</vt:lpstr>
      <vt:lpstr>'326'!OSRRefE20_12x</vt:lpstr>
      <vt:lpstr>'331'!OSRRefE20_12x</vt:lpstr>
      <vt:lpstr>'405'!OSRRefE20_12x</vt:lpstr>
      <vt:lpstr>'411'!OSRRefE20_12x</vt:lpstr>
      <vt:lpstr>'415'!OSRRefE20_12x</vt:lpstr>
      <vt:lpstr>'418'!OSRRefE20_12x</vt:lpstr>
      <vt:lpstr>'433'!OSRRefE20_12x</vt:lpstr>
      <vt:lpstr>'444'!OSRRefE20_12x</vt:lpstr>
      <vt:lpstr>'450'!OSRRefE20_12x</vt:lpstr>
      <vt:lpstr>'491'!OSRRefE20_12x</vt:lpstr>
      <vt:lpstr>'492'!OSRRefE20_12x</vt:lpstr>
      <vt:lpstr>'501'!OSRRefE20_12x</vt:lpstr>
      <vt:lpstr>'Div 2'!OSRRefE20_12x</vt:lpstr>
      <vt:lpstr>'Div 3'!OSRRefE20_12x</vt:lpstr>
      <vt:lpstr>'Div 4'!OSRRefE20_12x</vt:lpstr>
      <vt:lpstr>'Div 5'!OSRRefE20_12x</vt:lpstr>
      <vt:lpstr>Summary!OSRRefE20_12x</vt:lpstr>
      <vt:lpstr>'201'!OSRRefE20_13x</vt:lpstr>
      <vt:lpstr>'203'!OSRRefE20_13x</vt:lpstr>
      <vt:lpstr>'300'!OSRRefE20_13x</vt:lpstr>
      <vt:lpstr>'300 &amp; 317'!OSRRefE20_13x</vt:lpstr>
      <vt:lpstr>'301'!OSRRefE20_13x</vt:lpstr>
      <vt:lpstr>'310'!OSRRefE20_13x</vt:lpstr>
      <vt:lpstr>'310 &amp; 491'!OSRRefE20_13x</vt:lpstr>
      <vt:lpstr>'315'!OSRRefE20_13x</vt:lpstr>
      <vt:lpstr>'325'!OSRRefE20_13x</vt:lpstr>
      <vt:lpstr>'326'!OSRRefE20_13x</vt:lpstr>
      <vt:lpstr>'331'!OSRRefE20_13x</vt:lpstr>
      <vt:lpstr>'405'!OSRRefE20_13x</vt:lpstr>
      <vt:lpstr>'415'!OSRRefE20_13x</vt:lpstr>
      <vt:lpstr>'418'!OSRRefE20_13x</vt:lpstr>
      <vt:lpstr>'433'!OSRRefE20_13x</vt:lpstr>
      <vt:lpstr>'444'!OSRRefE20_13x</vt:lpstr>
      <vt:lpstr>'450'!OSRRefE20_13x</vt:lpstr>
      <vt:lpstr>'491'!OSRRefE20_13x</vt:lpstr>
      <vt:lpstr>'492'!OSRRefE20_13x</vt:lpstr>
      <vt:lpstr>'501'!OSRRefE20_13x</vt:lpstr>
      <vt:lpstr>'Div 2'!OSRRefE20_13x</vt:lpstr>
      <vt:lpstr>'Div 3'!OSRRefE20_13x</vt:lpstr>
      <vt:lpstr>'Div 4'!OSRRefE20_13x</vt:lpstr>
      <vt:lpstr>'Div 5'!OSRRefE20_13x</vt:lpstr>
      <vt:lpstr>Summary!OSRRefE20_13x</vt:lpstr>
      <vt:lpstr>'201'!OSRRefE20_14x</vt:lpstr>
      <vt:lpstr>'203'!OSRRefE20_14x</vt:lpstr>
      <vt:lpstr>'300'!OSRRefE20_14x</vt:lpstr>
      <vt:lpstr>'300 &amp; 317'!OSRRefE20_14x</vt:lpstr>
      <vt:lpstr>'301'!OSRRefE20_14x</vt:lpstr>
      <vt:lpstr>'310'!OSRRefE20_14x</vt:lpstr>
      <vt:lpstr>'310 &amp; 491'!OSRRefE20_14x</vt:lpstr>
      <vt:lpstr>'315'!OSRRefE20_14x</vt:lpstr>
      <vt:lpstr>'325'!OSRRefE20_14x</vt:lpstr>
      <vt:lpstr>'326'!OSRRefE20_14x</vt:lpstr>
      <vt:lpstr>'331'!OSRRefE20_14x</vt:lpstr>
      <vt:lpstr>'405'!OSRRefE20_14x</vt:lpstr>
      <vt:lpstr>'415'!OSRRefE20_14x</vt:lpstr>
      <vt:lpstr>'418'!OSRRefE20_14x</vt:lpstr>
      <vt:lpstr>'433'!OSRRefE20_14x</vt:lpstr>
      <vt:lpstr>'444'!OSRRefE20_14x</vt:lpstr>
      <vt:lpstr>'450'!OSRRefE20_14x</vt:lpstr>
      <vt:lpstr>'491'!OSRRefE20_14x</vt:lpstr>
      <vt:lpstr>'492'!OSRRefE20_14x</vt:lpstr>
      <vt:lpstr>'Div 2'!OSRRefE20_14x</vt:lpstr>
      <vt:lpstr>'Div 3'!OSRRefE20_14x</vt:lpstr>
      <vt:lpstr>'Div 4'!OSRRefE20_14x</vt:lpstr>
      <vt:lpstr>Summary!OSRRefE20_14x</vt:lpstr>
      <vt:lpstr>'201'!OSRRefE20_15x</vt:lpstr>
      <vt:lpstr>'300'!OSRRefE20_15x</vt:lpstr>
      <vt:lpstr>'300 &amp; 317'!OSRRefE20_15x</vt:lpstr>
      <vt:lpstr>'301'!OSRRefE20_15x</vt:lpstr>
      <vt:lpstr>'310'!OSRRefE20_15x</vt:lpstr>
      <vt:lpstr>'310 &amp; 491'!OSRRefE20_15x</vt:lpstr>
      <vt:lpstr>'315'!OSRRefE20_15x</vt:lpstr>
      <vt:lpstr>'326'!OSRRefE20_15x</vt:lpstr>
      <vt:lpstr>'331'!OSRRefE20_15x</vt:lpstr>
      <vt:lpstr>'405'!OSRRefE20_15x</vt:lpstr>
      <vt:lpstr>'415'!OSRRefE20_15x</vt:lpstr>
      <vt:lpstr>'418'!OSRRefE20_15x</vt:lpstr>
      <vt:lpstr>'433'!OSRRefE20_15x</vt:lpstr>
      <vt:lpstr>'444'!OSRRefE20_15x</vt:lpstr>
      <vt:lpstr>'450'!OSRRefE20_15x</vt:lpstr>
      <vt:lpstr>'491'!OSRRefE20_15x</vt:lpstr>
      <vt:lpstr>'492'!OSRRefE20_15x</vt:lpstr>
      <vt:lpstr>'Div 2'!OSRRefE20_15x</vt:lpstr>
      <vt:lpstr>'Div 3'!OSRRefE20_15x</vt:lpstr>
      <vt:lpstr>'Div 4'!OSRRefE20_15x</vt:lpstr>
      <vt:lpstr>Summary!OSRRefE20_15x</vt:lpstr>
      <vt:lpstr>'300'!OSRRefE20_16x</vt:lpstr>
      <vt:lpstr>'300 &amp; 317'!OSRRefE20_16x</vt:lpstr>
      <vt:lpstr>'301'!OSRRefE20_16x</vt:lpstr>
      <vt:lpstr>'310'!OSRRefE20_16x</vt:lpstr>
      <vt:lpstr>'310 &amp; 491'!OSRRefE20_16x</vt:lpstr>
      <vt:lpstr>'326'!OSRRefE20_16x</vt:lpstr>
      <vt:lpstr>'331'!OSRRefE20_16x</vt:lpstr>
      <vt:lpstr>'415'!OSRRefE20_16x</vt:lpstr>
      <vt:lpstr>'444'!OSRRefE20_16x</vt:lpstr>
      <vt:lpstr>'491'!OSRRefE20_16x</vt:lpstr>
      <vt:lpstr>'492'!OSRRefE20_16x</vt:lpstr>
      <vt:lpstr>'Div 2'!OSRRefE20_16x</vt:lpstr>
      <vt:lpstr>'Div 3'!OSRRefE20_16x</vt:lpstr>
      <vt:lpstr>'Div 4'!OSRRefE20_16x</vt:lpstr>
      <vt:lpstr>Summary!OSRRefE20_16x</vt:lpstr>
      <vt:lpstr>'300'!OSRRefE20_17x</vt:lpstr>
      <vt:lpstr>'300 &amp; 317'!OSRRefE20_17x</vt:lpstr>
      <vt:lpstr>'301'!OSRRefE20_17x</vt:lpstr>
      <vt:lpstr>'310'!OSRRefE20_17x</vt:lpstr>
      <vt:lpstr>'310 &amp; 491'!OSRRefE20_17x</vt:lpstr>
      <vt:lpstr>'331'!OSRRefE20_17x</vt:lpstr>
      <vt:lpstr>'415'!OSRRefE20_17x</vt:lpstr>
      <vt:lpstr>'491'!OSRRefE20_17x</vt:lpstr>
      <vt:lpstr>'492'!OSRRefE20_17x</vt:lpstr>
      <vt:lpstr>'Div 2'!OSRRefE20_17x</vt:lpstr>
      <vt:lpstr>'Div 3'!OSRRefE20_17x</vt:lpstr>
      <vt:lpstr>'Div 4'!OSRRefE20_17x</vt:lpstr>
      <vt:lpstr>Summary!OSRRefE20_17x</vt:lpstr>
      <vt:lpstr>'300'!OSRRefE20_18x</vt:lpstr>
      <vt:lpstr>'300 &amp; 317'!OSRRefE20_18x</vt:lpstr>
      <vt:lpstr>'301'!OSRRefE20_18x</vt:lpstr>
      <vt:lpstr>'310 &amp; 491'!OSRRefE20_18x</vt:lpstr>
      <vt:lpstr>'331'!OSRRefE20_18x</vt:lpstr>
      <vt:lpstr>'491'!OSRRefE20_18x</vt:lpstr>
      <vt:lpstr>'Div 2'!OSRRefE20_18x</vt:lpstr>
      <vt:lpstr>'Div 3'!OSRRefE20_18x</vt:lpstr>
      <vt:lpstr>'Div 4'!OSRRefE20_18x</vt:lpstr>
      <vt:lpstr>Summary!OSRRefE20_18x</vt:lpstr>
      <vt:lpstr>'300'!OSRRefE20_19x</vt:lpstr>
      <vt:lpstr>'300 &amp; 317'!OSRRefE20_19x</vt:lpstr>
      <vt:lpstr>'301'!OSRRefE20_19x</vt:lpstr>
      <vt:lpstr>'310 &amp; 491'!OSRRefE20_19x</vt:lpstr>
      <vt:lpstr>'331'!OSRRefE20_19x</vt:lpstr>
      <vt:lpstr>'491'!OSRRefE20_19x</vt:lpstr>
      <vt:lpstr>'Div 2'!OSRRefE20_19x</vt:lpstr>
      <vt:lpstr>'Div 3'!OSRRefE20_19x</vt:lpstr>
      <vt:lpstr>'Div 4'!OSRRefE20_19x</vt:lpstr>
      <vt:lpstr>Summary!OSRRefE20_19x</vt:lpstr>
      <vt:lpstr>'200'!OSRRefE20_1x</vt:lpstr>
      <vt:lpstr>'201'!OSRRefE20_1x</vt:lpstr>
      <vt:lpstr>'202'!OSRRefE20_1x</vt:lpstr>
      <vt:lpstr>'203'!OSRRefE20_1x</vt:lpstr>
      <vt:lpstr>'204'!OSRRefE20_1x</vt:lpstr>
      <vt:lpstr>'205'!OSRRefE20_1x</vt:lpstr>
      <vt:lpstr>'206'!OSRRefE20_1x</vt:lpstr>
      <vt:lpstr>'300'!OSRRefE20_1x</vt:lpstr>
      <vt:lpstr>'300 &amp; 317'!OSRRefE20_1x</vt:lpstr>
      <vt:lpstr>'301'!OSRRefE20_1x</vt:lpstr>
      <vt:lpstr>'307'!OSRRefE20_1x</vt:lpstr>
      <vt:lpstr>'308'!OSRRefE20_1x</vt:lpstr>
      <vt:lpstr>'309'!OSRRefE20_1x</vt:lpstr>
      <vt:lpstr>'310'!OSRRefE20_1x</vt:lpstr>
      <vt:lpstr>'310 &amp; 491'!OSRRefE20_1x</vt:lpstr>
      <vt:lpstr>'311'!OSRRefE20_1x</vt:lpstr>
      <vt:lpstr>'315'!OSRRefE20_1x</vt:lpstr>
      <vt:lpstr>'316'!OSRRefE20_1x</vt:lpstr>
      <vt:lpstr>'317'!OSRRefE20_1x</vt:lpstr>
      <vt:lpstr>'321'!OSRRefE20_1x</vt:lpstr>
      <vt:lpstr>'325'!OSRRefE20_1x</vt:lpstr>
      <vt:lpstr>'326'!OSRRefE20_1x</vt:lpstr>
      <vt:lpstr>'330'!OSRRefE20_1x</vt:lpstr>
      <vt:lpstr>'331'!OSRRefE20_1x</vt:lpstr>
      <vt:lpstr>'332'!OSRRefE20_1x</vt:lpstr>
      <vt:lpstr>'405'!OSRRefE20_1x</vt:lpstr>
      <vt:lpstr>'411'!OSRRefE20_1x</vt:lpstr>
      <vt:lpstr>'412'!OSRRefE20_1x</vt:lpstr>
      <vt:lpstr>'415'!OSRRefE20_1x</vt:lpstr>
      <vt:lpstr>'418'!OSRRefE20_1x</vt:lpstr>
      <vt:lpstr>'423'!OSRRefE20_1x</vt:lpstr>
      <vt:lpstr>'430'!OSRRefE20_1x</vt:lpstr>
      <vt:lpstr>'433'!OSRRefE20_1x</vt:lpstr>
      <vt:lpstr>'444'!OSRRefE20_1x</vt:lpstr>
      <vt:lpstr>'450'!OSRRefE20_1x</vt:lpstr>
      <vt:lpstr>'491'!OSRRefE20_1x</vt:lpstr>
      <vt:lpstr>'492'!OSRRefE20_1x</vt:lpstr>
      <vt:lpstr>'501'!OSRRefE20_1x</vt:lpstr>
      <vt:lpstr>'Div 2'!OSRRefE20_1x</vt:lpstr>
      <vt:lpstr>'Div 3'!OSRRefE20_1x</vt:lpstr>
      <vt:lpstr>'Div 4'!OSRRefE20_1x</vt:lpstr>
      <vt:lpstr>'Div 5'!OSRRefE20_1x</vt:lpstr>
      <vt:lpstr>'Div 6'!OSRRefE20_1x</vt:lpstr>
      <vt:lpstr>Summary!OSRRefE20_1x</vt:lpstr>
      <vt:lpstr>'300'!OSRRefE20_20x</vt:lpstr>
      <vt:lpstr>'300 &amp; 317'!OSRRefE20_20x</vt:lpstr>
      <vt:lpstr>'301'!OSRRefE20_20x</vt:lpstr>
      <vt:lpstr>'310 &amp; 491'!OSRRefE20_20x</vt:lpstr>
      <vt:lpstr>'Div 3'!OSRRefE20_20x</vt:lpstr>
      <vt:lpstr>'Div 4'!OSRRefE20_20x</vt:lpstr>
      <vt:lpstr>Summary!OSRRefE20_20x</vt:lpstr>
      <vt:lpstr>'300'!OSRRefE20_21x</vt:lpstr>
      <vt:lpstr>'300 &amp; 317'!OSRRefE20_21x</vt:lpstr>
      <vt:lpstr>'Div 3'!OSRRefE20_21x</vt:lpstr>
      <vt:lpstr>'Div 4'!OSRRefE20_21x</vt:lpstr>
      <vt:lpstr>Summary!OSRRefE20_21x</vt:lpstr>
      <vt:lpstr>'300'!OSRRefE20_22x</vt:lpstr>
      <vt:lpstr>'300 &amp; 317'!OSRRefE20_22x</vt:lpstr>
      <vt:lpstr>'Div 3'!OSRRefE20_22x</vt:lpstr>
      <vt:lpstr>Summary!OSRRefE20_22x</vt:lpstr>
      <vt:lpstr>'300'!OSRRefE20_23x</vt:lpstr>
      <vt:lpstr>'300 &amp; 317'!OSRRefE20_23x</vt:lpstr>
      <vt:lpstr>'Div 3'!OSRRefE20_23x</vt:lpstr>
      <vt:lpstr>Summary!OSRRefE20_23x</vt:lpstr>
      <vt:lpstr>'300'!OSRRefE20_24x</vt:lpstr>
      <vt:lpstr>'300 &amp; 317'!OSRRefE20_24x</vt:lpstr>
      <vt:lpstr>'Div 3'!OSRRefE20_24x</vt:lpstr>
      <vt:lpstr>Summary!OSRRefE20_24x</vt:lpstr>
      <vt:lpstr>'Div 3'!OSRRefE20_25x</vt:lpstr>
      <vt:lpstr>Summary!OSRRefE20_25x</vt:lpstr>
      <vt:lpstr>Summary!OSRRefE20_26x</vt:lpstr>
      <vt:lpstr>'200'!OSRRefE20_2x</vt:lpstr>
      <vt:lpstr>'201'!OSRRefE20_2x</vt:lpstr>
      <vt:lpstr>'202'!OSRRefE20_2x</vt:lpstr>
      <vt:lpstr>'203'!OSRRefE20_2x</vt:lpstr>
      <vt:lpstr>'204'!OSRRefE20_2x</vt:lpstr>
      <vt:lpstr>'205'!OSRRefE20_2x</vt:lpstr>
      <vt:lpstr>'206'!OSRRefE20_2x</vt:lpstr>
      <vt:lpstr>'300'!OSRRefE20_2x</vt:lpstr>
      <vt:lpstr>'300 &amp; 317'!OSRRefE20_2x</vt:lpstr>
      <vt:lpstr>'301'!OSRRefE20_2x</vt:lpstr>
      <vt:lpstr>'307'!OSRRefE20_2x</vt:lpstr>
      <vt:lpstr>'308'!OSRRefE20_2x</vt:lpstr>
      <vt:lpstr>'309'!OSRRefE20_2x</vt:lpstr>
      <vt:lpstr>'310'!OSRRefE20_2x</vt:lpstr>
      <vt:lpstr>'310 &amp; 491'!OSRRefE20_2x</vt:lpstr>
      <vt:lpstr>'311'!OSRRefE20_2x</vt:lpstr>
      <vt:lpstr>'315'!OSRRefE20_2x</vt:lpstr>
      <vt:lpstr>'316'!OSRRefE20_2x</vt:lpstr>
      <vt:lpstr>'317'!OSRRefE20_2x</vt:lpstr>
      <vt:lpstr>'321'!OSRRefE20_2x</vt:lpstr>
      <vt:lpstr>'325'!OSRRefE20_2x</vt:lpstr>
      <vt:lpstr>'326'!OSRRefE20_2x</vt:lpstr>
      <vt:lpstr>'330'!OSRRefE20_2x</vt:lpstr>
      <vt:lpstr>'331'!OSRRefE20_2x</vt:lpstr>
      <vt:lpstr>'332'!OSRRefE20_2x</vt:lpstr>
      <vt:lpstr>'405'!OSRRefE20_2x</vt:lpstr>
      <vt:lpstr>'411'!OSRRefE20_2x</vt:lpstr>
      <vt:lpstr>'415'!OSRRefE20_2x</vt:lpstr>
      <vt:lpstr>'418'!OSRRefE20_2x</vt:lpstr>
      <vt:lpstr>'423'!OSRRefE20_2x</vt:lpstr>
      <vt:lpstr>'430'!OSRRefE20_2x</vt:lpstr>
      <vt:lpstr>'433'!OSRRefE20_2x</vt:lpstr>
      <vt:lpstr>'444'!OSRRefE20_2x</vt:lpstr>
      <vt:lpstr>'450'!OSRRefE20_2x</vt:lpstr>
      <vt:lpstr>'491'!OSRRefE20_2x</vt:lpstr>
      <vt:lpstr>'492'!OSRRefE20_2x</vt:lpstr>
      <vt:lpstr>'501'!OSRRefE20_2x</vt:lpstr>
      <vt:lpstr>'Div 2'!OSRRefE20_2x</vt:lpstr>
      <vt:lpstr>'Div 3'!OSRRefE20_2x</vt:lpstr>
      <vt:lpstr>'Div 4'!OSRRefE20_2x</vt:lpstr>
      <vt:lpstr>'Div 5'!OSRRefE20_2x</vt:lpstr>
      <vt:lpstr>'Div 6'!OSRRefE20_2x</vt:lpstr>
      <vt:lpstr>Summary!OSRRefE20_2x</vt:lpstr>
      <vt:lpstr>'200'!OSRRefE20_3x</vt:lpstr>
      <vt:lpstr>'201'!OSRRefE20_3x</vt:lpstr>
      <vt:lpstr>'202'!OSRRefE20_3x</vt:lpstr>
      <vt:lpstr>'203'!OSRRefE20_3x</vt:lpstr>
      <vt:lpstr>'204'!OSRRefE20_3x</vt:lpstr>
      <vt:lpstr>'205'!OSRRefE20_3x</vt:lpstr>
      <vt:lpstr>'206'!OSRRefE20_3x</vt:lpstr>
      <vt:lpstr>'300'!OSRRefE20_3x</vt:lpstr>
      <vt:lpstr>'300 &amp; 317'!OSRRefE20_3x</vt:lpstr>
      <vt:lpstr>'301'!OSRRefE20_3x</vt:lpstr>
      <vt:lpstr>'307'!OSRRefE20_3x</vt:lpstr>
      <vt:lpstr>'308'!OSRRefE20_3x</vt:lpstr>
      <vt:lpstr>'310'!OSRRefE20_3x</vt:lpstr>
      <vt:lpstr>'310 &amp; 491'!OSRRefE20_3x</vt:lpstr>
      <vt:lpstr>'311'!OSRRefE20_3x</vt:lpstr>
      <vt:lpstr>'315'!OSRRefE20_3x</vt:lpstr>
      <vt:lpstr>'316'!OSRRefE20_3x</vt:lpstr>
      <vt:lpstr>'317'!OSRRefE20_3x</vt:lpstr>
      <vt:lpstr>'321'!OSRRefE20_3x</vt:lpstr>
      <vt:lpstr>'325'!OSRRefE20_3x</vt:lpstr>
      <vt:lpstr>'326'!OSRRefE20_3x</vt:lpstr>
      <vt:lpstr>'330'!OSRRefE20_3x</vt:lpstr>
      <vt:lpstr>'331'!OSRRefE20_3x</vt:lpstr>
      <vt:lpstr>'332'!OSRRefE20_3x</vt:lpstr>
      <vt:lpstr>'405'!OSRRefE20_3x</vt:lpstr>
      <vt:lpstr>'411'!OSRRefE20_3x</vt:lpstr>
      <vt:lpstr>'415'!OSRRefE20_3x</vt:lpstr>
      <vt:lpstr>'418'!OSRRefE20_3x</vt:lpstr>
      <vt:lpstr>'423'!OSRRefE20_3x</vt:lpstr>
      <vt:lpstr>'430'!OSRRefE20_3x</vt:lpstr>
      <vt:lpstr>'433'!OSRRefE20_3x</vt:lpstr>
      <vt:lpstr>'444'!OSRRefE20_3x</vt:lpstr>
      <vt:lpstr>'450'!OSRRefE20_3x</vt:lpstr>
      <vt:lpstr>'491'!OSRRefE20_3x</vt:lpstr>
      <vt:lpstr>'492'!OSRRefE20_3x</vt:lpstr>
      <vt:lpstr>'501'!OSRRefE20_3x</vt:lpstr>
      <vt:lpstr>'Div 2'!OSRRefE20_3x</vt:lpstr>
      <vt:lpstr>'Div 3'!OSRRefE20_3x</vt:lpstr>
      <vt:lpstr>'Div 4'!OSRRefE20_3x</vt:lpstr>
      <vt:lpstr>'Div 5'!OSRRefE20_3x</vt:lpstr>
      <vt:lpstr>'Div 6'!OSRRefE20_3x</vt:lpstr>
      <vt:lpstr>Summary!OSRRefE20_3x</vt:lpstr>
      <vt:lpstr>'201'!OSRRefE20_4x</vt:lpstr>
      <vt:lpstr>'202'!OSRRefE20_4x</vt:lpstr>
      <vt:lpstr>'203'!OSRRefE20_4x</vt:lpstr>
      <vt:lpstr>'204'!OSRRefE20_4x</vt:lpstr>
      <vt:lpstr>'205'!OSRRefE20_4x</vt:lpstr>
      <vt:lpstr>'206'!OSRRefE20_4x</vt:lpstr>
      <vt:lpstr>'300'!OSRRefE20_4x</vt:lpstr>
      <vt:lpstr>'300 &amp; 317'!OSRRefE20_4x</vt:lpstr>
      <vt:lpstr>'301'!OSRRefE20_4x</vt:lpstr>
      <vt:lpstr>'307'!OSRRefE20_4x</vt:lpstr>
      <vt:lpstr>'308'!OSRRefE20_4x</vt:lpstr>
      <vt:lpstr>'310'!OSRRefE20_4x</vt:lpstr>
      <vt:lpstr>'310 &amp; 491'!OSRRefE20_4x</vt:lpstr>
      <vt:lpstr>'311'!OSRRefE20_4x</vt:lpstr>
      <vt:lpstr>'315'!OSRRefE20_4x</vt:lpstr>
      <vt:lpstr>'316'!OSRRefE20_4x</vt:lpstr>
      <vt:lpstr>'317'!OSRRefE20_4x</vt:lpstr>
      <vt:lpstr>'321'!OSRRefE20_4x</vt:lpstr>
      <vt:lpstr>'325'!OSRRefE20_4x</vt:lpstr>
      <vt:lpstr>'326'!OSRRefE20_4x</vt:lpstr>
      <vt:lpstr>'330'!OSRRefE20_4x</vt:lpstr>
      <vt:lpstr>'331'!OSRRefE20_4x</vt:lpstr>
      <vt:lpstr>'332'!OSRRefE20_4x</vt:lpstr>
      <vt:lpstr>'405'!OSRRefE20_4x</vt:lpstr>
      <vt:lpstr>'411'!OSRRefE20_4x</vt:lpstr>
      <vt:lpstr>'415'!OSRRefE20_4x</vt:lpstr>
      <vt:lpstr>'418'!OSRRefE20_4x</vt:lpstr>
      <vt:lpstr>'430'!OSRRefE20_4x</vt:lpstr>
      <vt:lpstr>'433'!OSRRefE20_4x</vt:lpstr>
      <vt:lpstr>'444'!OSRRefE20_4x</vt:lpstr>
      <vt:lpstr>'450'!OSRRefE20_4x</vt:lpstr>
      <vt:lpstr>'491'!OSRRefE20_4x</vt:lpstr>
      <vt:lpstr>'492'!OSRRefE20_4x</vt:lpstr>
      <vt:lpstr>'501'!OSRRefE20_4x</vt:lpstr>
      <vt:lpstr>'Div 2'!OSRRefE20_4x</vt:lpstr>
      <vt:lpstr>'Div 3'!OSRRefE20_4x</vt:lpstr>
      <vt:lpstr>'Div 4'!OSRRefE20_4x</vt:lpstr>
      <vt:lpstr>'Div 5'!OSRRefE20_4x</vt:lpstr>
      <vt:lpstr>'Div 6'!OSRRefE20_4x</vt:lpstr>
      <vt:lpstr>Summary!OSRRefE20_4x</vt:lpstr>
      <vt:lpstr>'201'!OSRRefE20_5x</vt:lpstr>
      <vt:lpstr>'202'!OSRRefE20_5x</vt:lpstr>
      <vt:lpstr>'203'!OSRRefE20_5x</vt:lpstr>
      <vt:lpstr>'204'!OSRRefE20_5x</vt:lpstr>
      <vt:lpstr>'205'!OSRRefE20_5x</vt:lpstr>
      <vt:lpstr>'206'!OSRRefE20_5x</vt:lpstr>
      <vt:lpstr>'300'!OSRRefE20_5x</vt:lpstr>
      <vt:lpstr>'300 &amp; 317'!OSRRefE20_5x</vt:lpstr>
      <vt:lpstr>'301'!OSRRefE20_5x</vt:lpstr>
      <vt:lpstr>'307'!OSRRefE20_5x</vt:lpstr>
      <vt:lpstr>'308'!OSRRefE20_5x</vt:lpstr>
      <vt:lpstr>'310'!OSRRefE20_5x</vt:lpstr>
      <vt:lpstr>'310 &amp; 491'!OSRRefE20_5x</vt:lpstr>
      <vt:lpstr>'311'!OSRRefE20_5x</vt:lpstr>
      <vt:lpstr>'315'!OSRRefE20_5x</vt:lpstr>
      <vt:lpstr>'316'!OSRRefE20_5x</vt:lpstr>
      <vt:lpstr>'317'!OSRRefE20_5x</vt:lpstr>
      <vt:lpstr>'321'!OSRRefE20_5x</vt:lpstr>
      <vt:lpstr>'325'!OSRRefE20_5x</vt:lpstr>
      <vt:lpstr>'326'!OSRRefE20_5x</vt:lpstr>
      <vt:lpstr>'330'!OSRRefE20_5x</vt:lpstr>
      <vt:lpstr>'331'!OSRRefE20_5x</vt:lpstr>
      <vt:lpstr>'332'!OSRRefE20_5x</vt:lpstr>
      <vt:lpstr>'405'!OSRRefE20_5x</vt:lpstr>
      <vt:lpstr>'411'!OSRRefE20_5x</vt:lpstr>
      <vt:lpstr>'415'!OSRRefE20_5x</vt:lpstr>
      <vt:lpstr>'418'!OSRRefE20_5x</vt:lpstr>
      <vt:lpstr>'430'!OSRRefE20_5x</vt:lpstr>
      <vt:lpstr>'433'!OSRRefE20_5x</vt:lpstr>
      <vt:lpstr>'444'!OSRRefE20_5x</vt:lpstr>
      <vt:lpstr>'450'!OSRRefE20_5x</vt:lpstr>
      <vt:lpstr>'491'!OSRRefE20_5x</vt:lpstr>
      <vt:lpstr>'492'!OSRRefE20_5x</vt:lpstr>
      <vt:lpstr>'501'!OSRRefE20_5x</vt:lpstr>
      <vt:lpstr>'Div 2'!OSRRefE20_5x</vt:lpstr>
      <vt:lpstr>'Div 3'!OSRRefE20_5x</vt:lpstr>
      <vt:lpstr>'Div 4'!OSRRefE20_5x</vt:lpstr>
      <vt:lpstr>'Div 5'!OSRRefE20_5x</vt:lpstr>
      <vt:lpstr>'Div 6'!OSRRefE20_5x</vt:lpstr>
      <vt:lpstr>Summary!OSRRefE20_5x</vt:lpstr>
      <vt:lpstr>'201'!OSRRefE20_6x</vt:lpstr>
      <vt:lpstr>'202'!OSRRefE20_6x</vt:lpstr>
      <vt:lpstr>'203'!OSRRefE20_6x</vt:lpstr>
      <vt:lpstr>'204'!OSRRefE20_6x</vt:lpstr>
      <vt:lpstr>'205'!OSRRefE20_6x</vt:lpstr>
      <vt:lpstr>'300'!OSRRefE20_6x</vt:lpstr>
      <vt:lpstr>'300 &amp; 317'!OSRRefE20_6x</vt:lpstr>
      <vt:lpstr>'301'!OSRRefE20_6x</vt:lpstr>
      <vt:lpstr>'307'!OSRRefE20_6x</vt:lpstr>
      <vt:lpstr>'308'!OSRRefE20_6x</vt:lpstr>
      <vt:lpstr>'310'!OSRRefE20_6x</vt:lpstr>
      <vt:lpstr>'310 &amp; 491'!OSRRefE20_6x</vt:lpstr>
      <vt:lpstr>'311'!OSRRefE20_6x</vt:lpstr>
      <vt:lpstr>'315'!OSRRefE20_6x</vt:lpstr>
      <vt:lpstr>'316'!OSRRefE20_6x</vt:lpstr>
      <vt:lpstr>'317'!OSRRefE20_6x</vt:lpstr>
      <vt:lpstr>'321'!OSRRefE20_6x</vt:lpstr>
      <vt:lpstr>'325'!OSRRefE20_6x</vt:lpstr>
      <vt:lpstr>'326'!OSRRefE20_6x</vt:lpstr>
      <vt:lpstr>'330'!OSRRefE20_6x</vt:lpstr>
      <vt:lpstr>'331'!OSRRefE20_6x</vt:lpstr>
      <vt:lpstr>'332'!OSRRefE20_6x</vt:lpstr>
      <vt:lpstr>'405'!OSRRefE20_6x</vt:lpstr>
      <vt:lpstr>'411'!OSRRefE20_6x</vt:lpstr>
      <vt:lpstr>'415'!OSRRefE20_6x</vt:lpstr>
      <vt:lpstr>'418'!OSRRefE20_6x</vt:lpstr>
      <vt:lpstr>'430'!OSRRefE20_6x</vt:lpstr>
      <vt:lpstr>'433'!OSRRefE20_6x</vt:lpstr>
      <vt:lpstr>'444'!OSRRefE20_6x</vt:lpstr>
      <vt:lpstr>'450'!OSRRefE20_6x</vt:lpstr>
      <vt:lpstr>'491'!OSRRefE20_6x</vt:lpstr>
      <vt:lpstr>'492'!OSRRefE20_6x</vt:lpstr>
      <vt:lpstr>'501'!OSRRefE20_6x</vt:lpstr>
      <vt:lpstr>'Div 2'!OSRRefE20_6x</vt:lpstr>
      <vt:lpstr>'Div 3'!OSRRefE20_6x</vt:lpstr>
      <vt:lpstr>'Div 4'!OSRRefE20_6x</vt:lpstr>
      <vt:lpstr>'Div 5'!OSRRefE20_6x</vt:lpstr>
      <vt:lpstr>'Div 6'!OSRRefE20_6x</vt:lpstr>
      <vt:lpstr>Summary!OSRRefE20_6x</vt:lpstr>
      <vt:lpstr>'201'!OSRRefE20_7x</vt:lpstr>
      <vt:lpstr>'202'!OSRRefE20_7x</vt:lpstr>
      <vt:lpstr>'203'!OSRRefE20_7x</vt:lpstr>
      <vt:lpstr>'204'!OSRRefE20_7x</vt:lpstr>
      <vt:lpstr>'205'!OSRRefE20_7x</vt:lpstr>
      <vt:lpstr>'300'!OSRRefE20_7x</vt:lpstr>
      <vt:lpstr>'300 &amp; 317'!OSRRefE20_7x</vt:lpstr>
      <vt:lpstr>'301'!OSRRefE20_7x</vt:lpstr>
      <vt:lpstr>'307'!OSRRefE20_7x</vt:lpstr>
      <vt:lpstr>'308'!OSRRefE20_7x</vt:lpstr>
      <vt:lpstr>'310'!OSRRefE20_7x</vt:lpstr>
      <vt:lpstr>'310 &amp; 491'!OSRRefE20_7x</vt:lpstr>
      <vt:lpstr>'311'!OSRRefE20_7x</vt:lpstr>
      <vt:lpstr>'315'!OSRRefE20_7x</vt:lpstr>
      <vt:lpstr>'316'!OSRRefE20_7x</vt:lpstr>
      <vt:lpstr>'317'!OSRRefE20_7x</vt:lpstr>
      <vt:lpstr>'321'!OSRRefE20_7x</vt:lpstr>
      <vt:lpstr>'325'!OSRRefE20_7x</vt:lpstr>
      <vt:lpstr>'326'!OSRRefE20_7x</vt:lpstr>
      <vt:lpstr>'330'!OSRRefE20_7x</vt:lpstr>
      <vt:lpstr>'331'!OSRRefE20_7x</vt:lpstr>
      <vt:lpstr>'332'!OSRRefE20_7x</vt:lpstr>
      <vt:lpstr>'405'!OSRRefE20_7x</vt:lpstr>
      <vt:lpstr>'411'!OSRRefE20_7x</vt:lpstr>
      <vt:lpstr>'415'!OSRRefE20_7x</vt:lpstr>
      <vt:lpstr>'418'!OSRRefE20_7x</vt:lpstr>
      <vt:lpstr>'433'!OSRRefE20_7x</vt:lpstr>
      <vt:lpstr>'444'!OSRRefE20_7x</vt:lpstr>
      <vt:lpstr>'450'!OSRRefE20_7x</vt:lpstr>
      <vt:lpstr>'491'!OSRRefE20_7x</vt:lpstr>
      <vt:lpstr>'492'!OSRRefE20_7x</vt:lpstr>
      <vt:lpstr>'501'!OSRRefE20_7x</vt:lpstr>
      <vt:lpstr>'Div 2'!OSRRefE20_7x</vt:lpstr>
      <vt:lpstr>'Div 3'!OSRRefE20_7x</vt:lpstr>
      <vt:lpstr>'Div 4'!OSRRefE20_7x</vt:lpstr>
      <vt:lpstr>'Div 5'!OSRRefE20_7x</vt:lpstr>
      <vt:lpstr>'Div 6'!OSRRefE20_7x</vt:lpstr>
      <vt:lpstr>Summary!OSRRefE20_7x</vt:lpstr>
      <vt:lpstr>'201'!OSRRefE20_8x</vt:lpstr>
      <vt:lpstr>'202'!OSRRefE20_8x</vt:lpstr>
      <vt:lpstr>'203'!OSRRefE20_8x</vt:lpstr>
      <vt:lpstr>'204'!OSRRefE20_8x</vt:lpstr>
      <vt:lpstr>'300'!OSRRefE20_8x</vt:lpstr>
      <vt:lpstr>'300 &amp; 317'!OSRRefE20_8x</vt:lpstr>
      <vt:lpstr>'301'!OSRRefE20_8x</vt:lpstr>
      <vt:lpstr>'307'!OSRRefE20_8x</vt:lpstr>
      <vt:lpstr>'308'!OSRRefE20_8x</vt:lpstr>
      <vt:lpstr>'310'!OSRRefE20_8x</vt:lpstr>
      <vt:lpstr>'310 &amp; 491'!OSRRefE20_8x</vt:lpstr>
      <vt:lpstr>'311'!OSRRefE20_8x</vt:lpstr>
      <vt:lpstr>'315'!OSRRefE20_8x</vt:lpstr>
      <vt:lpstr>'316'!OSRRefE20_8x</vt:lpstr>
      <vt:lpstr>'317'!OSRRefE20_8x</vt:lpstr>
      <vt:lpstr>'321'!OSRRefE20_8x</vt:lpstr>
      <vt:lpstr>'325'!OSRRefE20_8x</vt:lpstr>
      <vt:lpstr>'326'!OSRRefE20_8x</vt:lpstr>
      <vt:lpstr>'330'!OSRRefE20_8x</vt:lpstr>
      <vt:lpstr>'331'!OSRRefE20_8x</vt:lpstr>
      <vt:lpstr>'332'!OSRRefE20_8x</vt:lpstr>
      <vt:lpstr>'405'!OSRRefE20_8x</vt:lpstr>
      <vt:lpstr>'411'!OSRRefE20_8x</vt:lpstr>
      <vt:lpstr>'415'!OSRRefE20_8x</vt:lpstr>
      <vt:lpstr>'418'!OSRRefE20_8x</vt:lpstr>
      <vt:lpstr>'433'!OSRRefE20_8x</vt:lpstr>
      <vt:lpstr>'444'!OSRRefE20_8x</vt:lpstr>
      <vt:lpstr>'450'!OSRRefE20_8x</vt:lpstr>
      <vt:lpstr>'491'!OSRRefE20_8x</vt:lpstr>
      <vt:lpstr>'492'!OSRRefE20_8x</vt:lpstr>
      <vt:lpstr>'501'!OSRRefE20_8x</vt:lpstr>
      <vt:lpstr>'Div 2'!OSRRefE20_8x</vt:lpstr>
      <vt:lpstr>'Div 3'!OSRRefE20_8x</vt:lpstr>
      <vt:lpstr>'Div 4'!OSRRefE20_8x</vt:lpstr>
      <vt:lpstr>'Div 5'!OSRRefE20_8x</vt:lpstr>
      <vt:lpstr>'Div 6'!OSRRefE20_8x</vt:lpstr>
      <vt:lpstr>Summary!OSRRefE20_8x</vt:lpstr>
      <vt:lpstr>'201'!OSRRefE20_9x</vt:lpstr>
      <vt:lpstr>'202'!OSRRefE20_9x</vt:lpstr>
      <vt:lpstr>'203'!OSRRefE20_9x</vt:lpstr>
      <vt:lpstr>'300'!OSRRefE20_9x</vt:lpstr>
      <vt:lpstr>'300 &amp; 317'!OSRRefE20_9x</vt:lpstr>
      <vt:lpstr>'301'!OSRRefE20_9x</vt:lpstr>
      <vt:lpstr>'307'!OSRRefE20_9x</vt:lpstr>
      <vt:lpstr>'308'!OSRRefE20_9x</vt:lpstr>
      <vt:lpstr>'310'!OSRRefE20_9x</vt:lpstr>
      <vt:lpstr>'310 &amp; 491'!OSRRefE20_9x</vt:lpstr>
      <vt:lpstr>'311'!OSRRefE20_9x</vt:lpstr>
      <vt:lpstr>'315'!OSRRefE20_9x</vt:lpstr>
      <vt:lpstr>'316'!OSRRefE20_9x</vt:lpstr>
      <vt:lpstr>'317'!OSRRefE20_9x</vt:lpstr>
      <vt:lpstr>'321'!OSRRefE20_9x</vt:lpstr>
      <vt:lpstr>'325'!OSRRefE20_9x</vt:lpstr>
      <vt:lpstr>'326'!OSRRefE20_9x</vt:lpstr>
      <vt:lpstr>'330'!OSRRefE20_9x</vt:lpstr>
      <vt:lpstr>'331'!OSRRefE20_9x</vt:lpstr>
      <vt:lpstr>'332'!OSRRefE20_9x</vt:lpstr>
      <vt:lpstr>'405'!OSRRefE20_9x</vt:lpstr>
      <vt:lpstr>'411'!OSRRefE20_9x</vt:lpstr>
      <vt:lpstr>'415'!OSRRefE20_9x</vt:lpstr>
      <vt:lpstr>'418'!OSRRefE20_9x</vt:lpstr>
      <vt:lpstr>'433'!OSRRefE20_9x</vt:lpstr>
      <vt:lpstr>'444'!OSRRefE20_9x</vt:lpstr>
      <vt:lpstr>'450'!OSRRefE20_9x</vt:lpstr>
      <vt:lpstr>'491'!OSRRefE20_9x</vt:lpstr>
      <vt:lpstr>'492'!OSRRefE20_9x</vt:lpstr>
      <vt:lpstr>'501'!OSRRefE20_9x</vt:lpstr>
      <vt:lpstr>'Div 2'!OSRRefE20_9x</vt:lpstr>
      <vt:lpstr>'Div 3'!OSRRefE20_9x</vt:lpstr>
      <vt:lpstr>'Div 4'!OSRRefE20_9x</vt:lpstr>
      <vt:lpstr>'Div 5'!OSRRefE20_9x</vt:lpstr>
      <vt:lpstr>'Div 6'!OSRRefE20_9x</vt:lpstr>
      <vt:lpstr>Summary!OSRRefE20_9x</vt:lpstr>
      <vt:lpstr>'200'!OSRRefE20x_0</vt:lpstr>
      <vt:lpstr>'201'!OSRRefE20x_0</vt:lpstr>
      <vt:lpstr>'202'!OSRRefE20x_0</vt:lpstr>
      <vt:lpstr>'203'!OSRRefE20x_0</vt:lpstr>
      <vt:lpstr>'204'!OSRRefE20x_0</vt:lpstr>
      <vt:lpstr>'205'!OSRRefE20x_0</vt:lpstr>
      <vt:lpstr>'206'!OSRRefE20x_0</vt:lpstr>
      <vt:lpstr>'300'!OSRRefE20x_0</vt:lpstr>
      <vt:lpstr>'300 &amp; 317'!OSRRefE20x_0</vt:lpstr>
      <vt:lpstr>'301'!OSRRefE20x_0</vt:lpstr>
      <vt:lpstr>'307'!OSRRefE20x_0</vt:lpstr>
      <vt:lpstr>'308'!OSRRefE20x_0</vt:lpstr>
      <vt:lpstr>'309'!OSRRefE20x_0</vt:lpstr>
      <vt:lpstr>'310'!OSRRefE20x_0</vt:lpstr>
      <vt:lpstr>'310 &amp; 491'!OSRRefE20x_0</vt:lpstr>
      <vt:lpstr>'311'!OSRRefE20x_0</vt:lpstr>
      <vt:lpstr>'313'!OSRRefE20x_0</vt:lpstr>
      <vt:lpstr>'315'!OSRRefE20x_0</vt:lpstr>
      <vt:lpstr>'316'!OSRRefE20x_0</vt:lpstr>
      <vt:lpstr>'317'!OSRRefE20x_0</vt:lpstr>
      <vt:lpstr>'321'!OSRRefE20x_0</vt:lpstr>
      <vt:lpstr>'325'!OSRRefE20x_0</vt:lpstr>
      <vt:lpstr>'326'!OSRRefE20x_0</vt:lpstr>
      <vt:lpstr>'327'!OSRRefE20x_0</vt:lpstr>
      <vt:lpstr>'330'!OSRRefE20x_0</vt:lpstr>
      <vt:lpstr>'331'!OSRRefE20x_0</vt:lpstr>
      <vt:lpstr>'332'!OSRRefE20x_0</vt:lpstr>
      <vt:lpstr>'405'!OSRRefE20x_0</vt:lpstr>
      <vt:lpstr>'411'!OSRRefE20x_0</vt:lpstr>
      <vt:lpstr>'412'!OSRRefE20x_0</vt:lpstr>
      <vt:lpstr>'413'!OSRRefE20x_0</vt:lpstr>
      <vt:lpstr>'415'!OSRRefE20x_0</vt:lpstr>
      <vt:lpstr>'418'!OSRRefE20x_0</vt:lpstr>
      <vt:lpstr>'423'!OSRRefE20x_0</vt:lpstr>
      <vt:lpstr>'424'!OSRRefE20x_0</vt:lpstr>
      <vt:lpstr>'425'!OSRRefE20x_0</vt:lpstr>
      <vt:lpstr>'430'!OSRRefE20x_0</vt:lpstr>
      <vt:lpstr>'433'!OSRRefE20x_0</vt:lpstr>
      <vt:lpstr>'444'!OSRRefE20x_0</vt:lpstr>
      <vt:lpstr>'450'!OSRRefE20x_0</vt:lpstr>
      <vt:lpstr>'491'!OSRRefE20x_0</vt:lpstr>
      <vt:lpstr>'492'!OSRRefE20x_0</vt:lpstr>
      <vt:lpstr>'501'!OSRRefE20x_0</vt:lpstr>
      <vt:lpstr>'Div 2'!OSRRefE20x_0</vt:lpstr>
      <vt:lpstr>'Div 3'!OSRRefE20x_0</vt:lpstr>
      <vt:lpstr>'Div 4'!OSRRefE20x_0</vt:lpstr>
      <vt:lpstr>'Div 5'!OSRRefE20x_0</vt:lpstr>
      <vt:lpstr>'Div 6'!OSRRefE20x_0</vt:lpstr>
      <vt:lpstr>Summary!OSRRefE20x_0</vt:lpstr>
      <vt:lpstr>'200'!OSRRefE20x_1</vt:lpstr>
      <vt:lpstr>'201'!OSRRefE20x_1</vt:lpstr>
      <vt:lpstr>'202'!OSRRefE20x_1</vt:lpstr>
      <vt:lpstr>'203'!OSRRefE20x_1</vt:lpstr>
      <vt:lpstr>'204'!OSRRefE20x_1</vt:lpstr>
      <vt:lpstr>'205'!OSRRefE20x_1</vt:lpstr>
      <vt:lpstr>'206'!OSRRefE20x_1</vt:lpstr>
      <vt:lpstr>'300'!OSRRefE20x_1</vt:lpstr>
      <vt:lpstr>'300 &amp; 317'!OSRRefE20x_1</vt:lpstr>
      <vt:lpstr>'301'!OSRRefE20x_1</vt:lpstr>
      <vt:lpstr>'307'!OSRRefE20x_1</vt:lpstr>
      <vt:lpstr>'308'!OSRRefE20x_1</vt:lpstr>
      <vt:lpstr>'309'!OSRRefE20x_1</vt:lpstr>
      <vt:lpstr>'310'!OSRRefE20x_1</vt:lpstr>
      <vt:lpstr>'310 &amp; 491'!OSRRefE20x_1</vt:lpstr>
      <vt:lpstr>'311'!OSRRefE20x_1</vt:lpstr>
      <vt:lpstr>'313'!OSRRefE20x_1</vt:lpstr>
      <vt:lpstr>'315'!OSRRefE20x_1</vt:lpstr>
      <vt:lpstr>'316'!OSRRefE20x_1</vt:lpstr>
      <vt:lpstr>'317'!OSRRefE20x_1</vt:lpstr>
      <vt:lpstr>'321'!OSRRefE20x_1</vt:lpstr>
      <vt:lpstr>'325'!OSRRefE20x_1</vt:lpstr>
      <vt:lpstr>'326'!OSRRefE20x_1</vt:lpstr>
      <vt:lpstr>'327'!OSRRefE20x_1</vt:lpstr>
      <vt:lpstr>'330'!OSRRefE20x_1</vt:lpstr>
      <vt:lpstr>'331'!OSRRefE20x_1</vt:lpstr>
      <vt:lpstr>'332'!OSRRefE20x_1</vt:lpstr>
      <vt:lpstr>'405'!OSRRefE20x_1</vt:lpstr>
      <vt:lpstr>'411'!OSRRefE20x_1</vt:lpstr>
      <vt:lpstr>'412'!OSRRefE20x_1</vt:lpstr>
      <vt:lpstr>'413'!OSRRefE20x_1</vt:lpstr>
      <vt:lpstr>'415'!OSRRefE20x_1</vt:lpstr>
      <vt:lpstr>'418'!OSRRefE20x_1</vt:lpstr>
      <vt:lpstr>'423'!OSRRefE20x_1</vt:lpstr>
      <vt:lpstr>'424'!OSRRefE20x_1</vt:lpstr>
      <vt:lpstr>'425'!OSRRefE20x_1</vt:lpstr>
      <vt:lpstr>'430'!OSRRefE20x_1</vt:lpstr>
      <vt:lpstr>'433'!OSRRefE20x_1</vt:lpstr>
      <vt:lpstr>'444'!OSRRefE20x_1</vt:lpstr>
      <vt:lpstr>'450'!OSRRefE20x_1</vt:lpstr>
      <vt:lpstr>'491'!OSRRefE20x_1</vt:lpstr>
      <vt:lpstr>'492'!OSRRefE20x_1</vt:lpstr>
      <vt:lpstr>'501'!OSRRefE20x_1</vt:lpstr>
      <vt:lpstr>'Div 2'!OSRRefE20x_1</vt:lpstr>
      <vt:lpstr>'Div 3'!OSRRefE20x_1</vt:lpstr>
      <vt:lpstr>'Div 4'!OSRRefE20x_1</vt:lpstr>
      <vt:lpstr>'Div 5'!OSRRefE20x_1</vt:lpstr>
      <vt:lpstr>'Div 6'!OSRRefE20x_1</vt:lpstr>
      <vt:lpstr>Summary!OSRRefE20x_1</vt:lpstr>
      <vt:lpstr>'200'!OSRRefE20x_10</vt:lpstr>
      <vt:lpstr>'201'!OSRRefE20x_10</vt:lpstr>
      <vt:lpstr>'202'!OSRRefE20x_10</vt:lpstr>
      <vt:lpstr>'203'!OSRRefE20x_10</vt:lpstr>
      <vt:lpstr>'204'!OSRRefE20x_10</vt:lpstr>
      <vt:lpstr>'205'!OSRRefE20x_10</vt:lpstr>
      <vt:lpstr>'206'!OSRRefE20x_10</vt:lpstr>
      <vt:lpstr>'300'!OSRRefE20x_10</vt:lpstr>
      <vt:lpstr>'300 &amp; 317'!OSRRefE20x_10</vt:lpstr>
      <vt:lpstr>'301'!OSRRefE20x_10</vt:lpstr>
      <vt:lpstr>'307'!OSRRefE20x_10</vt:lpstr>
      <vt:lpstr>'308'!OSRRefE20x_10</vt:lpstr>
      <vt:lpstr>'309'!OSRRefE20x_10</vt:lpstr>
      <vt:lpstr>'310'!OSRRefE20x_10</vt:lpstr>
      <vt:lpstr>'310 &amp; 491'!OSRRefE20x_10</vt:lpstr>
      <vt:lpstr>'311'!OSRRefE20x_10</vt:lpstr>
      <vt:lpstr>'313'!OSRRefE20x_10</vt:lpstr>
      <vt:lpstr>'315'!OSRRefE20x_10</vt:lpstr>
      <vt:lpstr>'316'!OSRRefE20x_10</vt:lpstr>
      <vt:lpstr>'317'!OSRRefE20x_10</vt:lpstr>
      <vt:lpstr>'321'!OSRRefE20x_10</vt:lpstr>
      <vt:lpstr>'325'!OSRRefE20x_10</vt:lpstr>
      <vt:lpstr>'326'!OSRRefE20x_10</vt:lpstr>
      <vt:lpstr>'327'!OSRRefE20x_10</vt:lpstr>
      <vt:lpstr>'330'!OSRRefE20x_10</vt:lpstr>
      <vt:lpstr>'331'!OSRRefE20x_10</vt:lpstr>
      <vt:lpstr>'332'!OSRRefE20x_10</vt:lpstr>
      <vt:lpstr>'405'!OSRRefE20x_10</vt:lpstr>
      <vt:lpstr>'411'!OSRRefE20x_10</vt:lpstr>
      <vt:lpstr>'412'!OSRRefE20x_10</vt:lpstr>
      <vt:lpstr>'413'!OSRRefE20x_10</vt:lpstr>
      <vt:lpstr>'415'!OSRRefE20x_10</vt:lpstr>
      <vt:lpstr>'418'!OSRRefE20x_10</vt:lpstr>
      <vt:lpstr>'423'!OSRRefE20x_10</vt:lpstr>
      <vt:lpstr>'424'!OSRRefE20x_10</vt:lpstr>
      <vt:lpstr>'425'!OSRRefE20x_10</vt:lpstr>
      <vt:lpstr>'430'!OSRRefE20x_10</vt:lpstr>
      <vt:lpstr>'433'!OSRRefE20x_10</vt:lpstr>
      <vt:lpstr>'444'!OSRRefE20x_10</vt:lpstr>
      <vt:lpstr>'450'!OSRRefE20x_10</vt:lpstr>
      <vt:lpstr>'491'!OSRRefE20x_10</vt:lpstr>
      <vt:lpstr>'492'!OSRRefE20x_10</vt:lpstr>
      <vt:lpstr>'501'!OSRRefE20x_10</vt:lpstr>
      <vt:lpstr>'Div 2'!OSRRefE20x_10</vt:lpstr>
      <vt:lpstr>'Div 3'!OSRRefE20x_10</vt:lpstr>
      <vt:lpstr>'Div 4'!OSRRefE20x_10</vt:lpstr>
      <vt:lpstr>'Div 5'!OSRRefE20x_10</vt:lpstr>
      <vt:lpstr>'Div 6'!OSRRefE20x_10</vt:lpstr>
      <vt:lpstr>Summary!OSRRefE20x_10</vt:lpstr>
      <vt:lpstr>'200'!OSRRefE20x_2</vt:lpstr>
      <vt:lpstr>'201'!OSRRefE20x_2</vt:lpstr>
      <vt:lpstr>'202'!OSRRefE20x_2</vt:lpstr>
      <vt:lpstr>'203'!OSRRefE20x_2</vt:lpstr>
      <vt:lpstr>'204'!OSRRefE20x_2</vt:lpstr>
      <vt:lpstr>'205'!OSRRefE20x_2</vt:lpstr>
      <vt:lpstr>'206'!OSRRefE20x_2</vt:lpstr>
      <vt:lpstr>'300'!OSRRefE20x_2</vt:lpstr>
      <vt:lpstr>'300 &amp; 317'!OSRRefE20x_2</vt:lpstr>
      <vt:lpstr>'301'!OSRRefE20x_2</vt:lpstr>
      <vt:lpstr>'307'!OSRRefE20x_2</vt:lpstr>
      <vt:lpstr>'308'!OSRRefE20x_2</vt:lpstr>
      <vt:lpstr>'309'!OSRRefE20x_2</vt:lpstr>
      <vt:lpstr>'310'!OSRRefE20x_2</vt:lpstr>
      <vt:lpstr>'310 &amp; 491'!OSRRefE20x_2</vt:lpstr>
      <vt:lpstr>'311'!OSRRefE20x_2</vt:lpstr>
      <vt:lpstr>'313'!OSRRefE20x_2</vt:lpstr>
      <vt:lpstr>'315'!OSRRefE20x_2</vt:lpstr>
      <vt:lpstr>'316'!OSRRefE20x_2</vt:lpstr>
      <vt:lpstr>'317'!OSRRefE20x_2</vt:lpstr>
      <vt:lpstr>'321'!OSRRefE20x_2</vt:lpstr>
      <vt:lpstr>'325'!OSRRefE20x_2</vt:lpstr>
      <vt:lpstr>'326'!OSRRefE20x_2</vt:lpstr>
      <vt:lpstr>'327'!OSRRefE20x_2</vt:lpstr>
      <vt:lpstr>'330'!OSRRefE20x_2</vt:lpstr>
      <vt:lpstr>'331'!OSRRefE20x_2</vt:lpstr>
      <vt:lpstr>'332'!OSRRefE20x_2</vt:lpstr>
      <vt:lpstr>'405'!OSRRefE20x_2</vt:lpstr>
      <vt:lpstr>'411'!OSRRefE20x_2</vt:lpstr>
      <vt:lpstr>'412'!OSRRefE20x_2</vt:lpstr>
      <vt:lpstr>'413'!OSRRefE20x_2</vt:lpstr>
      <vt:lpstr>'415'!OSRRefE20x_2</vt:lpstr>
      <vt:lpstr>'418'!OSRRefE20x_2</vt:lpstr>
      <vt:lpstr>'423'!OSRRefE20x_2</vt:lpstr>
      <vt:lpstr>'424'!OSRRefE20x_2</vt:lpstr>
      <vt:lpstr>'425'!OSRRefE20x_2</vt:lpstr>
      <vt:lpstr>'430'!OSRRefE20x_2</vt:lpstr>
      <vt:lpstr>'433'!OSRRefE20x_2</vt:lpstr>
      <vt:lpstr>'444'!OSRRefE20x_2</vt:lpstr>
      <vt:lpstr>'450'!OSRRefE20x_2</vt:lpstr>
      <vt:lpstr>'491'!OSRRefE20x_2</vt:lpstr>
      <vt:lpstr>'492'!OSRRefE20x_2</vt:lpstr>
      <vt:lpstr>'501'!OSRRefE20x_2</vt:lpstr>
      <vt:lpstr>'Div 2'!OSRRefE20x_2</vt:lpstr>
      <vt:lpstr>'Div 3'!OSRRefE20x_2</vt:lpstr>
      <vt:lpstr>'Div 4'!OSRRefE20x_2</vt:lpstr>
      <vt:lpstr>'Div 5'!OSRRefE20x_2</vt:lpstr>
      <vt:lpstr>'Div 6'!OSRRefE20x_2</vt:lpstr>
      <vt:lpstr>Summary!OSRRefE20x_2</vt:lpstr>
      <vt:lpstr>'200'!OSRRefE20x_3</vt:lpstr>
      <vt:lpstr>'201'!OSRRefE20x_3</vt:lpstr>
      <vt:lpstr>'202'!OSRRefE20x_3</vt:lpstr>
      <vt:lpstr>'203'!OSRRefE20x_3</vt:lpstr>
      <vt:lpstr>'204'!OSRRefE20x_3</vt:lpstr>
      <vt:lpstr>'205'!OSRRefE20x_3</vt:lpstr>
      <vt:lpstr>'206'!OSRRefE20x_3</vt:lpstr>
      <vt:lpstr>'300'!OSRRefE20x_3</vt:lpstr>
      <vt:lpstr>'300 &amp; 317'!OSRRefE20x_3</vt:lpstr>
      <vt:lpstr>'301'!OSRRefE20x_3</vt:lpstr>
      <vt:lpstr>'307'!OSRRefE20x_3</vt:lpstr>
      <vt:lpstr>'308'!OSRRefE20x_3</vt:lpstr>
      <vt:lpstr>'309'!OSRRefE20x_3</vt:lpstr>
      <vt:lpstr>'310'!OSRRefE20x_3</vt:lpstr>
      <vt:lpstr>'310 &amp; 491'!OSRRefE20x_3</vt:lpstr>
      <vt:lpstr>'311'!OSRRefE20x_3</vt:lpstr>
      <vt:lpstr>'313'!OSRRefE20x_3</vt:lpstr>
      <vt:lpstr>'315'!OSRRefE20x_3</vt:lpstr>
      <vt:lpstr>'316'!OSRRefE20x_3</vt:lpstr>
      <vt:lpstr>'317'!OSRRefE20x_3</vt:lpstr>
      <vt:lpstr>'321'!OSRRefE20x_3</vt:lpstr>
      <vt:lpstr>'325'!OSRRefE20x_3</vt:lpstr>
      <vt:lpstr>'326'!OSRRefE20x_3</vt:lpstr>
      <vt:lpstr>'327'!OSRRefE20x_3</vt:lpstr>
      <vt:lpstr>'330'!OSRRefE20x_3</vt:lpstr>
      <vt:lpstr>'331'!OSRRefE20x_3</vt:lpstr>
      <vt:lpstr>'332'!OSRRefE20x_3</vt:lpstr>
      <vt:lpstr>'405'!OSRRefE20x_3</vt:lpstr>
      <vt:lpstr>'411'!OSRRefE20x_3</vt:lpstr>
      <vt:lpstr>'412'!OSRRefE20x_3</vt:lpstr>
      <vt:lpstr>'413'!OSRRefE20x_3</vt:lpstr>
      <vt:lpstr>'415'!OSRRefE20x_3</vt:lpstr>
      <vt:lpstr>'418'!OSRRefE20x_3</vt:lpstr>
      <vt:lpstr>'423'!OSRRefE20x_3</vt:lpstr>
      <vt:lpstr>'424'!OSRRefE20x_3</vt:lpstr>
      <vt:lpstr>'425'!OSRRefE20x_3</vt:lpstr>
      <vt:lpstr>'430'!OSRRefE20x_3</vt:lpstr>
      <vt:lpstr>'433'!OSRRefE20x_3</vt:lpstr>
      <vt:lpstr>'444'!OSRRefE20x_3</vt:lpstr>
      <vt:lpstr>'450'!OSRRefE20x_3</vt:lpstr>
      <vt:lpstr>'491'!OSRRefE20x_3</vt:lpstr>
      <vt:lpstr>'492'!OSRRefE20x_3</vt:lpstr>
      <vt:lpstr>'501'!OSRRefE20x_3</vt:lpstr>
      <vt:lpstr>'Div 2'!OSRRefE20x_3</vt:lpstr>
      <vt:lpstr>'Div 3'!OSRRefE20x_3</vt:lpstr>
      <vt:lpstr>'Div 4'!OSRRefE20x_3</vt:lpstr>
      <vt:lpstr>'Div 5'!OSRRefE20x_3</vt:lpstr>
      <vt:lpstr>'Div 6'!OSRRefE20x_3</vt:lpstr>
      <vt:lpstr>Summary!OSRRefE20x_3</vt:lpstr>
      <vt:lpstr>'200'!OSRRefE20x_4</vt:lpstr>
      <vt:lpstr>'201'!OSRRefE20x_4</vt:lpstr>
      <vt:lpstr>'202'!OSRRefE20x_4</vt:lpstr>
      <vt:lpstr>'203'!OSRRefE20x_4</vt:lpstr>
      <vt:lpstr>'204'!OSRRefE20x_4</vt:lpstr>
      <vt:lpstr>'205'!OSRRefE20x_4</vt:lpstr>
      <vt:lpstr>'206'!OSRRefE20x_4</vt:lpstr>
      <vt:lpstr>'300'!OSRRefE20x_4</vt:lpstr>
      <vt:lpstr>'300 &amp; 317'!OSRRefE20x_4</vt:lpstr>
      <vt:lpstr>'301'!OSRRefE20x_4</vt:lpstr>
      <vt:lpstr>'307'!OSRRefE20x_4</vt:lpstr>
      <vt:lpstr>'308'!OSRRefE20x_4</vt:lpstr>
      <vt:lpstr>'309'!OSRRefE20x_4</vt:lpstr>
      <vt:lpstr>'310'!OSRRefE20x_4</vt:lpstr>
      <vt:lpstr>'310 &amp; 491'!OSRRefE20x_4</vt:lpstr>
      <vt:lpstr>'311'!OSRRefE20x_4</vt:lpstr>
      <vt:lpstr>'313'!OSRRefE20x_4</vt:lpstr>
      <vt:lpstr>'315'!OSRRefE20x_4</vt:lpstr>
      <vt:lpstr>'316'!OSRRefE20x_4</vt:lpstr>
      <vt:lpstr>'317'!OSRRefE20x_4</vt:lpstr>
      <vt:lpstr>'321'!OSRRefE20x_4</vt:lpstr>
      <vt:lpstr>'325'!OSRRefE20x_4</vt:lpstr>
      <vt:lpstr>'326'!OSRRefE20x_4</vt:lpstr>
      <vt:lpstr>'327'!OSRRefE20x_4</vt:lpstr>
      <vt:lpstr>'330'!OSRRefE20x_4</vt:lpstr>
      <vt:lpstr>'331'!OSRRefE20x_4</vt:lpstr>
      <vt:lpstr>'332'!OSRRefE20x_4</vt:lpstr>
      <vt:lpstr>'405'!OSRRefE20x_4</vt:lpstr>
      <vt:lpstr>'411'!OSRRefE20x_4</vt:lpstr>
      <vt:lpstr>'412'!OSRRefE20x_4</vt:lpstr>
      <vt:lpstr>'413'!OSRRefE20x_4</vt:lpstr>
      <vt:lpstr>'415'!OSRRefE20x_4</vt:lpstr>
      <vt:lpstr>'418'!OSRRefE20x_4</vt:lpstr>
      <vt:lpstr>'423'!OSRRefE20x_4</vt:lpstr>
      <vt:lpstr>'424'!OSRRefE20x_4</vt:lpstr>
      <vt:lpstr>'425'!OSRRefE20x_4</vt:lpstr>
      <vt:lpstr>'430'!OSRRefE20x_4</vt:lpstr>
      <vt:lpstr>'433'!OSRRefE20x_4</vt:lpstr>
      <vt:lpstr>'444'!OSRRefE20x_4</vt:lpstr>
      <vt:lpstr>'450'!OSRRefE20x_4</vt:lpstr>
      <vt:lpstr>'491'!OSRRefE20x_4</vt:lpstr>
      <vt:lpstr>'492'!OSRRefE20x_4</vt:lpstr>
      <vt:lpstr>'501'!OSRRefE20x_4</vt:lpstr>
      <vt:lpstr>'Div 2'!OSRRefE20x_4</vt:lpstr>
      <vt:lpstr>'Div 3'!OSRRefE20x_4</vt:lpstr>
      <vt:lpstr>'Div 4'!OSRRefE20x_4</vt:lpstr>
      <vt:lpstr>'Div 5'!OSRRefE20x_4</vt:lpstr>
      <vt:lpstr>'Div 6'!OSRRefE20x_4</vt:lpstr>
      <vt:lpstr>Summary!OSRRefE20x_4</vt:lpstr>
      <vt:lpstr>'200'!OSRRefE20x_5</vt:lpstr>
      <vt:lpstr>'201'!OSRRefE20x_5</vt:lpstr>
      <vt:lpstr>'202'!OSRRefE20x_5</vt:lpstr>
      <vt:lpstr>'203'!OSRRefE20x_5</vt:lpstr>
      <vt:lpstr>'204'!OSRRefE20x_5</vt:lpstr>
      <vt:lpstr>'205'!OSRRefE20x_5</vt:lpstr>
      <vt:lpstr>'206'!OSRRefE20x_5</vt:lpstr>
      <vt:lpstr>'300'!OSRRefE20x_5</vt:lpstr>
      <vt:lpstr>'300 &amp; 317'!OSRRefE20x_5</vt:lpstr>
      <vt:lpstr>'301'!OSRRefE20x_5</vt:lpstr>
      <vt:lpstr>'307'!OSRRefE20x_5</vt:lpstr>
      <vt:lpstr>'308'!OSRRefE20x_5</vt:lpstr>
      <vt:lpstr>'309'!OSRRefE20x_5</vt:lpstr>
      <vt:lpstr>'310'!OSRRefE20x_5</vt:lpstr>
      <vt:lpstr>'310 &amp; 491'!OSRRefE20x_5</vt:lpstr>
      <vt:lpstr>'311'!OSRRefE20x_5</vt:lpstr>
      <vt:lpstr>'313'!OSRRefE20x_5</vt:lpstr>
      <vt:lpstr>'315'!OSRRefE20x_5</vt:lpstr>
      <vt:lpstr>'316'!OSRRefE20x_5</vt:lpstr>
      <vt:lpstr>'317'!OSRRefE20x_5</vt:lpstr>
      <vt:lpstr>'321'!OSRRefE20x_5</vt:lpstr>
      <vt:lpstr>'325'!OSRRefE20x_5</vt:lpstr>
      <vt:lpstr>'326'!OSRRefE20x_5</vt:lpstr>
      <vt:lpstr>'327'!OSRRefE20x_5</vt:lpstr>
      <vt:lpstr>'330'!OSRRefE20x_5</vt:lpstr>
      <vt:lpstr>'331'!OSRRefE20x_5</vt:lpstr>
      <vt:lpstr>'332'!OSRRefE20x_5</vt:lpstr>
      <vt:lpstr>'405'!OSRRefE20x_5</vt:lpstr>
      <vt:lpstr>'411'!OSRRefE20x_5</vt:lpstr>
      <vt:lpstr>'412'!OSRRefE20x_5</vt:lpstr>
      <vt:lpstr>'413'!OSRRefE20x_5</vt:lpstr>
      <vt:lpstr>'415'!OSRRefE20x_5</vt:lpstr>
      <vt:lpstr>'418'!OSRRefE20x_5</vt:lpstr>
      <vt:lpstr>'423'!OSRRefE20x_5</vt:lpstr>
      <vt:lpstr>'424'!OSRRefE20x_5</vt:lpstr>
      <vt:lpstr>'425'!OSRRefE20x_5</vt:lpstr>
      <vt:lpstr>'430'!OSRRefE20x_5</vt:lpstr>
      <vt:lpstr>'433'!OSRRefE20x_5</vt:lpstr>
      <vt:lpstr>'444'!OSRRefE20x_5</vt:lpstr>
      <vt:lpstr>'450'!OSRRefE20x_5</vt:lpstr>
      <vt:lpstr>'491'!OSRRefE20x_5</vt:lpstr>
      <vt:lpstr>'492'!OSRRefE20x_5</vt:lpstr>
      <vt:lpstr>'501'!OSRRefE20x_5</vt:lpstr>
      <vt:lpstr>'Div 2'!OSRRefE20x_5</vt:lpstr>
      <vt:lpstr>'Div 3'!OSRRefE20x_5</vt:lpstr>
      <vt:lpstr>'Div 4'!OSRRefE20x_5</vt:lpstr>
      <vt:lpstr>'Div 5'!OSRRefE20x_5</vt:lpstr>
      <vt:lpstr>'Div 6'!OSRRefE20x_5</vt:lpstr>
      <vt:lpstr>Summary!OSRRefE20x_5</vt:lpstr>
      <vt:lpstr>'200'!OSRRefE20x_6</vt:lpstr>
      <vt:lpstr>'201'!OSRRefE20x_6</vt:lpstr>
      <vt:lpstr>'202'!OSRRefE20x_6</vt:lpstr>
      <vt:lpstr>'203'!OSRRefE20x_6</vt:lpstr>
      <vt:lpstr>'204'!OSRRefE20x_6</vt:lpstr>
      <vt:lpstr>'205'!OSRRefE20x_6</vt:lpstr>
      <vt:lpstr>'206'!OSRRefE20x_6</vt:lpstr>
      <vt:lpstr>'300'!OSRRefE20x_6</vt:lpstr>
      <vt:lpstr>'300 &amp; 317'!OSRRefE20x_6</vt:lpstr>
      <vt:lpstr>'301'!OSRRefE20x_6</vt:lpstr>
      <vt:lpstr>'307'!OSRRefE20x_6</vt:lpstr>
      <vt:lpstr>'308'!OSRRefE20x_6</vt:lpstr>
      <vt:lpstr>'309'!OSRRefE20x_6</vt:lpstr>
      <vt:lpstr>'310'!OSRRefE20x_6</vt:lpstr>
      <vt:lpstr>'310 &amp; 491'!OSRRefE20x_6</vt:lpstr>
      <vt:lpstr>'311'!OSRRefE20x_6</vt:lpstr>
      <vt:lpstr>'313'!OSRRefE20x_6</vt:lpstr>
      <vt:lpstr>'315'!OSRRefE20x_6</vt:lpstr>
      <vt:lpstr>'316'!OSRRefE20x_6</vt:lpstr>
      <vt:lpstr>'317'!OSRRefE20x_6</vt:lpstr>
      <vt:lpstr>'321'!OSRRefE20x_6</vt:lpstr>
      <vt:lpstr>'325'!OSRRefE20x_6</vt:lpstr>
      <vt:lpstr>'326'!OSRRefE20x_6</vt:lpstr>
      <vt:lpstr>'327'!OSRRefE20x_6</vt:lpstr>
      <vt:lpstr>'330'!OSRRefE20x_6</vt:lpstr>
      <vt:lpstr>'331'!OSRRefE20x_6</vt:lpstr>
      <vt:lpstr>'332'!OSRRefE20x_6</vt:lpstr>
      <vt:lpstr>'405'!OSRRefE20x_6</vt:lpstr>
      <vt:lpstr>'411'!OSRRefE20x_6</vt:lpstr>
      <vt:lpstr>'412'!OSRRefE20x_6</vt:lpstr>
      <vt:lpstr>'413'!OSRRefE20x_6</vt:lpstr>
      <vt:lpstr>'415'!OSRRefE20x_6</vt:lpstr>
      <vt:lpstr>'418'!OSRRefE20x_6</vt:lpstr>
      <vt:lpstr>'423'!OSRRefE20x_6</vt:lpstr>
      <vt:lpstr>'424'!OSRRefE20x_6</vt:lpstr>
      <vt:lpstr>'425'!OSRRefE20x_6</vt:lpstr>
      <vt:lpstr>'430'!OSRRefE20x_6</vt:lpstr>
      <vt:lpstr>'433'!OSRRefE20x_6</vt:lpstr>
      <vt:lpstr>'444'!OSRRefE20x_6</vt:lpstr>
      <vt:lpstr>'450'!OSRRefE20x_6</vt:lpstr>
      <vt:lpstr>'491'!OSRRefE20x_6</vt:lpstr>
      <vt:lpstr>'492'!OSRRefE20x_6</vt:lpstr>
      <vt:lpstr>'501'!OSRRefE20x_6</vt:lpstr>
      <vt:lpstr>'Div 2'!OSRRefE20x_6</vt:lpstr>
      <vt:lpstr>'Div 3'!OSRRefE20x_6</vt:lpstr>
      <vt:lpstr>'Div 4'!OSRRefE20x_6</vt:lpstr>
      <vt:lpstr>'Div 5'!OSRRefE20x_6</vt:lpstr>
      <vt:lpstr>'Div 6'!OSRRefE20x_6</vt:lpstr>
      <vt:lpstr>Summary!OSRRefE20x_6</vt:lpstr>
      <vt:lpstr>'200'!OSRRefE20x_7</vt:lpstr>
      <vt:lpstr>'201'!OSRRefE20x_7</vt:lpstr>
      <vt:lpstr>'202'!OSRRefE20x_7</vt:lpstr>
      <vt:lpstr>'203'!OSRRefE20x_7</vt:lpstr>
      <vt:lpstr>'204'!OSRRefE20x_7</vt:lpstr>
      <vt:lpstr>'205'!OSRRefE20x_7</vt:lpstr>
      <vt:lpstr>'206'!OSRRefE20x_7</vt:lpstr>
      <vt:lpstr>'300'!OSRRefE20x_7</vt:lpstr>
      <vt:lpstr>'300 &amp; 317'!OSRRefE20x_7</vt:lpstr>
      <vt:lpstr>'301'!OSRRefE20x_7</vt:lpstr>
      <vt:lpstr>'307'!OSRRefE20x_7</vt:lpstr>
      <vt:lpstr>'308'!OSRRefE20x_7</vt:lpstr>
      <vt:lpstr>'309'!OSRRefE20x_7</vt:lpstr>
      <vt:lpstr>'310'!OSRRefE20x_7</vt:lpstr>
      <vt:lpstr>'310 &amp; 491'!OSRRefE20x_7</vt:lpstr>
      <vt:lpstr>'311'!OSRRefE20x_7</vt:lpstr>
      <vt:lpstr>'313'!OSRRefE20x_7</vt:lpstr>
      <vt:lpstr>'315'!OSRRefE20x_7</vt:lpstr>
      <vt:lpstr>'316'!OSRRefE20x_7</vt:lpstr>
      <vt:lpstr>'317'!OSRRefE20x_7</vt:lpstr>
      <vt:lpstr>'321'!OSRRefE20x_7</vt:lpstr>
      <vt:lpstr>'325'!OSRRefE20x_7</vt:lpstr>
      <vt:lpstr>'326'!OSRRefE20x_7</vt:lpstr>
      <vt:lpstr>'327'!OSRRefE20x_7</vt:lpstr>
      <vt:lpstr>'330'!OSRRefE20x_7</vt:lpstr>
      <vt:lpstr>'331'!OSRRefE20x_7</vt:lpstr>
      <vt:lpstr>'332'!OSRRefE20x_7</vt:lpstr>
      <vt:lpstr>'405'!OSRRefE20x_7</vt:lpstr>
      <vt:lpstr>'411'!OSRRefE20x_7</vt:lpstr>
      <vt:lpstr>'412'!OSRRefE20x_7</vt:lpstr>
      <vt:lpstr>'413'!OSRRefE20x_7</vt:lpstr>
      <vt:lpstr>'415'!OSRRefE20x_7</vt:lpstr>
      <vt:lpstr>'418'!OSRRefE20x_7</vt:lpstr>
      <vt:lpstr>'423'!OSRRefE20x_7</vt:lpstr>
      <vt:lpstr>'424'!OSRRefE20x_7</vt:lpstr>
      <vt:lpstr>'425'!OSRRefE20x_7</vt:lpstr>
      <vt:lpstr>'430'!OSRRefE20x_7</vt:lpstr>
      <vt:lpstr>'433'!OSRRefE20x_7</vt:lpstr>
      <vt:lpstr>'444'!OSRRefE20x_7</vt:lpstr>
      <vt:lpstr>'450'!OSRRefE20x_7</vt:lpstr>
      <vt:lpstr>'491'!OSRRefE20x_7</vt:lpstr>
      <vt:lpstr>'492'!OSRRefE20x_7</vt:lpstr>
      <vt:lpstr>'501'!OSRRefE20x_7</vt:lpstr>
      <vt:lpstr>'Div 2'!OSRRefE20x_7</vt:lpstr>
      <vt:lpstr>'Div 3'!OSRRefE20x_7</vt:lpstr>
      <vt:lpstr>'Div 4'!OSRRefE20x_7</vt:lpstr>
      <vt:lpstr>'Div 5'!OSRRefE20x_7</vt:lpstr>
      <vt:lpstr>'Div 6'!OSRRefE20x_7</vt:lpstr>
      <vt:lpstr>Summary!OSRRefE20x_7</vt:lpstr>
      <vt:lpstr>'200'!OSRRefE20x_8</vt:lpstr>
      <vt:lpstr>'201'!OSRRefE20x_8</vt:lpstr>
      <vt:lpstr>'202'!OSRRefE20x_8</vt:lpstr>
      <vt:lpstr>'203'!OSRRefE20x_8</vt:lpstr>
      <vt:lpstr>'204'!OSRRefE20x_8</vt:lpstr>
      <vt:lpstr>'205'!OSRRefE20x_8</vt:lpstr>
      <vt:lpstr>'206'!OSRRefE20x_8</vt:lpstr>
      <vt:lpstr>'300'!OSRRefE20x_8</vt:lpstr>
      <vt:lpstr>'300 &amp; 317'!OSRRefE20x_8</vt:lpstr>
      <vt:lpstr>'301'!OSRRefE20x_8</vt:lpstr>
      <vt:lpstr>'307'!OSRRefE20x_8</vt:lpstr>
      <vt:lpstr>'308'!OSRRefE20x_8</vt:lpstr>
      <vt:lpstr>'309'!OSRRefE20x_8</vt:lpstr>
      <vt:lpstr>'310'!OSRRefE20x_8</vt:lpstr>
      <vt:lpstr>'310 &amp; 491'!OSRRefE20x_8</vt:lpstr>
      <vt:lpstr>'311'!OSRRefE20x_8</vt:lpstr>
      <vt:lpstr>'313'!OSRRefE20x_8</vt:lpstr>
      <vt:lpstr>'315'!OSRRefE20x_8</vt:lpstr>
      <vt:lpstr>'316'!OSRRefE20x_8</vt:lpstr>
      <vt:lpstr>'317'!OSRRefE20x_8</vt:lpstr>
      <vt:lpstr>'321'!OSRRefE20x_8</vt:lpstr>
      <vt:lpstr>'325'!OSRRefE20x_8</vt:lpstr>
      <vt:lpstr>'326'!OSRRefE20x_8</vt:lpstr>
      <vt:lpstr>'327'!OSRRefE20x_8</vt:lpstr>
      <vt:lpstr>'330'!OSRRefE20x_8</vt:lpstr>
      <vt:lpstr>'331'!OSRRefE20x_8</vt:lpstr>
      <vt:lpstr>'332'!OSRRefE20x_8</vt:lpstr>
      <vt:lpstr>'405'!OSRRefE20x_8</vt:lpstr>
      <vt:lpstr>'411'!OSRRefE20x_8</vt:lpstr>
      <vt:lpstr>'412'!OSRRefE20x_8</vt:lpstr>
      <vt:lpstr>'413'!OSRRefE20x_8</vt:lpstr>
      <vt:lpstr>'415'!OSRRefE20x_8</vt:lpstr>
      <vt:lpstr>'418'!OSRRefE20x_8</vt:lpstr>
      <vt:lpstr>'423'!OSRRefE20x_8</vt:lpstr>
      <vt:lpstr>'424'!OSRRefE20x_8</vt:lpstr>
      <vt:lpstr>'425'!OSRRefE20x_8</vt:lpstr>
      <vt:lpstr>'430'!OSRRefE20x_8</vt:lpstr>
      <vt:lpstr>'433'!OSRRefE20x_8</vt:lpstr>
      <vt:lpstr>'444'!OSRRefE20x_8</vt:lpstr>
      <vt:lpstr>'450'!OSRRefE20x_8</vt:lpstr>
      <vt:lpstr>'491'!OSRRefE20x_8</vt:lpstr>
      <vt:lpstr>'492'!OSRRefE20x_8</vt:lpstr>
      <vt:lpstr>'501'!OSRRefE20x_8</vt:lpstr>
      <vt:lpstr>'Div 2'!OSRRefE20x_8</vt:lpstr>
      <vt:lpstr>'Div 3'!OSRRefE20x_8</vt:lpstr>
      <vt:lpstr>'Div 4'!OSRRefE20x_8</vt:lpstr>
      <vt:lpstr>'Div 5'!OSRRefE20x_8</vt:lpstr>
      <vt:lpstr>'Div 6'!OSRRefE20x_8</vt:lpstr>
      <vt:lpstr>Summary!OSRRefE20x_8</vt:lpstr>
      <vt:lpstr>'200'!OSRRefE20x_9</vt:lpstr>
      <vt:lpstr>'201'!OSRRefE20x_9</vt:lpstr>
      <vt:lpstr>'202'!OSRRefE20x_9</vt:lpstr>
      <vt:lpstr>'203'!OSRRefE20x_9</vt:lpstr>
      <vt:lpstr>'204'!OSRRefE20x_9</vt:lpstr>
      <vt:lpstr>'205'!OSRRefE20x_9</vt:lpstr>
      <vt:lpstr>'206'!OSRRefE20x_9</vt:lpstr>
      <vt:lpstr>'300'!OSRRefE20x_9</vt:lpstr>
      <vt:lpstr>'300 &amp; 317'!OSRRefE20x_9</vt:lpstr>
      <vt:lpstr>'301'!OSRRefE20x_9</vt:lpstr>
      <vt:lpstr>'307'!OSRRefE20x_9</vt:lpstr>
      <vt:lpstr>'308'!OSRRefE20x_9</vt:lpstr>
      <vt:lpstr>'309'!OSRRefE20x_9</vt:lpstr>
      <vt:lpstr>'310'!OSRRefE20x_9</vt:lpstr>
      <vt:lpstr>'310 &amp; 491'!OSRRefE20x_9</vt:lpstr>
      <vt:lpstr>'311'!OSRRefE20x_9</vt:lpstr>
      <vt:lpstr>'313'!OSRRefE20x_9</vt:lpstr>
      <vt:lpstr>'315'!OSRRefE20x_9</vt:lpstr>
      <vt:lpstr>'316'!OSRRefE20x_9</vt:lpstr>
      <vt:lpstr>'317'!OSRRefE20x_9</vt:lpstr>
      <vt:lpstr>'321'!OSRRefE20x_9</vt:lpstr>
      <vt:lpstr>'325'!OSRRefE20x_9</vt:lpstr>
      <vt:lpstr>'326'!OSRRefE20x_9</vt:lpstr>
      <vt:lpstr>'327'!OSRRefE20x_9</vt:lpstr>
      <vt:lpstr>'330'!OSRRefE20x_9</vt:lpstr>
      <vt:lpstr>'331'!OSRRefE20x_9</vt:lpstr>
      <vt:lpstr>'332'!OSRRefE20x_9</vt:lpstr>
      <vt:lpstr>'405'!OSRRefE20x_9</vt:lpstr>
      <vt:lpstr>'411'!OSRRefE20x_9</vt:lpstr>
      <vt:lpstr>'412'!OSRRefE20x_9</vt:lpstr>
      <vt:lpstr>'413'!OSRRefE20x_9</vt:lpstr>
      <vt:lpstr>'415'!OSRRefE20x_9</vt:lpstr>
      <vt:lpstr>'418'!OSRRefE20x_9</vt:lpstr>
      <vt:lpstr>'423'!OSRRefE20x_9</vt:lpstr>
      <vt:lpstr>'424'!OSRRefE20x_9</vt:lpstr>
      <vt:lpstr>'425'!OSRRefE20x_9</vt:lpstr>
      <vt:lpstr>'430'!OSRRefE20x_9</vt:lpstr>
      <vt:lpstr>'433'!OSRRefE20x_9</vt:lpstr>
      <vt:lpstr>'444'!OSRRefE20x_9</vt:lpstr>
      <vt:lpstr>'450'!OSRRefE20x_9</vt:lpstr>
      <vt:lpstr>'491'!OSRRefE20x_9</vt:lpstr>
      <vt:lpstr>'492'!OSRRefE20x_9</vt:lpstr>
      <vt:lpstr>'501'!OSRRefE20x_9</vt:lpstr>
      <vt:lpstr>'Div 2'!OSRRefE20x_9</vt:lpstr>
      <vt:lpstr>'Div 3'!OSRRefE20x_9</vt:lpstr>
      <vt:lpstr>'Div 4'!OSRRefE20x_9</vt:lpstr>
      <vt:lpstr>'Div 5'!OSRRefE20x_9</vt:lpstr>
      <vt:lpstr>'Div 6'!OSRRefE20x_9</vt:lpstr>
      <vt:lpstr>Summary!OSRRefE20x_9</vt:lpstr>
      <vt:lpstr>'200'!OSRRefE21_0_0x</vt:lpstr>
      <vt:lpstr>'201'!OSRRefE21_0_0x</vt:lpstr>
      <vt:lpstr>'202'!OSRRefE21_0_0x</vt:lpstr>
      <vt:lpstr>'203'!OSRRefE21_0_0x</vt:lpstr>
      <vt:lpstr>'204'!OSRRefE21_0_0x</vt:lpstr>
      <vt:lpstr>'205'!OSRRefE21_0_0x</vt:lpstr>
      <vt:lpstr>'206'!OSRRefE21_0_0x</vt:lpstr>
      <vt:lpstr>'300'!OSRRefE21_0_0x</vt:lpstr>
      <vt:lpstr>'300 &amp; 317'!OSRRefE21_0_0x</vt:lpstr>
      <vt:lpstr>'301'!OSRRefE21_0_0x</vt:lpstr>
      <vt:lpstr>'307'!OSRRefE21_0_0x</vt:lpstr>
      <vt:lpstr>'308'!OSRRefE21_0_0x</vt:lpstr>
      <vt:lpstr>'309'!OSRRefE21_0_0x</vt:lpstr>
      <vt:lpstr>'310'!OSRRefE21_0_0x</vt:lpstr>
      <vt:lpstr>'310 &amp; 491'!OSRRefE21_0_0x</vt:lpstr>
      <vt:lpstr>'311'!OSRRefE21_0_0x</vt:lpstr>
      <vt:lpstr>'313'!OSRRefE21_0_0x</vt:lpstr>
      <vt:lpstr>'315'!OSRRefE21_0_0x</vt:lpstr>
      <vt:lpstr>'316'!OSRRefE21_0_0x</vt:lpstr>
      <vt:lpstr>'317'!OSRRefE21_0_0x</vt:lpstr>
      <vt:lpstr>'321'!OSRRefE21_0_0x</vt:lpstr>
      <vt:lpstr>'325'!OSRRefE21_0_0x</vt:lpstr>
      <vt:lpstr>'326'!OSRRefE21_0_0x</vt:lpstr>
      <vt:lpstr>'327'!OSRRefE21_0_0x</vt:lpstr>
      <vt:lpstr>'330'!OSRRefE21_0_0x</vt:lpstr>
      <vt:lpstr>'331'!OSRRefE21_0_0x</vt:lpstr>
      <vt:lpstr>'332'!OSRRefE21_0_0x</vt:lpstr>
      <vt:lpstr>'405'!OSRRefE21_0_0x</vt:lpstr>
      <vt:lpstr>'411'!OSRRefE21_0_0x</vt:lpstr>
      <vt:lpstr>'412'!OSRRefE21_0_0x</vt:lpstr>
      <vt:lpstr>'413'!OSRRefE21_0_0x</vt:lpstr>
      <vt:lpstr>'415'!OSRRefE21_0_0x</vt:lpstr>
      <vt:lpstr>'418'!OSRRefE21_0_0x</vt:lpstr>
      <vt:lpstr>'423'!OSRRefE21_0_0x</vt:lpstr>
      <vt:lpstr>'424'!OSRRefE21_0_0x</vt:lpstr>
      <vt:lpstr>'425'!OSRRefE21_0_0x</vt:lpstr>
      <vt:lpstr>'430'!OSRRefE21_0_0x</vt:lpstr>
      <vt:lpstr>'433'!OSRRefE21_0_0x</vt:lpstr>
      <vt:lpstr>'444'!OSRRefE21_0_0x</vt:lpstr>
      <vt:lpstr>'450'!OSRRefE21_0_0x</vt:lpstr>
      <vt:lpstr>'491'!OSRRefE21_0_0x</vt:lpstr>
      <vt:lpstr>'492'!OSRRefE21_0_0x</vt:lpstr>
      <vt:lpstr>'501'!OSRRefE21_0_0x</vt:lpstr>
      <vt:lpstr>'Div 2'!OSRRefE21_0_0x</vt:lpstr>
      <vt:lpstr>'Div 3'!OSRRefE21_0_0x</vt:lpstr>
      <vt:lpstr>'Div 4'!OSRRefE21_0_0x</vt:lpstr>
      <vt:lpstr>'Div 5'!OSRRefE21_0_0x</vt:lpstr>
      <vt:lpstr>'Div 6'!OSRRefE21_0_0x</vt:lpstr>
      <vt:lpstr>Summary!OSRRefE21_0_0x</vt:lpstr>
      <vt:lpstr>'Div 2'!OSRRefE21_0_10x</vt:lpstr>
      <vt:lpstr>'201'!OSRRefE21_0_1x</vt:lpstr>
      <vt:lpstr>'202'!OSRRefE21_0_1x</vt:lpstr>
      <vt:lpstr>'203'!OSRRefE21_0_1x</vt:lpstr>
      <vt:lpstr>'204'!OSRRefE21_0_1x</vt:lpstr>
      <vt:lpstr>'205'!OSRRefE21_0_1x</vt:lpstr>
      <vt:lpstr>'206'!OSRRefE21_0_1x</vt:lpstr>
      <vt:lpstr>'300'!OSRRefE21_0_1x</vt:lpstr>
      <vt:lpstr>'300 &amp; 317'!OSRRefE21_0_1x</vt:lpstr>
      <vt:lpstr>'301'!OSRRefE21_0_1x</vt:lpstr>
      <vt:lpstr>'307'!OSRRefE21_0_1x</vt:lpstr>
      <vt:lpstr>'308'!OSRRefE21_0_1x</vt:lpstr>
      <vt:lpstr>'310'!OSRRefE21_0_1x</vt:lpstr>
      <vt:lpstr>'310 &amp; 491'!OSRRefE21_0_1x</vt:lpstr>
      <vt:lpstr>'311'!OSRRefE21_0_1x</vt:lpstr>
      <vt:lpstr>'315'!OSRRefE21_0_1x</vt:lpstr>
      <vt:lpstr>'316'!OSRRefE21_0_1x</vt:lpstr>
      <vt:lpstr>'317'!OSRRefE21_0_1x</vt:lpstr>
      <vt:lpstr>'321'!OSRRefE21_0_1x</vt:lpstr>
      <vt:lpstr>'325'!OSRRefE21_0_1x</vt:lpstr>
      <vt:lpstr>'326'!OSRRefE21_0_1x</vt:lpstr>
      <vt:lpstr>'330'!OSRRefE21_0_1x</vt:lpstr>
      <vt:lpstr>'331'!OSRRefE21_0_1x</vt:lpstr>
      <vt:lpstr>'332'!OSRRefE21_0_1x</vt:lpstr>
      <vt:lpstr>'405'!OSRRefE21_0_1x</vt:lpstr>
      <vt:lpstr>'411'!OSRRefE21_0_1x</vt:lpstr>
      <vt:lpstr>'415'!OSRRefE21_0_1x</vt:lpstr>
      <vt:lpstr>'418'!OSRRefE21_0_1x</vt:lpstr>
      <vt:lpstr>'423'!OSRRefE21_0_1x</vt:lpstr>
      <vt:lpstr>'430'!OSRRefE21_0_1x</vt:lpstr>
      <vt:lpstr>'433'!OSRRefE21_0_1x</vt:lpstr>
      <vt:lpstr>'444'!OSRRefE21_0_1x</vt:lpstr>
      <vt:lpstr>'450'!OSRRefE21_0_1x</vt:lpstr>
      <vt:lpstr>'491'!OSRRefE21_0_1x</vt:lpstr>
      <vt:lpstr>'492'!OSRRefE21_0_1x</vt:lpstr>
      <vt:lpstr>'501'!OSRRefE21_0_1x</vt:lpstr>
      <vt:lpstr>'Div 2'!OSRRefE21_0_1x</vt:lpstr>
      <vt:lpstr>'Div 3'!OSRRefE21_0_1x</vt:lpstr>
      <vt:lpstr>'Div 4'!OSRRefE21_0_1x</vt:lpstr>
      <vt:lpstr>'Div 5'!OSRRefE21_0_1x</vt:lpstr>
      <vt:lpstr>'Div 6'!OSRRefE21_0_1x</vt:lpstr>
      <vt:lpstr>Summary!OSRRefE21_0_1x</vt:lpstr>
      <vt:lpstr>'201'!OSRRefE21_0_2x</vt:lpstr>
      <vt:lpstr>'202'!OSRRefE21_0_2x</vt:lpstr>
      <vt:lpstr>'203'!OSRRefE21_0_2x</vt:lpstr>
      <vt:lpstr>'204'!OSRRefE21_0_2x</vt:lpstr>
      <vt:lpstr>'205'!OSRRefE21_0_2x</vt:lpstr>
      <vt:lpstr>'206'!OSRRefE21_0_2x</vt:lpstr>
      <vt:lpstr>'300'!OSRRefE21_0_2x</vt:lpstr>
      <vt:lpstr>'300 &amp; 317'!OSRRefE21_0_2x</vt:lpstr>
      <vt:lpstr>'301'!OSRRefE21_0_2x</vt:lpstr>
      <vt:lpstr>'307'!OSRRefE21_0_2x</vt:lpstr>
      <vt:lpstr>'308'!OSRRefE21_0_2x</vt:lpstr>
      <vt:lpstr>'310'!OSRRefE21_0_2x</vt:lpstr>
      <vt:lpstr>'310 &amp; 491'!OSRRefE21_0_2x</vt:lpstr>
      <vt:lpstr>'311'!OSRRefE21_0_2x</vt:lpstr>
      <vt:lpstr>'315'!OSRRefE21_0_2x</vt:lpstr>
      <vt:lpstr>'316'!OSRRefE21_0_2x</vt:lpstr>
      <vt:lpstr>'317'!OSRRefE21_0_2x</vt:lpstr>
      <vt:lpstr>'321'!OSRRefE21_0_2x</vt:lpstr>
      <vt:lpstr>'325'!OSRRefE21_0_2x</vt:lpstr>
      <vt:lpstr>'326'!OSRRefE21_0_2x</vt:lpstr>
      <vt:lpstr>'330'!OSRRefE21_0_2x</vt:lpstr>
      <vt:lpstr>'331'!OSRRefE21_0_2x</vt:lpstr>
      <vt:lpstr>'332'!OSRRefE21_0_2x</vt:lpstr>
      <vt:lpstr>'405'!OSRRefE21_0_2x</vt:lpstr>
      <vt:lpstr>'411'!OSRRefE21_0_2x</vt:lpstr>
      <vt:lpstr>'415'!OSRRefE21_0_2x</vt:lpstr>
      <vt:lpstr>'418'!OSRRefE21_0_2x</vt:lpstr>
      <vt:lpstr>'423'!OSRRefE21_0_2x</vt:lpstr>
      <vt:lpstr>'430'!OSRRefE21_0_2x</vt:lpstr>
      <vt:lpstr>'433'!OSRRefE21_0_2x</vt:lpstr>
      <vt:lpstr>'444'!OSRRefE21_0_2x</vt:lpstr>
      <vt:lpstr>'450'!OSRRefE21_0_2x</vt:lpstr>
      <vt:lpstr>'491'!OSRRefE21_0_2x</vt:lpstr>
      <vt:lpstr>'492'!OSRRefE21_0_2x</vt:lpstr>
      <vt:lpstr>'501'!OSRRefE21_0_2x</vt:lpstr>
      <vt:lpstr>'Div 2'!OSRRefE21_0_2x</vt:lpstr>
      <vt:lpstr>'Div 3'!OSRRefE21_0_2x</vt:lpstr>
      <vt:lpstr>'Div 4'!OSRRefE21_0_2x</vt:lpstr>
      <vt:lpstr>'Div 5'!OSRRefE21_0_2x</vt:lpstr>
      <vt:lpstr>'Div 6'!OSRRefE21_0_2x</vt:lpstr>
      <vt:lpstr>Summary!OSRRefE21_0_2x</vt:lpstr>
      <vt:lpstr>'201'!OSRRefE21_0_3x</vt:lpstr>
      <vt:lpstr>'202'!OSRRefE21_0_3x</vt:lpstr>
      <vt:lpstr>'203'!OSRRefE21_0_3x</vt:lpstr>
      <vt:lpstr>'204'!OSRRefE21_0_3x</vt:lpstr>
      <vt:lpstr>'205'!OSRRefE21_0_3x</vt:lpstr>
      <vt:lpstr>'206'!OSRRefE21_0_3x</vt:lpstr>
      <vt:lpstr>'300'!OSRRefE21_0_3x</vt:lpstr>
      <vt:lpstr>'300 &amp; 317'!OSRRefE21_0_3x</vt:lpstr>
      <vt:lpstr>'301'!OSRRefE21_0_3x</vt:lpstr>
      <vt:lpstr>'307'!OSRRefE21_0_3x</vt:lpstr>
      <vt:lpstr>'308'!OSRRefE21_0_3x</vt:lpstr>
      <vt:lpstr>'310'!OSRRefE21_0_3x</vt:lpstr>
      <vt:lpstr>'310 &amp; 491'!OSRRefE21_0_3x</vt:lpstr>
      <vt:lpstr>'311'!OSRRefE21_0_3x</vt:lpstr>
      <vt:lpstr>'315'!OSRRefE21_0_3x</vt:lpstr>
      <vt:lpstr>'316'!OSRRefE21_0_3x</vt:lpstr>
      <vt:lpstr>'317'!OSRRefE21_0_3x</vt:lpstr>
      <vt:lpstr>'321'!OSRRefE21_0_3x</vt:lpstr>
      <vt:lpstr>'325'!OSRRefE21_0_3x</vt:lpstr>
      <vt:lpstr>'326'!OSRRefE21_0_3x</vt:lpstr>
      <vt:lpstr>'330'!OSRRefE21_0_3x</vt:lpstr>
      <vt:lpstr>'331'!OSRRefE21_0_3x</vt:lpstr>
      <vt:lpstr>'332'!OSRRefE21_0_3x</vt:lpstr>
      <vt:lpstr>'405'!OSRRefE21_0_3x</vt:lpstr>
      <vt:lpstr>'411'!OSRRefE21_0_3x</vt:lpstr>
      <vt:lpstr>'415'!OSRRefE21_0_3x</vt:lpstr>
      <vt:lpstr>'418'!OSRRefE21_0_3x</vt:lpstr>
      <vt:lpstr>'423'!OSRRefE21_0_3x</vt:lpstr>
      <vt:lpstr>'430'!OSRRefE21_0_3x</vt:lpstr>
      <vt:lpstr>'433'!OSRRefE21_0_3x</vt:lpstr>
      <vt:lpstr>'444'!OSRRefE21_0_3x</vt:lpstr>
      <vt:lpstr>'450'!OSRRefE21_0_3x</vt:lpstr>
      <vt:lpstr>'491'!OSRRefE21_0_3x</vt:lpstr>
      <vt:lpstr>'492'!OSRRefE21_0_3x</vt:lpstr>
      <vt:lpstr>'501'!OSRRefE21_0_3x</vt:lpstr>
      <vt:lpstr>'Div 2'!OSRRefE21_0_3x</vt:lpstr>
      <vt:lpstr>'Div 3'!OSRRefE21_0_3x</vt:lpstr>
      <vt:lpstr>'Div 4'!OSRRefE21_0_3x</vt:lpstr>
      <vt:lpstr>'Div 5'!OSRRefE21_0_3x</vt:lpstr>
      <vt:lpstr>'Div 6'!OSRRefE21_0_3x</vt:lpstr>
      <vt:lpstr>Summary!OSRRefE21_0_3x</vt:lpstr>
      <vt:lpstr>'201'!OSRRefE21_0_4x</vt:lpstr>
      <vt:lpstr>'202'!OSRRefE21_0_4x</vt:lpstr>
      <vt:lpstr>'203'!OSRRefE21_0_4x</vt:lpstr>
      <vt:lpstr>'204'!OSRRefE21_0_4x</vt:lpstr>
      <vt:lpstr>'205'!OSRRefE21_0_4x</vt:lpstr>
      <vt:lpstr>'206'!OSRRefE21_0_4x</vt:lpstr>
      <vt:lpstr>'300'!OSRRefE21_0_4x</vt:lpstr>
      <vt:lpstr>'300 &amp; 317'!OSRRefE21_0_4x</vt:lpstr>
      <vt:lpstr>'301'!OSRRefE21_0_4x</vt:lpstr>
      <vt:lpstr>'307'!OSRRefE21_0_4x</vt:lpstr>
      <vt:lpstr>'308'!OSRRefE21_0_4x</vt:lpstr>
      <vt:lpstr>'310'!OSRRefE21_0_4x</vt:lpstr>
      <vt:lpstr>'310 &amp; 491'!OSRRefE21_0_4x</vt:lpstr>
      <vt:lpstr>'311'!OSRRefE21_0_4x</vt:lpstr>
      <vt:lpstr>'315'!OSRRefE21_0_4x</vt:lpstr>
      <vt:lpstr>'316'!OSRRefE21_0_4x</vt:lpstr>
      <vt:lpstr>'317'!OSRRefE21_0_4x</vt:lpstr>
      <vt:lpstr>'321'!OSRRefE21_0_4x</vt:lpstr>
      <vt:lpstr>'325'!OSRRefE21_0_4x</vt:lpstr>
      <vt:lpstr>'326'!OSRRefE21_0_4x</vt:lpstr>
      <vt:lpstr>'330'!OSRRefE21_0_4x</vt:lpstr>
      <vt:lpstr>'331'!OSRRefE21_0_4x</vt:lpstr>
      <vt:lpstr>'332'!OSRRefE21_0_4x</vt:lpstr>
      <vt:lpstr>'405'!OSRRefE21_0_4x</vt:lpstr>
      <vt:lpstr>'411'!OSRRefE21_0_4x</vt:lpstr>
      <vt:lpstr>'415'!OSRRefE21_0_4x</vt:lpstr>
      <vt:lpstr>'418'!OSRRefE21_0_4x</vt:lpstr>
      <vt:lpstr>'423'!OSRRefE21_0_4x</vt:lpstr>
      <vt:lpstr>'430'!OSRRefE21_0_4x</vt:lpstr>
      <vt:lpstr>'433'!OSRRefE21_0_4x</vt:lpstr>
      <vt:lpstr>'444'!OSRRefE21_0_4x</vt:lpstr>
      <vt:lpstr>'450'!OSRRefE21_0_4x</vt:lpstr>
      <vt:lpstr>'491'!OSRRefE21_0_4x</vt:lpstr>
      <vt:lpstr>'492'!OSRRefE21_0_4x</vt:lpstr>
      <vt:lpstr>'501'!OSRRefE21_0_4x</vt:lpstr>
      <vt:lpstr>'Div 2'!OSRRefE21_0_4x</vt:lpstr>
      <vt:lpstr>'Div 3'!OSRRefE21_0_4x</vt:lpstr>
      <vt:lpstr>'Div 4'!OSRRefE21_0_4x</vt:lpstr>
      <vt:lpstr>'Div 5'!OSRRefE21_0_4x</vt:lpstr>
      <vt:lpstr>'Div 6'!OSRRefE21_0_4x</vt:lpstr>
      <vt:lpstr>Summary!OSRRefE21_0_4x</vt:lpstr>
      <vt:lpstr>'201'!OSRRefE21_0_5x</vt:lpstr>
      <vt:lpstr>'202'!OSRRefE21_0_5x</vt:lpstr>
      <vt:lpstr>'203'!OSRRefE21_0_5x</vt:lpstr>
      <vt:lpstr>'204'!OSRRefE21_0_5x</vt:lpstr>
      <vt:lpstr>'205'!OSRRefE21_0_5x</vt:lpstr>
      <vt:lpstr>'206'!OSRRefE21_0_5x</vt:lpstr>
      <vt:lpstr>'300'!OSRRefE21_0_5x</vt:lpstr>
      <vt:lpstr>'300 &amp; 317'!OSRRefE21_0_5x</vt:lpstr>
      <vt:lpstr>'301'!OSRRefE21_0_5x</vt:lpstr>
      <vt:lpstr>'307'!OSRRefE21_0_5x</vt:lpstr>
      <vt:lpstr>'308'!OSRRefE21_0_5x</vt:lpstr>
      <vt:lpstr>'310'!OSRRefE21_0_5x</vt:lpstr>
      <vt:lpstr>'310 &amp; 491'!OSRRefE21_0_5x</vt:lpstr>
      <vt:lpstr>'311'!OSRRefE21_0_5x</vt:lpstr>
      <vt:lpstr>'315'!OSRRefE21_0_5x</vt:lpstr>
      <vt:lpstr>'316'!OSRRefE21_0_5x</vt:lpstr>
      <vt:lpstr>'317'!OSRRefE21_0_5x</vt:lpstr>
      <vt:lpstr>'321'!OSRRefE21_0_5x</vt:lpstr>
      <vt:lpstr>'325'!OSRRefE21_0_5x</vt:lpstr>
      <vt:lpstr>'326'!OSRRefE21_0_5x</vt:lpstr>
      <vt:lpstr>'330'!OSRRefE21_0_5x</vt:lpstr>
      <vt:lpstr>'331'!OSRRefE21_0_5x</vt:lpstr>
      <vt:lpstr>'332'!OSRRefE21_0_5x</vt:lpstr>
      <vt:lpstr>'405'!OSRRefE21_0_5x</vt:lpstr>
      <vt:lpstr>'411'!OSRRefE21_0_5x</vt:lpstr>
      <vt:lpstr>'415'!OSRRefE21_0_5x</vt:lpstr>
      <vt:lpstr>'418'!OSRRefE21_0_5x</vt:lpstr>
      <vt:lpstr>'423'!OSRRefE21_0_5x</vt:lpstr>
      <vt:lpstr>'430'!OSRRefE21_0_5x</vt:lpstr>
      <vt:lpstr>'433'!OSRRefE21_0_5x</vt:lpstr>
      <vt:lpstr>'444'!OSRRefE21_0_5x</vt:lpstr>
      <vt:lpstr>'450'!OSRRefE21_0_5x</vt:lpstr>
      <vt:lpstr>'491'!OSRRefE21_0_5x</vt:lpstr>
      <vt:lpstr>'492'!OSRRefE21_0_5x</vt:lpstr>
      <vt:lpstr>'501'!OSRRefE21_0_5x</vt:lpstr>
      <vt:lpstr>'Div 2'!OSRRefE21_0_5x</vt:lpstr>
      <vt:lpstr>'Div 3'!OSRRefE21_0_5x</vt:lpstr>
      <vt:lpstr>'Div 4'!OSRRefE21_0_5x</vt:lpstr>
      <vt:lpstr>'Div 5'!OSRRefE21_0_5x</vt:lpstr>
      <vt:lpstr>'Div 6'!OSRRefE21_0_5x</vt:lpstr>
      <vt:lpstr>Summary!OSRRefE21_0_5x</vt:lpstr>
      <vt:lpstr>'201'!OSRRefE21_0_6x</vt:lpstr>
      <vt:lpstr>'202'!OSRRefE21_0_6x</vt:lpstr>
      <vt:lpstr>'203'!OSRRefE21_0_6x</vt:lpstr>
      <vt:lpstr>'204'!OSRRefE21_0_6x</vt:lpstr>
      <vt:lpstr>'205'!OSRRefE21_0_6x</vt:lpstr>
      <vt:lpstr>'206'!OSRRefE21_0_6x</vt:lpstr>
      <vt:lpstr>'300'!OSRRefE21_0_6x</vt:lpstr>
      <vt:lpstr>'300 &amp; 317'!OSRRefE21_0_6x</vt:lpstr>
      <vt:lpstr>'301'!OSRRefE21_0_6x</vt:lpstr>
      <vt:lpstr>'307'!OSRRefE21_0_6x</vt:lpstr>
      <vt:lpstr>'308'!OSRRefE21_0_6x</vt:lpstr>
      <vt:lpstr>'310'!OSRRefE21_0_6x</vt:lpstr>
      <vt:lpstr>'310 &amp; 491'!OSRRefE21_0_6x</vt:lpstr>
      <vt:lpstr>'311'!OSRRefE21_0_6x</vt:lpstr>
      <vt:lpstr>'315'!OSRRefE21_0_6x</vt:lpstr>
      <vt:lpstr>'316'!OSRRefE21_0_6x</vt:lpstr>
      <vt:lpstr>'317'!OSRRefE21_0_6x</vt:lpstr>
      <vt:lpstr>'321'!OSRRefE21_0_6x</vt:lpstr>
      <vt:lpstr>'325'!OSRRefE21_0_6x</vt:lpstr>
      <vt:lpstr>'326'!OSRRefE21_0_6x</vt:lpstr>
      <vt:lpstr>'330'!OSRRefE21_0_6x</vt:lpstr>
      <vt:lpstr>'331'!OSRRefE21_0_6x</vt:lpstr>
      <vt:lpstr>'332'!OSRRefE21_0_6x</vt:lpstr>
      <vt:lpstr>'405'!OSRRefE21_0_6x</vt:lpstr>
      <vt:lpstr>'411'!OSRRefE21_0_6x</vt:lpstr>
      <vt:lpstr>'415'!OSRRefE21_0_6x</vt:lpstr>
      <vt:lpstr>'418'!OSRRefE21_0_6x</vt:lpstr>
      <vt:lpstr>'423'!OSRRefE21_0_6x</vt:lpstr>
      <vt:lpstr>'430'!OSRRefE21_0_6x</vt:lpstr>
      <vt:lpstr>'433'!OSRRefE21_0_6x</vt:lpstr>
      <vt:lpstr>'444'!OSRRefE21_0_6x</vt:lpstr>
      <vt:lpstr>'450'!OSRRefE21_0_6x</vt:lpstr>
      <vt:lpstr>'491'!OSRRefE21_0_6x</vt:lpstr>
      <vt:lpstr>'492'!OSRRefE21_0_6x</vt:lpstr>
      <vt:lpstr>'501'!OSRRefE21_0_6x</vt:lpstr>
      <vt:lpstr>'Div 2'!OSRRefE21_0_6x</vt:lpstr>
      <vt:lpstr>'Div 3'!OSRRefE21_0_6x</vt:lpstr>
      <vt:lpstr>'Div 4'!OSRRefE21_0_6x</vt:lpstr>
      <vt:lpstr>'Div 5'!OSRRefE21_0_6x</vt:lpstr>
      <vt:lpstr>'Div 6'!OSRRefE21_0_6x</vt:lpstr>
      <vt:lpstr>Summary!OSRRefE21_0_6x</vt:lpstr>
      <vt:lpstr>'201'!OSRRefE21_0_7x</vt:lpstr>
      <vt:lpstr>'202'!OSRRefE21_0_7x</vt:lpstr>
      <vt:lpstr>'203'!OSRRefE21_0_7x</vt:lpstr>
      <vt:lpstr>'204'!OSRRefE21_0_7x</vt:lpstr>
      <vt:lpstr>'205'!OSRRefE21_0_7x</vt:lpstr>
      <vt:lpstr>'206'!OSRRefE21_0_7x</vt:lpstr>
      <vt:lpstr>'300'!OSRRefE21_0_7x</vt:lpstr>
      <vt:lpstr>'300 &amp; 317'!OSRRefE21_0_7x</vt:lpstr>
      <vt:lpstr>'301'!OSRRefE21_0_7x</vt:lpstr>
      <vt:lpstr>'307'!OSRRefE21_0_7x</vt:lpstr>
      <vt:lpstr>'308'!OSRRefE21_0_7x</vt:lpstr>
      <vt:lpstr>'310'!OSRRefE21_0_7x</vt:lpstr>
      <vt:lpstr>'310 &amp; 491'!OSRRefE21_0_7x</vt:lpstr>
      <vt:lpstr>'311'!OSRRefE21_0_7x</vt:lpstr>
      <vt:lpstr>'315'!OSRRefE21_0_7x</vt:lpstr>
      <vt:lpstr>'316'!OSRRefE21_0_7x</vt:lpstr>
      <vt:lpstr>'317'!OSRRefE21_0_7x</vt:lpstr>
      <vt:lpstr>'321'!OSRRefE21_0_7x</vt:lpstr>
      <vt:lpstr>'325'!OSRRefE21_0_7x</vt:lpstr>
      <vt:lpstr>'326'!OSRRefE21_0_7x</vt:lpstr>
      <vt:lpstr>'330'!OSRRefE21_0_7x</vt:lpstr>
      <vt:lpstr>'331'!OSRRefE21_0_7x</vt:lpstr>
      <vt:lpstr>'332'!OSRRefE21_0_7x</vt:lpstr>
      <vt:lpstr>'405'!OSRRefE21_0_7x</vt:lpstr>
      <vt:lpstr>'411'!OSRRefE21_0_7x</vt:lpstr>
      <vt:lpstr>'415'!OSRRefE21_0_7x</vt:lpstr>
      <vt:lpstr>'418'!OSRRefE21_0_7x</vt:lpstr>
      <vt:lpstr>'423'!OSRRefE21_0_7x</vt:lpstr>
      <vt:lpstr>'430'!OSRRefE21_0_7x</vt:lpstr>
      <vt:lpstr>'433'!OSRRefE21_0_7x</vt:lpstr>
      <vt:lpstr>'444'!OSRRefE21_0_7x</vt:lpstr>
      <vt:lpstr>'450'!OSRRefE21_0_7x</vt:lpstr>
      <vt:lpstr>'491'!OSRRefE21_0_7x</vt:lpstr>
      <vt:lpstr>'492'!OSRRefE21_0_7x</vt:lpstr>
      <vt:lpstr>'501'!OSRRefE21_0_7x</vt:lpstr>
      <vt:lpstr>'Div 2'!OSRRefE21_0_7x</vt:lpstr>
      <vt:lpstr>'Div 3'!OSRRefE21_0_7x</vt:lpstr>
      <vt:lpstr>'Div 4'!OSRRefE21_0_7x</vt:lpstr>
      <vt:lpstr>'Div 5'!OSRRefE21_0_7x</vt:lpstr>
      <vt:lpstr>'Div 6'!OSRRefE21_0_7x</vt:lpstr>
      <vt:lpstr>Summary!OSRRefE21_0_7x</vt:lpstr>
      <vt:lpstr>'201'!OSRRefE21_0_8x</vt:lpstr>
      <vt:lpstr>'202'!OSRRefE21_0_8x</vt:lpstr>
      <vt:lpstr>'203'!OSRRefE21_0_8x</vt:lpstr>
      <vt:lpstr>'204'!OSRRefE21_0_8x</vt:lpstr>
      <vt:lpstr>'205'!OSRRefE21_0_8x</vt:lpstr>
      <vt:lpstr>'206'!OSRRefE21_0_8x</vt:lpstr>
      <vt:lpstr>'300'!OSRRefE21_0_8x</vt:lpstr>
      <vt:lpstr>'300 &amp; 317'!OSRRefE21_0_8x</vt:lpstr>
      <vt:lpstr>'301'!OSRRefE21_0_8x</vt:lpstr>
      <vt:lpstr>'308'!OSRRefE21_0_8x</vt:lpstr>
      <vt:lpstr>'310 &amp; 491'!OSRRefE21_0_8x</vt:lpstr>
      <vt:lpstr>'311'!OSRRefE21_0_8x</vt:lpstr>
      <vt:lpstr>'315'!OSRRefE21_0_8x</vt:lpstr>
      <vt:lpstr>'316'!OSRRefE21_0_8x</vt:lpstr>
      <vt:lpstr>'317'!OSRRefE21_0_8x</vt:lpstr>
      <vt:lpstr>'326'!OSRRefE21_0_8x</vt:lpstr>
      <vt:lpstr>'331'!OSRRefE21_0_8x</vt:lpstr>
      <vt:lpstr>'332'!OSRRefE21_0_8x</vt:lpstr>
      <vt:lpstr>'405'!OSRRefE21_0_8x</vt:lpstr>
      <vt:lpstr>'411'!OSRRefE21_0_8x</vt:lpstr>
      <vt:lpstr>'415'!OSRRefE21_0_8x</vt:lpstr>
      <vt:lpstr>'418'!OSRRefE21_0_8x</vt:lpstr>
      <vt:lpstr>'430'!OSRRefE21_0_8x</vt:lpstr>
      <vt:lpstr>'433'!OSRRefE21_0_8x</vt:lpstr>
      <vt:lpstr>'444'!OSRRefE21_0_8x</vt:lpstr>
      <vt:lpstr>'450'!OSRRefE21_0_8x</vt:lpstr>
      <vt:lpstr>'491'!OSRRefE21_0_8x</vt:lpstr>
      <vt:lpstr>'492'!OSRRefE21_0_8x</vt:lpstr>
      <vt:lpstr>'501'!OSRRefE21_0_8x</vt:lpstr>
      <vt:lpstr>'Div 2'!OSRRefE21_0_8x</vt:lpstr>
      <vt:lpstr>'Div 3'!OSRRefE21_0_8x</vt:lpstr>
      <vt:lpstr>'Div 4'!OSRRefE21_0_8x</vt:lpstr>
      <vt:lpstr>'Div 5'!OSRRefE21_0_8x</vt:lpstr>
      <vt:lpstr>'Div 6'!OSRRefE21_0_8x</vt:lpstr>
      <vt:lpstr>Summary!OSRRefE21_0_8x</vt:lpstr>
      <vt:lpstr>'203'!OSRRefE21_0_9x</vt:lpstr>
      <vt:lpstr>'300'!OSRRefE21_0_9x</vt:lpstr>
      <vt:lpstr>'300 &amp; 317'!OSRRefE21_0_9x</vt:lpstr>
      <vt:lpstr>'301'!OSRRefE21_0_9x</vt:lpstr>
      <vt:lpstr>'308'!OSRRefE21_0_9x</vt:lpstr>
      <vt:lpstr>'311'!OSRRefE21_0_9x</vt:lpstr>
      <vt:lpstr>'317'!OSRRefE21_0_9x</vt:lpstr>
      <vt:lpstr>'433'!OSRRefE21_0_9x</vt:lpstr>
      <vt:lpstr>'444'!OSRRefE21_0_9x</vt:lpstr>
      <vt:lpstr>'450'!OSRRefE21_0_9x</vt:lpstr>
      <vt:lpstr>'492'!OSRRefE21_0_9x</vt:lpstr>
      <vt:lpstr>'Div 2'!OSRRefE21_0_9x</vt:lpstr>
      <vt:lpstr>'Div 3'!OSRRefE21_0_9x</vt:lpstr>
      <vt:lpstr>'Div 4'!OSRRefE21_0_9x</vt:lpstr>
      <vt:lpstr>'Div 6'!OSRRefE21_0_9x</vt:lpstr>
      <vt:lpstr>Summary!OSRRefE21_0_9x</vt:lpstr>
      <vt:lpstr>'200'!OSRRefE21_0x_0</vt:lpstr>
      <vt:lpstr>'201'!OSRRefE21_0x_0</vt:lpstr>
      <vt:lpstr>'202'!OSRRefE21_0x_0</vt:lpstr>
      <vt:lpstr>'203'!OSRRefE21_0x_0</vt:lpstr>
      <vt:lpstr>'204'!OSRRefE21_0x_0</vt:lpstr>
      <vt:lpstr>'205'!OSRRefE21_0x_0</vt:lpstr>
      <vt:lpstr>'206'!OSRRefE21_0x_0</vt:lpstr>
      <vt:lpstr>'300'!OSRRefE21_0x_0</vt:lpstr>
      <vt:lpstr>'300 &amp; 317'!OSRRefE21_0x_0</vt:lpstr>
      <vt:lpstr>'301'!OSRRefE21_0x_0</vt:lpstr>
      <vt:lpstr>'307'!OSRRefE21_0x_0</vt:lpstr>
      <vt:lpstr>'308'!OSRRefE21_0x_0</vt:lpstr>
      <vt:lpstr>'309'!OSRRefE21_0x_0</vt:lpstr>
      <vt:lpstr>'310'!OSRRefE21_0x_0</vt:lpstr>
      <vt:lpstr>'310 &amp; 491'!OSRRefE21_0x_0</vt:lpstr>
      <vt:lpstr>'311'!OSRRefE21_0x_0</vt:lpstr>
      <vt:lpstr>'313'!OSRRefE21_0x_0</vt:lpstr>
      <vt:lpstr>'315'!OSRRefE21_0x_0</vt:lpstr>
      <vt:lpstr>'316'!OSRRefE21_0x_0</vt:lpstr>
      <vt:lpstr>'317'!OSRRefE21_0x_0</vt:lpstr>
      <vt:lpstr>'321'!OSRRefE21_0x_0</vt:lpstr>
      <vt:lpstr>'325'!OSRRefE21_0x_0</vt:lpstr>
      <vt:lpstr>'326'!OSRRefE21_0x_0</vt:lpstr>
      <vt:lpstr>'327'!OSRRefE21_0x_0</vt:lpstr>
      <vt:lpstr>'330'!OSRRefE21_0x_0</vt:lpstr>
      <vt:lpstr>'331'!OSRRefE21_0x_0</vt:lpstr>
      <vt:lpstr>'332'!OSRRefE21_0x_0</vt:lpstr>
      <vt:lpstr>'405'!OSRRefE21_0x_0</vt:lpstr>
      <vt:lpstr>'411'!OSRRefE21_0x_0</vt:lpstr>
      <vt:lpstr>'412'!OSRRefE21_0x_0</vt:lpstr>
      <vt:lpstr>'413'!OSRRefE21_0x_0</vt:lpstr>
      <vt:lpstr>'415'!OSRRefE21_0x_0</vt:lpstr>
      <vt:lpstr>'418'!OSRRefE21_0x_0</vt:lpstr>
      <vt:lpstr>'423'!OSRRefE21_0x_0</vt:lpstr>
      <vt:lpstr>'424'!OSRRefE21_0x_0</vt:lpstr>
      <vt:lpstr>'425'!OSRRefE21_0x_0</vt:lpstr>
      <vt:lpstr>'430'!OSRRefE21_0x_0</vt:lpstr>
      <vt:lpstr>'433'!OSRRefE21_0x_0</vt:lpstr>
      <vt:lpstr>'444'!OSRRefE21_0x_0</vt:lpstr>
      <vt:lpstr>'450'!OSRRefE21_0x_0</vt:lpstr>
      <vt:lpstr>'491'!OSRRefE21_0x_0</vt:lpstr>
      <vt:lpstr>'492'!OSRRefE21_0x_0</vt:lpstr>
      <vt:lpstr>'501'!OSRRefE21_0x_0</vt:lpstr>
      <vt:lpstr>'Div 2'!OSRRefE21_0x_0</vt:lpstr>
      <vt:lpstr>'Div 3'!OSRRefE21_0x_0</vt:lpstr>
      <vt:lpstr>'Div 4'!OSRRefE21_0x_0</vt:lpstr>
      <vt:lpstr>'Div 5'!OSRRefE21_0x_0</vt:lpstr>
      <vt:lpstr>'Div 6'!OSRRefE21_0x_0</vt:lpstr>
      <vt:lpstr>Summary!OSRRefE21_0x_0</vt:lpstr>
      <vt:lpstr>'200'!OSRRefE21_0x_1</vt:lpstr>
      <vt:lpstr>'201'!OSRRefE21_0x_1</vt:lpstr>
      <vt:lpstr>'202'!OSRRefE21_0x_1</vt:lpstr>
      <vt:lpstr>'203'!OSRRefE21_0x_1</vt:lpstr>
      <vt:lpstr>'204'!OSRRefE21_0x_1</vt:lpstr>
      <vt:lpstr>'205'!OSRRefE21_0x_1</vt:lpstr>
      <vt:lpstr>'206'!OSRRefE21_0x_1</vt:lpstr>
      <vt:lpstr>'300'!OSRRefE21_0x_1</vt:lpstr>
      <vt:lpstr>'300 &amp; 317'!OSRRefE21_0x_1</vt:lpstr>
      <vt:lpstr>'301'!OSRRefE21_0x_1</vt:lpstr>
      <vt:lpstr>'307'!OSRRefE21_0x_1</vt:lpstr>
      <vt:lpstr>'308'!OSRRefE21_0x_1</vt:lpstr>
      <vt:lpstr>'309'!OSRRefE21_0x_1</vt:lpstr>
      <vt:lpstr>'310'!OSRRefE21_0x_1</vt:lpstr>
      <vt:lpstr>'310 &amp; 491'!OSRRefE21_0x_1</vt:lpstr>
      <vt:lpstr>'311'!OSRRefE21_0x_1</vt:lpstr>
      <vt:lpstr>'313'!OSRRefE21_0x_1</vt:lpstr>
      <vt:lpstr>'315'!OSRRefE21_0x_1</vt:lpstr>
      <vt:lpstr>'316'!OSRRefE21_0x_1</vt:lpstr>
      <vt:lpstr>'317'!OSRRefE21_0x_1</vt:lpstr>
      <vt:lpstr>'321'!OSRRefE21_0x_1</vt:lpstr>
      <vt:lpstr>'325'!OSRRefE21_0x_1</vt:lpstr>
      <vt:lpstr>'326'!OSRRefE21_0x_1</vt:lpstr>
      <vt:lpstr>'327'!OSRRefE21_0x_1</vt:lpstr>
      <vt:lpstr>'330'!OSRRefE21_0x_1</vt:lpstr>
      <vt:lpstr>'331'!OSRRefE21_0x_1</vt:lpstr>
      <vt:lpstr>'332'!OSRRefE21_0x_1</vt:lpstr>
      <vt:lpstr>'405'!OSRRefE21_0x_1</vt:lpstr>
      <vt:lpstr>'411'!OSRRefE21_0x_1</vt:lpstr>
      <vt:lpstr>'412'!OSRRefE21_0x_1</vt:lpstr>
      <vt:lpstr>'413'!OSRRefE21_0x_1</vt:lpstr>
      <vt:lpstr>'415'!OSRRefE21_0x_1</vt:lpstr>
      <vt:lpstr>'418'!OSRRefE21_0x_1</vt:lpstr>
      <vt:lpstr>'423'!OSRRefE21_0x_1</vt:lpstr>
      <vt:lpstr>'424'!OSRRefE21_0x_1</vt:lpstr>
      <vt:lpstr>'425'!OSRRefE21_0x_1</vt:lpstr>
      <vt:lpstr>'430'!OSRRefE21_0x_1</vt:lpstr>
      <vt:lpstr>'433'!OSRRefE21_0x_1</vt:lpstr>
      <vt:lpstr>'444'!OSRRefE21_0x_1</vt:lpstr>
      <vt:lpstr>'450'!OSRRefE21_0x_1</vt:lpstr>
      <vt:lpstr>'491'!OSRRefE21_0x_1</vt:lpstr>
      <vt:lpstr>'492'!OSRRefE21_0x_1</vt:lpstr>
      <vt:lpstr>'501'!OSRRefE21_0x_1</vt:lpstr>
      <vt:lpstr>'Div 2'!OSRRefE21_0x_1</vt:lpstr>
      <vt:lpstr>'Div 3'!OSRRefE21_0x_1</vt:lpstr>
      <vt:lpstr>'Div 4'!OSRRefE21_0x_1</vt:lpstr>
      <vt:lpstr>'Div 5'!OSRRefE21_0x_1</vt:lpstr>
      <vt:lpstr>'Div 6'!OSRRefE21_0x_1</vt:lpstr>
      <vt:lpstr>Summary!OSRRefE21_0x_1</vt:lpstr>
      <vt:lpstr>'200'!OSRRefE21_0x_10</vt:lpstr>
      <vt:lpstr>'201'!OSRRefE21_0x_10</vt:lpstr>
      <vt:lpstr>'202'!OSRRefE21_0x_10</vt:lpstr>
      <vt:lpstr>'203'!OSRRefE21_0x_10</vt:lpstr>
      <vt:lpstr>'204'!OSRRefE21_0x_10</vt:lpstr>
      <vt:lpstr>'205'!OSRRefE21_0x_10</vt:lpstr>
      <vt:lpstr>'206'!OSRRefE21_0x_10</vt:lpstr>
      <vt:lpstr>'300'!OSRRefE21_0x_10</vt:lpstr>
      <vt:lpstr>'300 &amp; 317'!OSRRefE21_0x_10</vt:lpstr>
      <vt:lpstr>'301'!OSRRefE21_0x_10</vt:lpstr>
      <vt:lpstr>'307'!OSRRefE21_0x_10</vt:lpstr>
      <vt:lpstr>'308'!OSRRefE21_0x_10</vt:lpstr>
      <vt:lpstr>'309'!OSRRefE21_0x_10</vt:lpstr>
      <vt:lpstr>'310'!OSRRefE21_0x_10</vt:lpstr>
      <vt:lpstr>'310 &amp; 491'!OSRRefE21_0x_10</vt:lpstr>
      <vt:lpstr>'311'!OSRRefE21_0x_10</vt:lpstr>
      <vt:lpstr>'313'!OSRRefE21_0x_10</vt:lpstr>
      <vt:lpstr>'315'!OSRRefE21_0x_10</vt:lpstr>
      <vt:lpstr>'316'!OSRRefE21_0x_10</vt:lpstr>
      <vt:lpstr>'317'!OSRRefE21_0x_10</vt:lpstr>
      <vt:lpstr>'321'!OSRRefE21_0x_10</vt:lpstr>
      <vt:lpstr>'325'!OSRRefE21_0x_10</vt:lpstr>
      <vt:lpstr>'326'!OSRRefE21_0x_10</vt:lpstr>
      <vt:lpstr>'327'!OSRRefE21_0x_10</vt:lpstr>
      <vt:lpstr>'330'!OSRRefE21_0x_10</vt:lpstr>
      <vt:lpstr>'331'!OSRRefE21_0x_10</vt:lpstr>
      <vt:lpstr>'332'!OSRRefE21_0x_10</vt:lpstr>
      <vt:lpstr>'405'!OSRRefE21_0x_10</vt:lpstr>
      <vt:lpstr>'411'!OSRRefE21_0x_10</vt:lpstr>
      <vt:lpstr>'412'!OSRRefE21_0x_10</vt:lpstr>
      <vt:lpstr>'413'!OSRRefE21_0x_10</vt:lpstr>
      <vt:lpstr>'415'!OSRRefE21_0x_10</vt:lpstr>
      <vt:lpstr>'418'!OSRRefE21_0x_10</vt:lpstr>
      <vt:lpstr>'423'!OSRRefE21_0x_10</vt:lpstr>
      <vt:lpstr>'424'!OSRRefE21_0x_10</vt:lpstr>
      <vt:lpstr>'425'!OSRRefE21_0x_10</vt:lpstr>
      <vt:lpstr>'430'!OSRRefE21_0x_10</vt:lpstr>
      <vt:lpstr>'433'!OSRRefE21_0x_10</vt:lpstr>
      <vt:lpstr>'444'!OSRRefE21_0x_10</vt:lpstr>
      <vt:lpstr>'450'!OSRRefE21_0x_10</vt:lpstr>
      <vt:lpstr>'491'!OSRRefE21_0x_10</vt:lpstr>
      <vt:lpstr>'492'!OSRRefE21_0x_10</vt:lpstr>
      <vt:lpstr>'501'!OSRRefE21_0x_10</vt:lpstr>
      <vt:lpstr>'Div 2'!OSRRefE21_0x_10</vt:lpstr>
      <vt:lpstr>'Div 3'!OSRRefE21_0x_10</vt:lpstr>
      <vt:lpstr>'Div 4'!OSRRefE21_0x_10</vt:lpstr>
      <vt:lpstr>'Div 5'!OSRRefE21_0x_10</vt:lpstr>
      <vt:lpstr>'Div 6'!OSRRefE21_0x_10</vt:lpstr>
      <vt:lpstr>Summary!OSRRefE21_0x_10</vt:lpstr>
      <vt:lpstr>'200'!OSRRefE21_0x_2</vt:lpstr>
      <vt:lpstr>'201'!OSRRefE21_0x_2</vt:lpstr>
      <vt:lpstr>'202'!OSRRefE21_0x_2</vt:lpstr>
      <vt:lpstr>'203'!OSRRefE21_0x_2</vt:lpstr>
      <vt:lpstr>'204'!OSRRefE21_0x_2</vt:lpstr>
      <vt:lpstr>'205'!OSRRefE21_0x_2</vt:lpstr>
      <vt:lpstr>'206'!OSRRefE21_0x_2</vt:lpstr>
      <vt:lpstr>'300'!OSRRefE21_0x_2</vt:lpstr>
      <vt:lpstr>'300 &amp; 317'!OSRRefE21_0x_2</vt:lpstr>
      <vt:lpstr>'301'!OSRRefE21_0x_2</vt:lpstr>
      <vt:lpstr>'307'!OSRRefE21_0x_2</vt:lpstr>
      <vt:lpstr>'308'!OSRRefE21_0x_2</vt:lpstr>
      <vt:lpstr>'309'!OSRRefE21_0x_2</vt:lpstr>
      <vt:lpstr>'310'!OSRRefE21_0x_2</vt:lpstr>
      <vt:lpstr>'310 &amp; 491'!OSRRefE21_0x_2</vt:lpstr>
      <vt:lpstr>'311'!OSRRefE21_0x_2</vt:lpstr>
      <vt:lpstr>'313'!OSRRefE21_0x_2</vt:lpstr>
      <vt:lpstr>'315'!OSRRefE21_0x_2</vt:lpstr>
      <vt:lpstr>'316'!OSRRefE21_0x_2</vt:lpstr>
      <vt:lpstr>'317'!OSRRefE21_0x_2</vt:lpstr>
      <vt:lpstr>'321'!OSRRefE21_0x_2</vt:lpstr>
      <vt:lpstr>'325'!OSRRefE21_0x_2</vt:lpstr>
      <vt:lpstr>'326'!OSRRefE21_0x_2</vt:lpstr>
      <vt:lpstr>'327'!OSRRefE21_0x_2</vt:lpstr>
      <vt:lpstr>'330'!OSRRefE21_0x_2</vt:lpstr>
      <vt:lpstr>'331'!OSRRefE21_0x_2</vt:lpstr>
      <vt:lpstr>'332'!OSRRefE21_0x_2</vt:lpstr>
      <vt:lpstr>'405'!OSRRefE21_0x_2</vt:lpstr>
      <vt:lpstr>'411'!OSRRefE21_0x_2</vt:lpstr>
      <vt:lpstr>'412'!OSRRefE21_0x_2</vt:lpstr>
      <vt:lpstr>'413'!OSRRefE21_0x_2</vt:lpstr>
      <vt:lpstr>'415'!OSRRefE21_0x_2</vt:lpstr>
      <vt:lpstr>'418'!OSRRefE21_0x_2</vt:lpstr>
      <vt:lpstr>'423'!OSRRefE21_0x_2</vt:lpstr>
      <vt:lpstr>'424'!OSRRefE21_0x_2</vt:lpstr>
      <vt:lpstr>'425'!OSRRefE21_0x_2</vt:lpstr>
      <vt:lpstr>'430'!OSRRefE21_0x_2</vt:lpstr>
      <vt:lpstr>'433'!OSRRefE21_0x_2</vt:lpstr>
      <vt:lpstr>'444'!OSRRefE21_0x_2</vt:lpstr>
      <vt:lpstr>'450'!OSRRefE21_0x_2</vt:lpstr>
      <vt:lpstr>'491'!OSRRefE21_0x_2</vt:lpstr>
      <vt:lpstr>'492'!OSRRefE21_0x_2</vt:lpstr>
      <vt:lpstr>'501'!OSRRefE21_0x_2</vt:lpstr>
      <vt:lpstr>'Div 2'!OSRRefE21_0x_2</vt:lpstr>
      <vt:lpstr>'Div 3'!OSRRefE21_0x_2</vt:lpstr>
      <vt:lpstr>'Div 4'!OSRRefE21_0x_2</vt:lpstr>
      <vt:lpstr>'Div 5'!OSRRefE21_0x_2</vt:lpstr>
      <vt:lpstr>'Div 6'!OSRRefE21_0x_2</vt:lpstr>
      <vt:lpstr>Summary!OSRRefE21_0x_2</vt:lpstr>
      <vt:lpstr>'200'!OSRRefE21_0x_3</vt:lpstr>
      <vt:lpstr>'201'!OSRRefE21_0x_3</vt:lpstr>
      <vt:lpstr>'202'!OSRRefE21_0x_3</vt:lpstr>
      <vt:lpstr>'203'!OSRRefE21_0x_3</vt:lpstr>
      <vt:lpstr>'204'!OSRRefE21_0x_3</vt:lpstr>
      <vt:lpstr>'205'!OSRRefE21_0x_3</vt:lpstr>
      <vt:lpstr>'206'!OSRRefE21_0x_3</vt:lpstr>
      <vt:lpstr>'300'!OSRRefE21_0x_3</vt:lpstr>
      <vt:lpstr>'300 &amp; 317'!OSRRefE21_0x_3</vt:lpstr>
      <vt:lpstr>'301'!OSRRefE21_0x_3</vt:lpstr>
      <vt:lpstr>'307'!OSRRefE21_0x_3</vt:lpstr>
      <vt:lpstr>'308'!OSRRefE21_0x_3</vt:lpstr>
      <vt:lpstr>'309'!OSRRefE21_0x_3</vt:lpstr>
      <vt:lpstr>'310'!OSRRefE21_0x_3</vt:lpstr>
      <vt:lpstr>'310 &amp; 491'!OSRRefE21_0x_3</vt:lpstr>
      <vt:lpstr>'311'!OSRRefE21_0x_3</vt:lpstr>
      <vt:lpstr>'313'!OSRRefE21_0x_3</vt:lpstr>
      <vt:lpstr>'315'!OSRRefE21_0x_3</vt:lpstr>
      <vt:lpstr>'316'!OSRRefE21_0x_3</vt:lpstr>
      <vt:lpstr>'317'!OSRRefE21_0x_3</vt:lpstr>
      <vt:lpstr>'321'!OSRRefE21_0x_3</vt:lpstr>
      <vt:lpstr>'325'!OSRRefE21_0x_3</vt:lpstr>
      <vt:lpstr>'326'!OSRRefE21_0x_3</vt:lpstr>
      <vt:lpstr>'327'!OSRRefE21_0x_3</vt:lpstr>
      <vt:lpstr>'330'!OSRRefE21_0x_3</vt:lpstr>
      <vt:lpstr>'331'!OSRRefE21_0x_3</vt:lpstr>
      <vt:lpstr>'332'!OSRRefE21_0x_3</vt:lpstr>
      <vt:lpstr>'405'!OSRRefE21_0x_3</vt:lpstr>
      <vt:lpstr>'411'!OSRRefE21_0x_3</vt:lpstr>
      <vt:lpstr>'412'!OSRRefE21_0x_3</vt:lpstr>
      <vt:lpstr>'413'!OSRRefE21_0x_3</vt:lpstr>
      <vt:lpstr>'415'!OSRRefE21_0x_3</vt:lpstr>
      <vt:lpstr>'418'!OSRRefE21_0x_3</vt:lpstr>
      <vt:lpstr>'423'!OSRRefE21_0x_3</vt:lpstr>
      <vt:lpstr>'424'!OSRRefE21_0x_3</vt:lpstr>
      <vt:lpstr>'425'!OSRRefE21_0x_3</vt:lpstr>
      <vt:lpstr>'430'!OSRRefE21_0x_3</vt:lpstr>
      <vt:lpstr>'433'!OSRRefE21_0x_3</vt:lpstr>
      <vt:lpstr>'444'!OSRRefE21_0x_3</vt:lpstr>
      <vt:lpstr>'450'!OSRRefE21_0x_3</vt:lpstr>
      <vt:lpstr>'491'!OSRRefE21_0x_3</vt:lpstr>
      <vt:lpstr>'492'!OSRRefE21_0x_3</vt:lpstr>
      <vt:lpstr>'501'!OSRRefE21_0x_3</vt:lpstr>
      <vt:lpstr>'Div 2'!OSRRefE21_0x_3</vt:lpstr>
      <vt:lpstr>'Div 3'!OSRRefE21_0x_3</vt:lpstr>
      <vt:lpstr>'Div 4'!OSRRefE21_0x_3</vt:lpstr>
      <vt:lpstr>'Div 5'!OSRRefE21_0x_3</vt:lpstr>
      <vt:lpstr>'Div 6'!OSRRefE21_0x_3</vt:lpstr>
      <vt:lpstr>Summary!OSRRefE21_0x_3</vt:lpstr>
      <vt:lpstr>'200'!OSRRefE21_0x_4</vt:lpstr>
      <vt:lpstr>'201'!OSRRefE21_0x_4</vt:lpstr>
      <vt:lpstr>'202'!OSRRefE21_0x_4</vt:lpstr>
      <vt:lpstr>'203'!OSRRefE21_0x_4</vt:lpstr>
      <vt:lpstr>'204'!OSRRefE21_0x_4</vt:lpstr>
      <vt:lpstr>'205'!OSRRefE21_0x_4</vt:lpstr>
      <vt:lpstr>'206'!OSRRefE21_0x_4</vt:lpstr>
      <vt:lpstr>'300'!OSRRefE21_0x_4</vt:lpstr>
      <vt:lpstr>'300 &amp; 317'!OSRRefE21_0x_4</vt:lpstr>
      <vt:lpstr>'301'!OSRRefE21_0x_4</vt:lpstr>
      <vt:lpstr>'307'!OSRRefE21_0x_4</vt:lpstr>
      <vt:lpstr>'308'!OSRRefE21_0x_4</vt:lpstr>
      <vt:lpstr>'309'!OSRRefE21_0x_4</vt:lpstr>
      <vt:lpstr>'310'!OSRRefE21_0x_4</vt:lpstr>
      <vt:lpstr>'310 &amp; 491'!OSRRefE21_0x_4</vt:lpstr>
      <vt:lpstr>'311'!OSRRefE21_0x_4</vt:lpstr>
      <vt:lpstr>'313'!OSRRefE21_0x_4</vt:lpstr>
      <vt:lpstr>'315'!OSRRefE21_0x_4</vt:lpstr>
      <vt:lpstr>'316'!OSRRefE21_0x_4</vt:lpstr>
      <vt:lpstr>'317'!OSRRefE21_0x_4</vt:lpstr>
      <vt:lpstr>'321'!OSRRefE21_0x_4</vt:lpstr>
      <vt:lpstr>'325'!OSRRefE21_0x_4</vt:lpstr>
      <vt:lpstr>'326'!OSRRefE21_0x_4</vt:lpstr>
      <vt:lpstr>'327'!OSRRefE21_0x_4</vt:lpstr>
      <vt:lpstr>'330'!OSRRefE21_0x_4</vt:lpstr>
      <vt:lpstr>'331'!OSRRefE21_0x_4</vt:lpstr>
      <vt:lpstr>'332'!OSRRefE21_0x_4</vt:lpstr>
      <vt:lpstr>'405'!OSRRefE21_0x_4</vt:lpstr>
      <vt:lpstr>'411'!OSRRefE21_0x_4</vt:lpstr>
      <vt:lpstr>'412'!OSRRefE21_0x_4</vt:lpstr>
      <vt:lpstr>'413'!OSRRefE21_0x_4</vt:lpstr>
      <vt:lpstr>'415'!OSRRefE21_0x_4</vt:lpstr>
      <vt:lpstr>'418'!OSRRefE21_0x_4</vt:lpstr>
      <vt:lpstr>'423'!OSRRefE21_0x_4</vt:lpstr>
      <vt:lpstr>'424'!OSRRefE21_0x_4</vt:lpstr>
      <vt:lpstr>'425'!OSRRefE21_0x_4</vt:lpstr>
      <vt:lpstr>'430'!OSRRefE21_0x_4</vt:lpstr>
      <vt:lpstr>'433'!OSRRefE21_0x_4</vt:lpstr>
      <vt:lpstr>'444'!OSRRefE21_0x_4</vt:lpstr>
      <vt:lpstr>'450'!OSRRefE21_0x_4</vt:lpstr>
      <vt:lpstr>'491'!OSRRefE21_0x_4</vt:lpstr>
      <vt:lpstr>'492'!OSRRefE21_0x_4</vt:lpstr>
      <vt:lpstr>'501'!OSRRefE21_0x_4</vt:lpstr>
      <vt:lpstr>'Div 2'!OSRRefE21_0x_4</vt:lpstr>
      <vt:lpstr>'Div 3'!OSRRefE21_0x_4</vt:lpstr>
      <vt:lpstr>'Div 4'!OSRRefE21_0x_4</vt:lpstr>
      <vt:lpstr>'Div 5'!OSRRefE21_0x_4</vt:lpstr>
      <vt:lpstr>'Div 6'!OSRRefE21_0x_4</vt:lpstr>
      <vt:lpstr>Summary!OSRRefE21_0x_4</vt:lpstr>
      <vt:lpstr>'200'!OSRRefE21_0x_5</vt:lpstr>
      <vt:lpstr>'201'!OSRRefE21_0x_5</vt:lpstr>
      <vt:lpstr>'202'!OSRRefE21_0x_5</vt:lpstr>
      <vt:lpstr>'203'!OSRRefE21_0x_5</vt:lpstr>
      <vt:lpstr>'204'!OSRRefE21_0x_5</vt:lpstr>
      <vt:lpstr>'205'!OSRRefE21_0x_5</vt:lpstr>
      <vt:lpstr>'206'!OSRRefE21_0x_5</vt:lpstr>
      <vt:lpstr>'300'!OSRRefE21_0x_5</vt:lpstr>
      <vt:lpstr>'300 &amp; 317'!OSRRefE21_0x_5</vt:lpstr>
      <vt:lpstr>'301'!OSRRefE21_0x_5</vt:lpstr>
      <vt:lpstr>'307'!OSRRefE21_0x_5</vt:lpstr>
      <vt:lpstr>'308'!OSRRefE21_0x_5</vt:lpstr>
      <vt:lpstr>'309'!OSRRefE21_0x_5</vt:lpstr>
      <vt:lpstr>'310'!OSRRefE21_0x_5</vt:lpstr>
      <vt:lpstr>'310 &amp; 491'!OSRRefE21_0x_5</vt:lpstr>
      <vt:lpstr>'311'!OSRRefE21_0x_5</vt:lpstr>
      <vt:lpstr>'313'!OSRRefE21_0x_5</vt:lpstr>
      <vt:lpstr>'315'!OSRRefE21_0x_5</vt:lpstr>
      <vt:lpstr>'316'!OSRRefE21_0x_5</vt:lpstr>
      <vt:lpstr>'317'!OSRRefE21_0x_5</vt:lpstr>
      <vt:lpstr>'321'!OSRRefE21_0x_5</vt:lpstr>
      <vt:lpstr>'325'!OSRRefE21_0x_5</vt:lpstr>
      <vt:lpstr>'326'!OSRRefE21_0x_5</vt:lpstr>
      <vt:lpstr>'327'!OSRRefE21_0x_5</vt:lpstr>
      <vt:lpstr>'330'!OSRRefE21_0x_5</vt:lpstr>
      <vt:lpstr>'331'!OSRRefE21_0x_5</vt:lpstr>
      <vt:lpstr>'332'!OSRRefE21_0x_5</vt:lpstr>
      <vt:lpstr>'405'!OSRRefE21_0x_5</vt:lpstr>
      <vt:lpstr>'411'!OSRRefE21_0x_5</vt:lpstr>
      <vt:lpstr>'412'!OSRRefE21_0x_5</vt:lpstr>
      <vt:lpstr>'413'!OSRRefE21_0x_5</vt:lpstr>
      <vt:lpstr>'415'!OSRRefE21_0x_5</vt:lpstr>
      <vt:lpstr>'418'!OSRRefE21_0x_5</vt:lpstr>
      <vt:lpstr>'423'!OSRRefE21_0x_5</vt:lpstr>
      <vt:lpstr>'424'!OSRRefE21_0x_5</vt:lpstr>
      <vt:lpstr>'425'!OSRRefE21_0x_5</vt:lpstr>
      <vt:lpstr>'430'!OSRRefE21_0x_5</vt:lpstr>
      <vt:lpstr>'433'!OSRRefE21_0x_5</vt:lpstr>
      <vt:lpstr>'444'!OSRRefE21_0x_5</vt:lpstr>
      <vt:lpstr>'450'!OSRRefE21_0x_5</vt:lpstr>
      <vt:lpstr>'491'!OSRRefE21_0x_5</vt:lpstr>
      <vt:lpstr>'492'!OSRRefE21_0x_5</vt:lpstr>
      <vt:lpstr>'501'!OSRRefE21_0x_5</vt:lpstr>
      <vt:lpstr>'Div 2'!OSRRefE21_0x_5</vt:lpstr>
      <vt:lpstr>'Div 3'!OSRRefE21_0x_5</vt:lpstr>
      <vt:lpstr>'Div 4'!OSRRefE21_0x_5</vt:lpstr>
      <vt:lpstr>'Div 5'!OSRRefE21_0x_5</vt:lpstr>
      <vt:lpstr>'Div 6'!OSRRefE21_0x_5</vt:lpstr>
      <vt:lpstr>Summary!OSRRefE21_0x_5</vt:lpstr>
      <vt:lpstr>'200'!OSRRefE21_0x_6</vt:lpstr>
      <vt:lpstr>'201'!OSRRefE21_0x_6</vt:lpstr>
      <vt:lpstr>'202'!OSRRefE21_0x_6</vt:lpstr>
      <vt:lpstr>'203'!OSRRefE21_0x_6</vt:lpstr>
      <vt:lpstr>'204'!OSRRefE21_0x_6</vt:lpstr>
      <vt:lpstr>'205'!OSRRefE21_0x_6</vt:lpstr>
      <vt:lpstr>'206'!OSRRefE21_0x_6</vt:lpstr>
      <vt:lpstr>'300'!OSRRefE21_0x_6</vt:lpstr>
      <vt:lpstr>'300 &amp; 317'!OSRRefE21_0x_6</vt:lpstr>
      <vt:lpstr>'301'!OSRRefE21_0x_6</vt:lpstr>
      <vt:lpstr>'307'!OSRRefE21_0x_6</vt:lpstr>
      <vt:lpstr>'308'!OSRRefE21_0x_6</vt:lpstr>
      <vt:lpstr>'309'!OSRRefE21_0x_6</vt:lpstr>
      <vt:lpstr>'310'!OSRRefE21_0x_6</vt:lpstr>
      <vt:lpstr>'310 &amp; 491'!OSRRefE21_0x_6</vt:lpstr>
      <vt:lpstr>'311'!OSRRefE21_0x_6</vt:lpstr>
      <vt:lpstr>'313'!OSRRefE21_0x_6</vt:lpstr>
      <vt:lpstr>'315'!OSRRefE21_0x_6</vt:lpstr>
      <vt:lpstr>'316'!OSRRefE21_0x_6</vt:lpstr>
      <vt:lpstr>'317'!OSRRefE21_0x_6</vt:lpstr>
      <vt:lpstr>'321'!OSRRefE21_0x_6</vt:lpstr>
      <vt:lpstr>'325'!OSRRefE21_0x_6</vt:lpstr>
      <vt:lpstr>'326'!OSRRefE21_0x_6</vt:lpstr>
      <vt:lpstr>'327'!OSRRefE21_0x_6</vt:lpstr>
      <vt:lpstr>'330'!OSRRefE21_0x_6</vt:lpstr>
      <vt:lpstr>'331'!OSRRefE21_0x_6</vt:lpstr>
      <vt:lpstr>'332'!OSRRefE21_0x_6</vt:lpstr>
      <vt:lpstr>'405'!OSRRefE21_0x_6</vt:lpstr>
      <vt:lpstr>'411'!OSRRefE21_0x_6</vt:lpstr>
      <vt:lpstr>'412'!OSRRefE21_0x_6</vt:lpstr>
      <vt:lpstr>'413'!OSRRefE21_0x_6</vt:lpstr>
      <vt:lpstr>'415'!OSRRefE21_0x_6</vt:lpstr>
      <vt:lpstr>'418'!OSRRefE21_0x_6</vt:lpstr>
      <vt:lpstr>'423'!OSRRefE21_0x_6</vt:lpstr>
      <vt:lpstr>'424'!OSRRefE21_0x_6</vt:lpstr>
      <vt:lpstr>'425'!OSRRefE21_0x_6</vt:lpstr>
      <vt:lpstr>'430'!OSRRefE21_0x_6</vt:lpstr>
      <vt:lpstr>'433'!OSRRefE21_0x_6</vt:lpstr>
      <vt:lpstr>'444'!OSRRefE21_0x_6</vt:lpstr>
      <vt:lpstr>'450'!OSRRefE21_0x_6</vt:lpstr>
      <vt:lpstr>'491'!OSRRefE21_0x_6</vt:lpstr>
      <vt:lpstr>'492'!OSRRefE21_0x_6</vt:lpstr>
      <vt:lpstr>'501'!OSRRefE21_0x_6</vt:lpstr>
      <vt:lpstr>'Div 2'!OSRRefE21_0x_6</vt:lpstr>
      <vt:lpstr>'Div 3'!OSRRefE21_0x_6</vt:lpstr>
      <vt:lpstr>'Div 4'!OSRRefE21_0x_6</vt:lpstr>
      <vt:lpstr>'Div 5'!OSRRefE21_0x_6</vt:lpstr>
      <vt:lpstr>'Div 6'!OSRRefE21_0x_6</vt:lpstr>
      <vt:lpstr>Summary!OSRRefE21_0x_6</vt:lpstr>
      <vt:lpstr>'200'!OSRRefE21_0x_7</vt:lpstr>
      <vt:lpstr>'201'!OSRRefE21_0x_7</vt:lpstr>
      <vt:lpstr>'202'!OSRRefE21_0x_7</vt:lpstr>
      <vt:lpstr>'203'!OSRRefE21_0x_7</vt:lpstr>
      <vt:lpstr>'204'!OSRRefE21_0x_7</vt:lpstr>
      <vt:lpstr>'205'!OSRRefE21_0x_7</vt:lpstr>
      <vt:lpstr>'206'!OSRRefE21_0x_7</vt:lpstr>
      <vt:lpstr>'300'!OSRRefE21_0x_7</vt:lpstr>
      <vt:lpstr>'300 &amp; 317'!OSRRefE21_0x_7</vt:lpstr>
      <vt:lpstr>'301'!OSRRefE21_0x_7</vt:lpstr>
      <vt:lpstr>'307'!OSRRefE21_0x_7</vt:lpstr>
      <vt:lpstr>'308'!OSRRefE21_0x_7</vt:lpstr>
      <vt:lpstr>'309'!OSRRefE21_0x_7</vt:lpstr>
      <vt:lpstr>'310'!OSRRefE21_0x_7</vt:lpstr>
      <vt:lpstr>'310 &amp; 491'!OSRRefE21_0x_7</vt:lpstr>
      <vt:lpstr>'311'!OSRRefE21_0x_7</vt:lpstr>
      <vt:lpstr>'313'!OSRRefE21_0x_7</vt:lpstr>
      <vt:lpstr>'315'!OSRRefE21_0x_7</vt:lpstr>
      <vt:lpstr>'316'!OSRRefE21_0x_7</vt:lpstr>
      <vt:lpstr>'317'!OSRRefE21_0x_7</vt:lpstr>
      <vt:lpstr>'321'!OSRRefE21_0x_7</vt:lpstr>
      <vt:lpstr>'325'!OSRRefE21_0x_7</vt:lpstr>
      <vt:lpstr>'326'!OSRRefE21_0x_7</vt:lpstr>
      <vt:lpstr>'327'!OSRRefE21_0x_7</vt:lpstr>
      <vt:lpstr>'330'!OSRRefE21_0x_7</vt:lpstr>
      <vt:lpstr>'331'!OSRRefE21_0x_7</vt:lpstr>
      <vt:lpstr>'332'!OSRRefE21_0x_7</vt:lpstr>
      <vt:lpstr>'405'!OSRRefE21_0x_7</vt:lpstr>
      <vt:lpstr>'411'!OSRRefE21_0x_7</vt:lpstr>
      <vt:lpstr>'412'!OSRRefE21_0x_7</vt:lpstr>
      <vt:lpstr>'413'!OSRRefE21_0x_7</vt:lpstr>
      <vt:lpstr>'415'!OSRRefE21_0x_7</vt:lpstr>
      <vt:lpstr>'418'!OSRRefE21_0x_7</vt:lpstr>
      <vt:lpstr>'423'!OSRRefE21_0x_7</vt:lpstr>
      <vt:lpstr>'424'!OSRRefE21_0x_7</vt:lpstr>
      <vt:lpstr>'425'!OSRRefE21_0x_7</vt:lpstr>
      <vt:lpstr>'430'!OSRRefE21_0x_7</vt:lpstr>
      <vt:lpstr>'433'!OSRRefE21_0x_7</vt:lpstr>
      <vt:lpstr>'444'!OSRRefE21_0x_7</vt:lpstr>
      <vt:lpstr>'450'!OSRRefE21_0x_7</vt:lpstr>
      <vt:lpstr>'491'!OSRRefE21_0x_7</vt:lpstr>
      <vt:lpstr>'492'!OSRRefE21_0x_7</vt:lpstr>
      <vt:lpstr>'501'!OSRRefE21_0x_7</vt:lpstr>
      <vt:lpstr>'Div 2'!OSRRefE21_0x_7</vt:lpstr>
      <vt:lpstr>'Div 3'!OSRRefE21_0x_7</vt:lpstr>
      <vt:lpstr>'Div 4'!OSRRefE21_0x_7</vt:lpstr>
      <vt:lpstr>'Div 5'!OSRRefE21_0x_7</vt:lpstr>
      <vt:lpstr>'Div 6'!OSRRefE21_0x_7</vt:lpstr>
      <vt:lpstr>Summary!OSRRefE21_0x_7</vt:lpstr>
      <vt:lpstr>'200'!OSRRefE21_0x_8</vt:lpstr>
      <vt:lpstr>'201'!OSRRefE21_0x_8</vt:lpstr>
      <vt:lpstr>'202'!OSRRefE21_0x_8</vt:lpstr>
      <vt:lpstr>'203'!OSRRefE21_0x_8</vt:lpstr>
      <vt:lpstr>'204'!OSRRefE21_0x_8</vt:lpstr>
      <vt:lpstr>'205'!OSRRefE21_0x_8</vt:lpstr>
      <vt:lpstr>'206'!OSRRefE21_0x_8</vt:lpstr>
      <vt:lpstr>'300'!OSRRefE21_0x_8</vt:lpstr>
      <vt:lpstr>'300 &amp; 317'!OSRRefE21_0x_8</vt:lpstr>
      <vt:lpstr>'301'!OSRRefE21_0x_8</vt:lpstr>
      <vt:lpstr>'307'!OSRRefE21_0x_8</vt:lpstr>
      <vt:lpstr>'308'!OSRRefE21_0x_8</vt:lpstr>
      <vt:lpstr>'309'!OSRRefE21_0x_8</vt:lpstr>
      <vt:lpstr>'310'!OSRRefE21_0x_8</vt:lpstr>
      <vt:lpstr>'310 &amp; 491'!OSRRefE21_0x_8</vt:lpstr>
      <vt:lpstr>'311'!OSRRefE21_0x_8</vt:lpstr>
      <vt:lpstr>'313'!OSRRefE21_0x_8</vt:lpstr>
      <vt:lpstr>'315'!OSRRefE21_0x_8</vt:lpstr>
      <vt:lpstr>'316'!OSRRefE21_0x_8</vt:lpstr>
      <vt:lpstr>'317'!OSRRefE21_0x_8</vt:lpstr>
      <vt:lpstr>'321'!OSRRefE21_0x_8</vt:lpstr>
      <vt:lpstr>'325'!OSRRefE21_0x_8</vt:lpstr>
      <vt:lpstr>'326'!OSRRefE21_0x_8</vt:lpstr>
      <vt:lpstr>'327'!OSRRefE21_0x_8</vt:lpstr>
      <vt:lpstr>'330'!OSRRefE21_0x_8</vt:lpstr>
      <vt:lpstr>'331'!OSRRefE21_0x_8</vt:lpstr>
      <vt:lpstr>'332'!OSRRefE21_0x_8</vt:lpstr>
      <vt:lpstr>'405'!OSRRefE21_0x_8</vt:lpstr>
      <vt:lpstr>'411'!OSRRefE21_0x_8</vt:lpstr>
      <vt:lpstr>'412'!OSRRefE21_0x_8</vt:lpstr>
      <vt:lpstr>'413'!OSRRefE21_0x_8</vt:lpstr>
      <vt:lpstr>'415'!OSRRefE21_0x_8</vt:lpstr>
      <vt:lpstr>'418'!OSRRefE21_0x_8</vt:lpstr>
      <vt:lpstr>'423'!OSRRefE21_0x_8</vt:lpstr>
      <vt:lpstr>'424'!OSRRefE21_0x_8</vt:lpstr>
      <vt:lpstr>'425'!OSRRefE21_0x_8</vt:lpstr>
      <vt:lpstr>'430'!OSRRefE21_0x_8</vt:lpstr>
      <vt:lpstr>'433'!OSRRefE21_0x_8</vt:lpstr>
      <vt:lpstr>'444'!OSRRefE21_0x_8</vt:lpstr>
      <vt:lpstr>'450'!OSRRefE21_0x_8</vt:lpstr>
      <vt:lpstr>'491'!OSRRefE21_0x_8</vt:lpstr>
      <vt:lpstr>'492'!OSRRefE21_0x_8</vt:lpstr>
      <vt:lpstr>'501'!OSRRefE21_0x_8</vt:lpstr>
      <vt:lpstr>'Div 2'!OSRRefE21_0x_8</vt:lpstr>
      <vt:lpstr>'Div 3'!OSRRefE21_0x_8</vt:lpstr>
      <vt:lpstr>'Div 4'!OSRRefE21_0x_8</vt:lpstr>
      <vt:lpstr>'Div 5'!OSRRefE21_0x_8</vt:lpstr>
      <vt:lpstr>'Div 6'!OSRRefE21_0x_8</vt:lpstr>
      <vt:lpstr>Summary!OSRRefE21_0x_8</vt:lpstr>
      <vt:lpstr>'200'!OSRRefE21_0x_9</vt:lpstr>
      <vt:lpstr>'201'!OSRRefE21_0x_9</vt:lpstr>
      <vt:lpstr>'202'!OSRRefE21_0x_9</vt:lpstr>
      <vt:lpstr>'203'!OSRRefE21_0x_9</vt:lpstr>
      <vt:lpstr>'204'!OSRRefE21_0x_9</vt:lpstr>
      <vt:lpstr>'205'!OSRRefE21_0x_9</vt:lpstr>
      <vt:lpstr>'206'!OSRRefE21_0x_9</vt:lpstr>
      <vt:lpstr>'300'!OSRRefE21_0x_9</vt:lpstr>
      <vt:lpstr>'300 &amp; 317'!OSRRefE21_0x_9</vt:lpstr>
      <vt:lpstr>'301'!OSRRefE21_0x_9</vt:lpstr>
      <vt:lpstr>'307'!OSRRefE21_0x_9</vt:lpstr>
      <vt:lpstr>'308'!OSRRefE21_0x_9</vt:lpstr>
      <vt:lpstr>'309'!OSRRefE21_0x_9</vt:lpstr>
      <vt:lpstr>'310'!OSRRefE21_0x_9</vt:lpstr>
      <vt:lpstr>'310 &amp; 491'!OSRRefE21_0x_9</vt:lpstr>
      <vt:lpstr>'311'!OSRRefE21_0x_9</vt:lpstr>
      <vt:lpstr>'313'!OSRRefE21_0x_9</vt:lpstr>
      <vt:lpstr>'315'!OSRRefE21_0x_9</vt:lpstr>
      <vt:lpstr>'316'!OSRRefE21_0x_9</vt:lpstr>
      <vt:lpstr>'317'!OSRRefE21_0x_9</vt:lpstr>
      <vt:lpstr>'321'!OSRRefE21_0x_9</vt:lpstr>
      <vt:lpstr>'325'!OSRRefE21_0x_9</vt:lpstr>
      <vt:lpstr>'326'!OSRRefE21_0x_9</vt:lpstr>
      <vt:lpstr>'327'!OSRRefE21_0x_9</vt:lpstr>
      <vt:lpstr>'330'!OSRRefE21_0x_9</vt:lpstr>
      <vt:lpstr>'331'!OSRRefE21_0x_9</vt:lpstr>
      <vt:lpstr>'332'!OSRRefE21_0x_9</vt:lpstr>
      <vt:lpstr>'405'!OSRRefE21_0x_9</vt:lpstr>
      <vt:lpstr>'411'!OSRRefE21_0x_9</vt:lpstr>
      <vt:lpstr>'412'!OSRRefE21_0x_9</vt:lpstr>
      <vt:lpstr>'413'!OSRRefE21_0x_9</vt:lpstr>
      <vt:lpstr>'415'!OSRRefE21_0x_9</vt:lpstr>
      <vt:lpstr>'418'!OSRRefE21_0x_9</vt:lpstr>
      <vt:lpstr>'423'!OSRRefE21_0x_9</vt:lpstr>
      <vt:lpstr>'424'!OSRRefE21_0x_9</vt:lpstr>
      <vt:lpstr>'425'!OSRRefE21_0x_9</vt:lpstr>
      <vt:lpstr>'430'!OSRRefE21_0x_9</vt:lpstr>
      <vt:lpstr>'433'!OSRRefE21_0x_9</vt:lpstr>
      <vt:lpstr>'444'!OSRRefE21_0x_9</vt:lpstr>
      <vt:lpstr>'450'!OSRRefE21_0x_9</vt:lpstr>
      <vt:lpstr>'491'!OSRRefE21_0x_9</vt:lpstr>
      <vt:lpstr>'492'!OSRRefE21_0x_9</vt:lpstr>
      <vt:lpstr>'501'!OSRRefE21_0x_9</vt:lpstr>
      <vt:lpstr>'Div 2'!OSRRefE21_0x_9</vt:lpstr>
      <vt:lpstr>'Div 3'!OSRRefE21_0x_9</vt:lpstr>
      <vt:lpstr>'Div 4'!OSRRefE21_0x_9</vt:lpstr>
      <vt:lpstr>'Div 5'!OSRRefE21_0x_9</vt:lpstr>
      <vt:lpstr>'Div 6'!OSRRefE21_0x_9</vt:lpstr>
      <vt:lpstr>Summary!OSRRefE21_0x_9</vt:lpstr>
      <vt:lpstr>'200'!OSRRefE21_1_0x</vt:lpstr>
      <vt:lpstr>'201'!OSRRefE21_1_0x</vt:lpstr>
      <vt:lpstr>'202'!OSRRefE21_1_0x</vt:lpstr>
      <vt:lpstr>'203'!OSRRefE21_1_0x</vt:lpstr>
      <vt:lpstr>'204'!OSRRefE21_1_0x</vt:lpstr>
      <vt:lpstr>'205'!OSRRefE21_1_0x</vt:lpstr>
      <vt:lpstr>'206'!OSRRefE21_1_0x</vt:lpstr>
      <vt:lpstr>'300'!OSRRefE21_1_0x</vt:lpstr>
      <vt:lpstr>'300 &amp; 317'!OSRRefE21_1_0x</vt:lpstr>
      <vt:lpstr>'301'!OSRRefE21_1_0x</vt:lpstr>
      <vt:lpstr>'307'!OSRRefE21_1_0x</vt:lpstr>
      <vt:lpstr>'308'!OSRRefE21_1_0x</vt:lpstr>
      <vt:lpstr>'309'!OSRRefE21_1_0x</vt:lpstr>
      <vt:lpstr>'310'!OSRRefE21_1_0x</vt:lpstr>
      <vt:lpstr>'310 &amp; 491'!OSRRefE21_1_0x</vt:lpstr>
      <vt:lpstr>'311'!OSRRefE21_1_0x</vt:lpstr>
      <vt:lpstr>'315'!OSRRefE21_1_0x</vt:lpstr>
      <vt:lpstr>'316'!OSRRefE21_1_0x</vt:lpstr>
      <vt:lpstr>'317'!OSRRefE21_1_0x</vt:lpstr>
      <vt:lpstr>'321'!OSRRefE21_1_0x</vt:lpstr>
      <vt:lpstr>'325'!OSRRefE21_1_0x</vt:lpstr>
      <vt:lpstr>'326'!OSRRefE21_1_0x</vt:lpstr>
      <vt:lpstr>'330'!OSRRefE21_1_0x</vt:lpstr>
      <vt:lpstr>'331'!OSRRefE21_1_0x</vt:lpstr>
      <vt:lpstr>'332'!OSRRefE21_1_0x</vt:lpstr>
      <vt:lpstr>'405'!OSRRefE21_1_0x</vt:lpstr>
      <vt:lpstr>'411'!OSRRefE21_1_0x</vt:lpstr>
      <vt:lpstr>'412'!OSRRefE21_1_0x</vt:lpstr>
      <vt:lpstr>'415'!OSRRefE21_1_0x</vt:lpstr>
      <vt:lpstr>'418'!OSRRefE21_1_0x</vt:lpstr>
      <vt:lpstr>'423'!OSRRefE21_1_0x</vt:lpstr>
      <vt:lpstr>'430'!OSRRefE21_1_0x</vt:lpstr>
      <vt:lpstr>'433'!OSRRefE21_1_0x</vt:lpstr>
      <vt:lpstr>'444'!OSRRefE21_1_0x</vt:lpstr>
      <vt:lpstr>'450'!OSRRefE21_1_0x</vt:lpstr>
      <vt:lpstr>'491'!OSRRefE21_1_0x</vt:lpstr>
      <vt:lpstr>'492'!OSRRefE21_1_0x</vt:lpstr>
      <vt:lpstr>'501'!OSRRefE21_1_0x</vt:lpstr>
      <vt:lpstr>'Div 2'!OSRRefE21_1_0x</vt:lpstr>
      <vt:lpstr>'Div 3'!OSRRefE21_1_0x</vt:lpstr>
      <vt:lpstr>'Div 4'!OSRRefE21_1_0x</vt:lpstr>
      <vt:lpstr>'Div 5'!OSRRefE21_1_0x</vt:lpstr>
      <vt:lpstr>'Div 6'!OSRRefE21_1_0x</vt:lpstr>
      <vt:lpstr>Summary!OSRRefE21_1_0x</vt:lpstr>
      <vt:lpstr>'201'!OSRRefE21_1_1x</vt:lpstr>
      <vt:lpstr>'202'!OSRRefE21_1_1x</vt:lpstr>
      <vt:lpstr>'203'!OSRRefE21_1_1x</vt:lpstr>
      <vt:lpstr>'204'!OSRRefE21_1_1x</vt:lpstr>
      <vt:lpstr>'205'!OSRRefE21_1_1x</vt:lpstr>
      <vt:lpstr>'206'!OSRRefE21_1_1x</vt:lpstr>
      <vt:lpstr>'300'!OSRRefE21_1_1x</vt:lpstr>
      <vt:lpstr>'300 &amp; 317'!OSRRefE21_1_1x</vt:lpstr>
      <vt:lpstr>'301'!OSRRefE21_1_1x</vt:lpstr>
      <vt:lpstr>'307'!OSRRefE21_1_1x</vt:lpstr>
      <vt:lpstr>'308'!OSRRefE21_1_1x</vt:lpstr>
      <vt:lpstr>'310'!OSRRefE21_1_1x</vt:lpstr>
      <vt:lpstr>'310 &amp; 491'!OSRRefE21_1_1x</vt:lpstr>
      <vt:lpstr>'311'!OSRRefE21_1_1x</vt:lpstr>
      <vt:lpstr>'315'!OSRRefE21_1_1x</vt:lpstr>
      <vt:lpstr>'316'!OSRRefE21_1_1x</vt:lpstr>
      <vt:lpstr>'317'!OSRRefE21_1_1x</vt:lpstr>
      <vt:lpstr>'321'!OSRRefE21_1_1x</vt:lpstr>
      <vt:lpstr>'325'!OSRRefE21_1_1x</vt:lpstr>
      <vt:lpstr>'326'!OSRRefE21_1_1x</vt:lpstr>
      <vt:lpstr>'330'!OSRRefE21_1_1x</vt:lpstr>
      <vt:lpstr>'331'!OSRRefE21_1_1x</vt:lpstr>
      <vt:lpstr>'332'!OSRRefE21_1_1x</vt:lpstr>
      <vt:lpstr>'405'!OSRRefE21_1_1x</vt:lpstr>
      <vt:lpstr>'411'!OSRRefE21_1_1x</vt:lpstr>
      <vt:lpstr>'415'!OSRRefE21_1_1x</vt:lpstr>
      <vt:lpstr>'418'!OSRRefE21_1_1x</vt:lpstr>
      <vt:lpstr>'423'!OSRRefE21_1_1x</vt:lpstr>
      <vt:lpstr>'430'!OSRRefE21_1_1x</vt:lpstr>
      <vt:lpstr>'433'!OSRRefE21_1_1x</vt:lpstr>
      <vt:lpstr>'444'!OSRRefE21_1_1x</vt:lpstr>
      <vt:lpstr>'450'!OSRRefE21_1_1x</vt:lpstr>
      <vt:lpstr>'491'!OSRRefE21_1_1x</vt:lpstr>
      <vt:lpstr>'492'!OSRRefE21_1_1x</vt:lpstr>
      <vt:lpstr>'501'!OSRRefE21_1_1x</vt:lpstr>
      <vt:lpstr>'Div 2'!OSRRefE21_1_1x</vt:lpstr>
      <vt:lpstr>'Div 3'!OSRRefE21_1_1x</vt:lpstr>
      <vt:lpstr>'Div 4'!OSRRefE21_1_1x</vt:lpstr>
      <vt:lpstr>'Div 5'!OSRRefE21_1_1x</vt:lpstr>
      <vt:lpstr>'Div 6'!OSRRefE21_1_1x</vt:lpstr>
      <vt:lpstr>Summary!OSRRefE21_1_1x</vt:lpstr>
      <vt:lpstr>'201'!OSRRefE21_1_2x</vt:lpstr>
      <vt:lpstr>'202'!OSRRefE21_1_2x</vt:lpstr>
      <vt:lpstr>'203'!OSRRefE21_1_2x</vt:lpstr>
      <vt:lpstr>'204'!OSRRefE21_1_2x</vt:lpstr>
      <vt:lpstr>'205'!OSRRefE21_1_2x</vt:lpstr>
      <vt:lpstr>'206'!OSRRefE21_1_2x</vt:lpstr>
      <vt:lpstr>'300'!OSRRefE21_1_2x</vt:lpstr>
      <vt:lpstr>'300 &amp; 317'!OSRRefE21_1_2x</vt:lpstr>
      <vt:lpstr>'301'!OSRRefE21_1_2x</vt:lpstr>
      <vt:lpstr>'307'!OSRRefE21_1_2x</vt:lpstr>
      <vt:lpstr>'308'!OSRRefE21_1_2x</vt:lpstr>
      <vt:lpstr>'310'!OSRRefE21_1_2x</vt:lpstr>
      <vt:lpstr>'310 &amp; 491'!OSRRefE21_1_2x</vt:lpstr>
      <vt:lpstr>'311'!OSRRefE21_1_2x</vt:lpstr>
      <vt:lpstr>'315'!OSRRefE21_1_2x</vt:lpstr>
      <vt:lpstr>'316'!OSRRefE21_1_2x</vt:lpstr>
      <vt:lpstr>'317'!OSRRefE21_1_2x</vt:lpstr>
      <vt:lpstr>'321'!OSRRefE21_1_2x</vt:lpstr>
      <vt:lpstr>'325'!OSRRefE21_1_2x</vt:lpstr>
      <vt:lpstr>'326'!OSRRefE21_1_2x</vt:lpstr>
      <vt:lpstr>'330'!OSRRefE21_1_2x</vt:lpstr>
      <vt:lpstr>'331'!OSRRefE21_1_2x</vt:lpstr>
      <vt:lpstr>'332'!OSRRefE21_1_2x</vt:lpstr>
      <vt:lpstr>'405'!OSRRefE21_1_2x</vt:lpstr>
      <vt:lpstr>'411'!OSRRefE21_1_2x</vt:lpstr>
      <vt:lpstr>'415'!OSRRefE21_1_2x</vt:lpstr>
      <vt:lpstr>'418'!OSRRefE21_1_2x</vt:lpstr>
      <vt:lpstr>'423'!OSRRefE21_1_2x</vt:lpstr>
      <vt:lpstr>'430'!OSRRefE21_1_2x</vt:lpstr>
      <vt:lpstr>'433'!OSRRefE21_1_2x</vt:lpstr>
      <vt:lpstr>'444'!OSRRefE21_1_2x</vt:lpstr>
      <vt:lpstr>'450'!OSRRefE21_1_2x</vt:lpstr>
      <vt:lpstr>'491'!OSRRefE21_1_2x</vt:lpstr>
      <vt:lpstr>'492'!OSRRefE21_1_2x</vt:lpstr>
      <vt:lpstr>'501'!OSRRefE21_1_2x</vt:lpstr>
      <vt:lpstr>'Div 2'!OSRRefE21_1_2x</vt:lpstr>
      <vt:lpstr>'Div 3'!OSRRefE21_1_2x</vt:lpstr>
      <vt:lpstr>'Div 4'!OSRRefE21_1_2x</vt:lpstr>
      <vt:lpstr>'Div 5'!OSRRefE21_1_2x</vt:lpstr>
      <vt:lpstr>'Div 6'!OSRRefE21_1_2x</vt:lpstr>
      <vt:lpstr>Summary!OSRRefE21_1_2x</vt:lpstr>
      <vt:lpstr>'201'!OSRRefE21_1_3x</vt:lpstr>
      <vt:lpstr>'202'!OSRRefE21_1_3x</vt:lpstr>
      <vt:lpstr>'203'!OSRRefE21_1_3x</vt:lpstr>
      <vt:lpstr>'204'!OSRRefE21_1_3x</vt:lpstr>
      <vt:lpstr>'205'!OSRRefE21_1_3x</vt:lpstr>
      <vt:lpstr>'206'!OSRRefE21_1_3x</vt:lpstr>
      <vt:lpstr>'300'!OSRRefE21_1_3x</vt:lpstr>
      <vt:lpstr>'300 &amp; 317'!OSRRefE21_1_3x</vt:lpstr>
      <vt:lpstr>'301'!OSRRefE21_1_3x</vt:lpstr>
      <vt:lpstr>'307'!OSRRefE21_1_3x</vt:lpstr>
      <vt:lpstr>'308'!OSRRefE21_1_3x</vt:lpstr>
      <vt:lpstr>'310'!OSRRefE21_1_3x</vt:lpstr>
      <vt:lpstr>'310 &amp; 491'!OSRRefE21_1_3x</vt:lpstr>
      <vt:lpstr>'311'!OSRRefE21_1_3x</vt:lpstr>
      <vt:lpstr>'315'!OSRRefE21_1_3x</vt:lpstr>
      <vt:lpstr>'316'!OSRRefE21_1_3x</vt:lpstr>
      <vt:lpstr>'317'!OSRRefE21_1_3x</vt:lpstr>
      <vt:lpstr>'321'!OSRRefE21_1_3x</vt:lpstr>
      <vt:lpstr>'325'!OSRRefE21_1_3x</vt:lpstr>
      <vt:lpstr>'326'!OSRRefE21_1_3x</vt:lpstr>
      <vt:lpstr>'330'!OSRRefE21_1_3x</vt:lpstr>
      <vt:lpstr>'331'!OSRRefE21_1_3x</vt:lpstr>
      <vt:lpstr>'332'!OSRRefE21_1_3x</vt:lpstr>
      <vt:lpstr>'405'!OSRRefE21_1_3x</vt:lpstr>
      <vt:lpstr>'411'!OSRRefE21_1_3x</vt:lpstr>
      <vt:lpstr>'415'!OSRRefE21_1_3x</vt:lpstr>
      <vt:lpstr>'418'!OSRRefE21_1_3x</vt:lpstr>
      <vt:lpstr>'423'!OSRRefE21_1_3x</vt:lpstr>
      <vt:lpstr>'430'!OSRRefE21_1_3x</vt:lpstr>
      <vt:lpstr>'433'!OSRRefE21_1_3x</vt:lpstr>
      <vt:lpstr>'444'!OSRRefE21_1_3x</vt:lpstr>
      <vt:lpstr>'450'!OSRRefE21_1_3x</vt:lpstr>
      <vt:lpstr>'491'!OSRRefE21_1_3x</vt:lpstr>
      <vt:lpstr>'492'!OSRRefE21_1_3x</vt:lpstr>
      <vt:lpstr>'501'!OSRRefE21_1_3x</vt:lpstr>
      <vt:lpstr>'Div 2'!OSRRefE21_1_3x</vt:lpstr>
      <vt:lpstr>'Div 3'!OSRRefE21_1_3x</vt:lpstr>
      <vt:lpstr>'Div 4'!OSRRefE21_1_3x</vt:lpstr>
      <vt:lpstr>'Div 5'!OSRRefE21_1_3x</vt:lpstr>
      <vt:lpstr>'Div 6'!OSRRefE21_1_3x</vt:lpstr>
      <vt:lpstr>Summary!OSRRefE21_1_3x</vt:lpstr>
      <vt:lpstr>'201'!OSRRefE21_1_4x</vt:lpstr>
      <vt:lpstr>'202'!OSRRefE21_1_4x</vt:lpstr>
      <vt:lpstr>'203'!OSRRefE21_1_4x</vt:lpstr>
      <vt:lpstr>'204'!OSRRefE21_1_4x</vt:lpstr>
      <vt:lpstr>'205'!OSRRefE21_1_4x</vt:lpstr>
      <vt:lpstr>'206'!OSRRefE21_1_4x</vt:lpstr>
      <vt:lpstr>'300'!OSRRefE21_1_4x</vt:lpstr>
      <vt:lpstr>'300 &amp; 317'!OSRRefE21_1_4x</vt:lpstr>
      <vt:lpstr>'301'!OSRRefE21_1_4x</vt:lpstr>
      <vt:lpstr>'307'!OSRRefE21_1_4x</vt:lpstr>
      <vt:lpstr>'308'!OSRRefE21_1_4x</vt:lpstr>
      <vt:lpstr>'310'!OSRRefE21_1_4x</vt:lpstr>
      <vt:lpstr>'310 &amp; 491'!OSRRefE21_1_4x</vt:lpstr>
      <vt:lpstr>'311'!OSRRefE21_1_4x</vt:lpstr>
      <vt:lpstr>'315'!OSRRefE21_1_4x</vt:lpstr>
      <vt:lpstr>'316'!OSRRefE21_1_4x</vt:lpstr>
      <vt:lpstr>'317'!OSRRefE21_1_4x</vt:lpstr>
      <vt:lpstr>'321'!OSRRefE21_1_4x</vt:lpstr>
      <vt:lpstr>'325'!OSRRefE21_1_4x</vt:lpstr>
      <vt:lpstr>'326'!OSRRefE21_1_4x</vt:lpstr>
      <vt:lpstr>'330'!OSRRefE21_1_4x</vt:lpstr>
      <vt:lpstr>'331'!OSRRefE21_1_4x</vt:lpstr>
      <vt:lpstr>'332'!OSRRefE21_1_4x</vt:lpstr>
      <vt:lpstr>'405'!OSRRefE21_1_4x</vt:lpstr>
      <vt:lpstr>'411'!OSRRefE21_1_4x</vt:lpstr>
      <vt:lpstr>'415'!OSRRefE21_1_4x</vt:lpstr>
      <vt:lpstr>'418'!OSRRefE21_1_4x</vt:lpstr>
      <vt:lpstr>'423'!OSRRefE21_1_4x</vt:lpstr>
      <vt:lpstr>'430'!OSRRefE21_1_4x</vt:lpstr>
      <vt:lpstr>'433'!OSRRefE21_1_4x</vt:lpstr>
      <vt:lpstr>'444'!OSRRefE21_1_4x</vt:lpstr>
      <vt:lpstr>'450'!OSRRefE21_1_4x</vt:lpstr>
      <vt:lpstr>'491'!OSRRefE21_1_4x</vt:lpstr>
      <vt:lpstr>'492'!OSRRefE21_1_4x</vt:lpstr>
      <vt:lpstr>'501'!OSRRefE21_1_4x</vt:lpstr>
      <vt:lpstr>'Div 2'!OSRRefE21_1_4x</vt:lpstr>
      <vt:lpstr>'Div 3'!OSRRefE21_1_4x</vt:lpstr>
      <vt:lpstr>'Div 4'!OSRRefE21_1_4x</vt:lpstr>
      <vt:lpstr>'Div 5'!OSRRefE21_1_4x</vt:lpstr>
      <vt:lpstr>'Div 6'!OSRRefE21_1_4x</vt:lpstr>
      <vt:lpstr>Summary!OSRRefE21_1_4x</vt:lpstr>
      <vt:lpstr>'201'!OSRRefE21_1_5x</vt:lpstr>
      <vt:lpstr>'202'!OSRRefE21_1_5x</vt:lpstr>
      <vt:lpstr>'203'!OSRRefE21_1_5x</vt:lpstr>
      <vt:lpstr>'204'!OSRRefE21_1_5x</vt:lpstr>
      <vt:lpstr>'205'!OSRRefE21_1_5x</vt:lpstr>
      <vt:lpstr>'206'!OSRRefE21_1_5x</vt:lpstr>
      <vt:lpstr>'300'!OSRRefE21_1_5x</vt:lpstr>
      <vt:lpstr>'300 &amp; 317'!OSRRefE21_1_5x</vt:lpstr>
      <vt:lpstr>'301'!OSRRefE21_1_5x</vt:lpstr>
      <vt:lpstr>'307'!OSRRefE21_1_5x</vt:lpstr>
      <vt:lpstr>'308'!OSRRefE21_1_5x</vt:lpstr>
      <vt:lpstr>'310'!OSRRefE21_1_5x</vt:lpstr>
      <vt:lpstr>'310 &amp; 491'!OSRRefE21_1_5x</vt:lpstr>
      <vt:lpstr>'311'!OSRRefE21_1_5x</vt:lpstr>
      <vt:lpstr>'315'!OSRRefE21_1_5x</vt:lpstr>
      <vt:lpstr>'316'!OSRRefE21_1_5x</vt:lpstr>
      <vt:lpstr>'317'!OSRRefE21_1_5x</vt:lpstr>
      <vt:lpstr>'321'!OSRRefE21_1_5x</vt:lpstr>
      <vt:lpstr>'325'!OSRRefE21_1_5x</vt:lpstr>
      <vt:lpstr>'326'!OSRRefE21_1_5x</vt:lpstr>
      <vt:lpstr>'330'!OSRRefE21_1_5x</vt:lpstr>
      <vt:lpstr>'331'!OSRRefE21_1_5x</vt:lpstr>
      <vt:lpstr>'332'!OSRRefE21_1_5x</vt:lpstr>
      <vt:lpstr>'405'!OSRRefE21_1_5x</vt:lpstr>
      <vt:lpstr>'411'!OSRRefE21_1_5x</vt:lpstr>
      <vt:lpstr>'415'!OSRRefE21_1_5x</vt:lpstr>
      <vt:lpstr>'418'!OSRRefE21_1_5x</vt:lpstr>
      <vt:lpstr>'423'!OSRRefE21_1_5x</vt:lpstr>
      <vt:lpstr>'430'!OSRRefE21_1_5x</vt:lpstr>
      <vt:lpstr>'433'!OSRRefE21_1_5x</vt:lpstr>
      <vt:lpstr>'444'!OSRRefE21_1_5x</vt:lpstr>
      <vt:lpstr>'450'!OSRRefE21_1_5x</vt:lpstr>
      <vt:lpstr>'491'!OSRRefE21_1_5x</vt:lpstr>
      <vt:lpstr>'492'!OSRRefE21_1_5x</vt:lpstr>
      <vt:lpstr>'501'!OSRRefE21_1_5x</vt:lpstr>
      <vt:lpstr>'Div 2'!OSRRefE21_1_5x</vt:lpstr>
      <vt:lpstr>'Div 3'!OSRRefE21_1_5x</vt:lpstr>
      <vt:lpstr>'Div 4'!OSRRefE21_1_5x</vt:lpstr>
      <vt:lpstr>'Div 5'!OSRRefE21_1_5x</vt:lpstr>
      <vt:lpstr>'Div 6'!OSRRefE21_1_5x</vt:lpstr>
      <vt:lpstr>Summary!OSRRefE21_1_5x</vt:lpstr>
      <vt:lpstr>'201'!OSRRefE21_1_6x</vt:lpstr>
      <vt:lpstr>'202'!OSRRefE21_1_6x</vt:lpstr>
      <vt:lpstr>'203'!OSRRefE21_1_6x</vt:lpstr>
      <vt:lpstr>'204'!OSRRefE21_1_6x</vt:lpstr>
      <vt:lpstr>'205'!OSRRefE21_1_6x</vt:lpstr>
      <vt:lpstr>'206'!OSRRefE21_1_6x</vt:lpstr>
      <vt:lpstr>'300'!OSRRefE21_1_6x</vt:lpstr>
      <vt:lpstr>'300 &amp; 317'!OSRRefE21_1_6x</vt:lpstr>
      <vt:lpstr>'301'!OSRRefE21_1_6x</vt:lpstr>
      <vt:lpstr>'307'!OSRRefE21_1_6x</vt:lpstr>
      <vt:lpstr>'308'!OSRRefE21_1_6x</vt:lpstr>
      <vt:lpstr>'310'!OSRRefE21_1_6x</vt:lpstr>
      <vt:lpstr>'310 &amp; 491'!OSRRefE21_1_6x</vt:lpstr>
      <vt:lpstr>'311'!OSRRefE21_1_6x</vt:lpstr>
      <vt:lpstr>'315'!OSRRefE21_1_6x</vt:lpstr>
      <vt:lpstr>'316'!OSRRefE21_1_6x</vt:lpstr>
      <vt:lpstr>'317'!OSRRefE21_1_6x</vt:lpstr>
      <vt:lpstr>'321'!OSRRefE21_1_6x</vt:lpstr>
      <vt:lpstr>'325'!OSRRefE21_1_6x</vt:lpstr>
      <vt:lpstr>'326'!OSRRefE21_1_6x</vt:lpstr>
      <vt:lpstr>'330'!OSRRefE21_1_6x</vt:lpstr>
      <vt:lpstr>'331'!OSRRefE21_1_6x</vt:lpstr>
      <vt:lpstr>'332'!OSRRefE21_1_6x</vt:lpstr>
      <vt:lpstr>'405'!OSRRefE21_1_6x</vt:lpstr>
      <vt:lpstr>'411'!OSRRefE21_1_6x</vt:lpstr>
      <vt:lpstr>'415'!OSRRefE21_1_6x</vt:lpstr>
      <vt:lpstr>'418'!OSRRefE21_1_6x</vt:lpstr>
      <vt:lpstr>'423'!OSRRefE21_1_6x</vt:lpstr>
      <vt:lpstr>'430'!OSRRefE21_1_6x</vt:lpstr>
      <vt:lpstr>'433'!OSRRefE21_1_6x</vt:lpstr>
      <vt:lpstr>'444'!OSRRefE21_1_6x</vt:lpstr>
      <vt:lpstr>'450'!OSRRefE21_1_6x</vt:lpstr>
      <vt:lpstr>'491'!OSRRefE21_1_6x</vt:lpstr>
      <vt:lpstr>'492'!OSRRefE21_1_6x</vt:lpstr>
      <vt:lpstr>'501'!OSRRefE21_1_6x</vt:lpstr>
      <vt:lpstr>'Div 2'!OSRRefE21_1_6x</vt:lpstr>
      <vt:lpstr>'Div 3'!OSRRefE21_1_6x</vt:lpstr>
      <vt:lpstr>'Div 4'!OSRRefE21_1_6x</vt:lpstr>
      <vt:lpstr>'Div 5'!OSRRefE21_1_6x</vt:lpstr>
      <vt:lpstr>'Div 6'!OSRRefE21_1_6x</vt:lpstr>
      <vt:lpstr>Summary!OSRRefE21_1_6x</vt:lpstr>
      <vt:lpstr>'201'!OSRRefE21_1_7x</vt:lpstr>
      <vt:lpstr>'202'!OSRRefE21_1_7x</vt:lpstr>
      <vt:lpstr>'203'!OSRRefE21_1_7x</vt:lpstr>
      <vt:lpstr>'204'!OSRRefE21_1_7x</vt:lpstr>
      <vt:lpstr>'205'!OSRRefE21_1_7x</vt:lpstr>
      <vt:lpstr>'206'!OSRRefE21_1_7x</vt:lpstr>
      <vt:lpstr>'300'!OSRRefE21_1_7x</vt:lpstr>
      <vt:lpstr>'300 &amp; 317'!OSRRefE21_1_7x</vt:lpstr>
      <vt:lpstr>'301'!OSRRefE21_1_7x</vt:lpstr>
      <vt:lpstr>'307'!OSRRefE21_1_7x</vt:lpstr>
      <vt:lpstr>'308'!OSRRefE21_1_7x</vt:lpstr>
      <vt:lpstr>'310'!OSRRefE21_1_7x</vt:lpstr>
      <vt:lpstr>'310 &amp; 491'!OSRRefE21_1_7x</vt:lpstr>
      <vt:lpstr>'311'!OSRRefE21_1_7x</vt:lpstr>
      <vt:lpstr>'315'!OSRRefE21_1_7x</vt:lpstr>
      <vt:lpstr>'316'!OSRRefE21_1_7x</vt:lpstr>
      <vt:lpstr>'317'!OSRRefE21_1_7x</vt:lpstr>
      <vt:lpstr>'321'!OSRRefE21_1_7x</vt:lpstr>
      <vt:lpstr>'325'!OSRRefE21_1_7x</vt:lpstr>
      <vt:lpstr>'326'!OSRRefE21_1_7x</vt:lpstr>
      <vt:lpstr>'330'!OSRRefE21_1_7x</vt:lpstr>
      <vt:lpstr>'331'!OSRRefE21_1_7x</vt:lpstr>
      <vt:lpstr>'332'!OSRRefE21_1_7x</vt:lpstr>
      <vt:lpstr>'405'!OSRRefE21_1_7x</vt:lpstr>
      <vt:lpstr>'411'!OSRRefE21_1_7x</vt:lpstr>
      <vt:lpstr>'415'!OSRRefE21_1_7x</vt:lpstr>
      <vt:lpstr>'418'!OSRRefE21_1_7x</vt:lpstr>
      <vt:lpstr>'423'!OSRRefE21_1_7x</vt:lpstr>
      <vt:lpstr>'430'!OSRRefE21_1_7x</vt:lpstr>
      <vt:lpstr>'433'!OSRRefE21_1_7x</vt:lpstr>
      <vt:lpstr>'444'!OSRRefE21_1_7x</vt:lpstr>
      <vt:lpstr>'450'!OSRRefE21_1_7x</vt:lpstr>
      <vt:lpstr>'491'!OSRRefE21_1_7x</vt:lpstr>
      <vt:lpstr>'492'!OSRRefE21_1_7x</vt:lpstr>
      <vt:lpstr>'501'!OSRRefE21_1_7x</vt:lpstr>
      <vt:lpstr>'Div 2'!OSRRefE21_1_7x</vt:lpstr>
      <vt:lpstr>'Div 3'!OSRRefE21_1_7x</vt:lpstr>
      <vt:lpstr>'Div 4'!OSRRefE21_1_7x</vt:lpstr>
      <vt:lpstr>'Div 5'!OSRRefE21_1_7x</vt:lpstr>
      <vt:lpstr>'Div 6'!OSRRefE21_1_7x</vt:lpstr>
      <vt:lpstr>Summary!OSRRefE21_1_7x</vt:lpstr>
      <vt:lpstr>'201'!OSRRefE21_1_8x</vt:lpstr>
      <vt:lpstr>'202'!OSRRefE21_1_8x</vt:lpstr>
      <vt:lpstr>'203'!OSRRefE21_1_8x</vt:lpstr>
      <vt:lpstr>'204'!OSRRefE21_1_8x</vt:lpstr>
      <vt:lpstr>'205'!OSRRefE21_1_8x</vt:lpstr>
      <vt:lpstr>'206'!OSRRefE21_1_8x</vt:lpstr>
      <vt:lpstr>'300'!OSRRefE21_1_8x</vt:lpstr>
      <vt:lpstr>'300 &amp; 317'!OSRRefE21_1_8x</vt:lpstr>
      <vt:lpstr>'301'!OSRRefE21_1_8x</vt:lpstr>
      <vt:lpstr>'307'!OSRRefE21_1_8x</vt:lpstr>
      <vt:lpstr>'308'!OSRRefE21_1_8x</vt:lpstr>
      <vt:lpstr>'310'!OSRRefE21_1_8x</vt:lpstr>
      <vt:lpstr>'310 &amp; 491'!OSRRefE21_1_8x</vt:lpstr>
      <vt:lpstr>'311'!OSRRefE21_1_8x</vt:lpstr>
      <vt:lpstr>'315'!OSRRefE21_1_8x</vt:lpstr>
      <vt:lpstr>'316'!OSRRefE21_1_8x</vt:lpstr>
      <vt:lpstr>'317'!OSRRefE21_1_8x</vt:lpstr>
      <vt:lpstr>'321'!OSRRefE21_1_8x</vt:lpstr>
      <vt:lpstr>'325'!OSRRefE21_1_8x</vt:lpstr>
      <vt:lpstr>'326'!OSRRefE21_1_8x</vt:lpstr>
      <vt:lpstr>'330'!OSRRefE21_1_8x</vt:lpstr>
      <vt:lpstr>'331'!OSRRefE21_1_8x</vt:lpstr>
      <vt:lpstr>'332'!OSRRefE21_1_8x</vt:lpstr>
      <vt:lpstr>'405'!OSRRefE21_1_8x</vt:lpstr>
      <vt:lpstr>'411'!OSRRefE21_1_8x</vt:lpstr>
      <vt:lpstr>'415'!OSRRefE21_1_8x</vt:lpstr>
      <vt:lpstr>'418'!OSRRefE21_1_8x</vt:lpstr>
      <vt:lpstr>'423'!OSRRefE21_1_8x</vt:lpstr>
      <vt:lpstr>'430'!OSRRefE21_1_8x</vt:lpstr>
      <vt:lpstr>'433'!OSRRefE21_1_8x</vt:lpstr>
      <vt:lpstr>'444'!OSRRefE21_1_8x</vt:lpstr>
      <vt:lpstr>'450'!OSRRefE21_1_8x</vt:lpstr>
      <vt:lpstr>'491'!OSRRefE21_1_8x</vt:lpstr>
      <vt:lpstr>'492'!OSRRefE21_1_8x</vt:lpstr>
      <vt:lpstr>'501'!OSRRefE21_1_8x</vt:lpstr>
      <vt:lpstr>'Div 2'!OSRRefE21_1_8x</vt:lpstr>
      <vt:lpstr>'Div 3'!OSRRefE21_1_8x</vt:lpstr>
      <vt:lpstr>'Div 4'!OSRRefE21_1_8x</vt:lpstr>
      <vt:lpstr>'Div 5'!OSRRefE21_1_8x</vt:lpstr>
      <vt:lpstr>'Div 6'!OSRRefE21_1_8x</vt:lpstr>
      <vt:lpstr>Summary!OSRRefE21_1_8x</vt:lpstr>
      <vt:lpstr>'201'!OSRRefE21_1_9x</vt:lpstr>
      <vt:lpstr>'202'!OSRRefE21_1_9x</vt:lpstr>
      <vt:lpstr>'203'!OSRRefE21_1_9x</vt:lpstr>
      <vt:lpstr>'204'!OSRRefE21_1_9x</vt:lpstr>
      <vt:lpstr>'205'!OSRRefE21_1_9x</vt:lpstr>
      <vt:lpstr>'206'!OSRRefE21_1_9x</vt:lpstr>
      <vt:lpstr>'300'!OSRRefE21_1_9x</vt:lpstr>
      <vt:lpstr>'300 &amp; 317'!OSRRefE21_1_9x</vt:lpstr>
      <vt:lpstr>'301'!OSRRefE21_1_9x</vt:lpstr>
      <vt:lpstr>'307'!OSRRefE21_1_9x</vt:lpstr>
      <vt:lpstr>'308'!OSRRefE21_1_9x</vt:lpstr>
      <vt:lpstr>'310'!OSRRefE21_1_9x</vt:lpstr>
      <vt:lpstr>'310 &amp; 491'!OSRRefE21_1_9x</vt:lpstr>
      <vt:lpstr>'311'!OSRRefE21_1_9x</vt:lpstr>
      <vt:lpstr>'315'!OSRRefE21_1_9x</vt:lpstr>
      <vt:lpstr>'316'!OSRRefE21_1_9x</vt:lpstr>
      <vt:lpstr>'317'!OSRRefE21_1_9x</vt:lpstr>
      <vt:lpstr>'321'!OSRRefE21_1_9x</vt:lpstr>
      <vt:lpstr>'325'!OSRRefE21_1_9x</vt:lpstr>
      <vt:lpstr>'326'!OSRRefE21_1_9x</vt:lpstr>
      <vt:lpstr>'330'!OSRRefE21_1_9x</vt:lpstr>
      <vt:lpstr>'331'!OSRRefE21_1_9x</vt:lpstr>
      <vt:lpstr>'332'!OSRRefE21_1_9x</vt:lpstr>
      <vt:lpstr>'405'!OSRRefE21_1_9x</vt:lpstr>
      <vt:lpstr>'411'!OSRRefE21_1_9x</vt:lpstr>
      <vt:lpstr>'415'!OSRRefE21_1_9x</vt:lpstr>
      <vt:lpstr>'418'!OSRRefE21_1_9x</vt:lpstr>
      <vt:lpstr>'423'!OSRRefE21_1_9x</vt:lpstr>
      <vt:lpstr>'430'!OSRRefE21_1_9x</vt:lpstr>
      <vt:lpstr>'433'!OSRRefE21_1_9x</vt:lpstr>
      <vt:lpstr>'444'!OSRRefE21_1_9x</vt:lpstr>
      <vt:lpstr>'450'!OSRRefE21_1_9x</vt:lpstr>
      <vt:lpstr>'491'!OSRRefE21_1_9x</vt:lpstr>
      <vt:lpstr>'492'!OSRRefE21_1_9x</vt:lpstr>
      <vt:lpstr>'501'!OSRRefE21_1_9x</vt:lpstr>
      <vt:lpstr>'Div 2'!OSRRefE21_1_9x</vt:lpstr>
      <vt:lpstr>'Div 3'!OSRRefE21_1_9x</vt:lpstr>
      <vt:lpstr>'Div 4'!OSRRefE21_1_9x</vt:lpstr>
      <vt:lpstr>'Div 5'!OSRRefE21_1_9x</vt:lpstr>
      <vt:lpstr>'Div 6'!OSRRefE21_1_9x</vt:lpstr>
      <vt:lpstr>Summary!OSRRefE21_1_9x</vt:lpstr>
      <vt:lpstr>'201'!OSRRefE21_10_0x</vt:lpstr>
      <vt:lpstr>'202'!OSRRefE21_10_0x</vt:lpstr>
      <vt:lpstr>'203'!OSRRefE21_10_0x</vt:lpstr>
      <vt:lpstr>'300'!OSRRefE21_10_0x</vt:lpstr>
      <vt:lpstr>'300 &amp; 317'!OSRRefE21_10_0x</vt:lpstr>
      <vt:lpstr>'301'!OSRRefE21_10_0x</vt:lpstr>
      <vt:lpstr>'308'!OSRRefE21_10_0x</vt:lpstr>
      <vt:lpstr>'310'!OSRRefE21_10_0x</vt:lpstr>
      <vt:lpstr>'310 &amp; 491'!OSRRefE21_10_0x</vt:lpstr>
      <vt:lpstr>'311'!OSRRefE21_10_0x</vt:lpstr>
      <vt:lpstr>'315'!OSRRefE21_10_0x</vt:lpstr>
      <vt:lpstr>'321'!OSRRefE21_10_0x</vt:lpstr>
      <vt:lpstr>'325'!OSRRefE21_10_0x</vt:lpstr>
      <vt:lpstr>'326'!OSRRefE21_10_0x</vt:lpstr>
      <vt:lpstr>'331'!OSRRefE21_10_0x</vt:lpstr>
      <vt:lpstr>'405'!OSRRefE21_10_0x</vt:lpstr>
      <vt:lpstr>'411'!OSRRefE21_10_0x</vt:lpstr>
      <vt:lpstr>'415'!OSRRefE21_10_0x</vt:lpstr>
      <vt:lpstr>'418'!OSRRefE21_10_0x</vt:lpstr>
      <vt:lpstr>'433'!OSRRefE21_10_0x</vt:lpstr>
      <vt:lpstr>'444'!OSRRefE21_10_0x</vt:lpstr>
      <vt:lpstr>'450'!OSRRefE21_10_0x</vt:lpstr>
      <vt:lpstr>'491'!OSRRefE21_10_0x</vt:lpstr>
      <vt:lpstr>'492'!OSRRefE21_10_0x</vt:lpstr>
      <vt:lpstr>'501'!OSRRefE21_10_0x</vt:lpstr>
      <vt:lpstr>'Div 2'!OSRRefE21_10_0x</vt:lpstr>
      <vt:lpstr>'Div 3'!OSRRefE21_10_0x</vt:lpstr>
      <vt:lpstr>'Div 4'!OSRRefE21_10_0x</vt:lpstr>
      <vt:lpstr>'Div 5'!OSRRefE21_10_0x</vt:lpstr>
      <vt:lpstr>Summary!OSRRefE21_10_0x</vt:lpstr>
      <vt:lpstr>'300'!OSRRefE21_10_1x</vt:lpstr>
      <vt:lpstr>'300 &amp; 317'!OSRRefE21_10_1x</vt:lpstr>
      <vt:lpstr>'308'!OSRRefE21_10_1x</vt:lpstr>
      <vt:lpstr>'311'!OSRRefE21_10_1x</vt:lpstr>
      <vt:lpstr>'325'!OSRRefE21_10_1x</vt:lpstr>
      <vt:lpstr>'326'!OSRRefE21_10_1x</vt:lpstr>
      <vt:lpstr>'Div 3'!OSRRefE21_10_1x</vt:lpstr>
      <vt:lpstr>Summary!OSRRefE21_10_1x</vt:lpstr>
      <vt:lpstr>'201'!OSRRefE21_10x_0</vt:lpstr>
      <vt:lpstr>'202'!OSRRefE21_10x_0</vt:lpstr>
      <vt:lpstr>'203'!OSRRefE21_10x_0</vt:lpstr>
      <vt:lpstr>'300'!OSRRefE21_10x_0</vt:lpstr>
      <vt:lpstr>'300 &amp; 317'!OSRRefE21_10x_0</vt:lpstr>
      <vt:lpstr>'301'!OSRRefE21_10x_0</vt:lpstr>
      <vt:lpstr>'308'!OSRRefE21_10x_0</vt:lpstr>
      <vt:lpstr>'310'!OSRRefE21_10x_0</vt:lpstr>
      <vt:lpstr>'310 &amp; 491'!OSRRefE21_10x_0</vt:lpstr>
      <vt:lpstr>'311'!OSRRefE21_10x_0</vt:lpstr>
      <vt:lpstr>'315'!OSRRefE21_10x_0</vt:lpstr>
      <vt:lpstr>'321'!OSRRefE21_10x_0</vt:lpstr>
      <vt:lpstr>'325'!OSRRefE21_10x_0</vt:lpstr>
      <vt:lpstr>'326'!OSRRefE21_10x_0</vt:lpstr>
      <vt:lpstr>'331'!OSRRefE21_10x_0</vt:lpstr>
      <vt:lpstr>'405'!OSRRefE21_10x_0</vt:lpstr>
      <vt:lpstr>'411'!OSRRefE21_10x_0</vt:lpstr>
      <vt:lpstr>'415'!OSRRefE21_10x_0</vt:lpstr>
      <vt:lpstr>'418'!OSRRefE21_10x_0</vt:lpstr>
      <vt:lpstr>'433'!OSRRefE21_10x_0</vt:lpstr>
      <vt:lpstr>'444'!OSRRefE21_10x_0</vt:lpstr>
      <vt:lpstr>'450'!OSRRefE21_10x_0</vt:lpstr>
      <vt:lpstr>'491'!OSRRefE21_10x_0</vt:lpstr>
      <vt:lpstr>'492'!OSRRefE21_10x_0</vt:lpstr>
      <vt:lpstr>'501'!OSRRefE21_10x_0</vt:lpstr>
      <vt:lpstr>'Div 2'!OSRRefE21_10x_0</vt:lpstr>
      <vt:lpstr>'Div 3'!OSRRefE21_10x_0</vt:lpstr>
      <vt:lpstr>'Div 4'!OSRRefE21_10x_0</vt:lpstr>
      <vt:lpstr>'Div 5'!OSRRefE21_10x_0</vt:lpstr>
      <vt:lpstr>Summary!OSRRefE21_10x_0</vt:lpstr>
      <vt:lpstr>'201'!OSRRefE21_10x_1</vt:lpstr>
      <vt:lpstr>'202'!OSRRefE21_10x_1</vt:lpstr>
      <vt:lpstr>'203'!OSRRefE21_10x_1</vt:lpstr>
      <vt:lpstr>'300'!OSRRefE21_10x_1</vt:lpstr>
      <vt:lpstr>'300 &amp; 317'!OSRRefE21_10x_1</vt:lpstr>
      <vt:lpstr>'301'!OSRRefE21_10x_1</vt:lpstr>
      <vt:lpstr>'308'!OSRRefE21_10x_1</vt:lpstr>
      <vt:lpstr>'310'!OSRRefE21_10x_1</vt:lpstr>
      <vt:lpstr>'310 &amp; 491'!OSRRefE21_10x_1</vt:lpstr>
      <vt:lpstr>'311'!OSRRefE21_10x_1</vt:lpstr>
      <vt:lpstr>'315'!OSRRefE21_10x_1</vt:lpstr>
      <vt:lpstr>'321'!OSRRefE21_10x_1</vt:lpstr>
      <vt:lpstr>'325'!OSRRefE21_10x_1</vt:lpstr>
      <vt:lpstr>'326'!OSRRefE21_10x_1</vt:lpstr>
      <vt:lpstr>'331'!OSRRefE21_10x_1</vt:lpstr>
      <vt:lpstr>'405'!OSRRefE21_10x_1</vt:lpstr>
      <vt:lpstr>'411'!OSRRefE21_10x_1</vt:lpstr>
      <vt:lpstr>'415'!OSRRefE21_10x_1</vt:lpstr>
      <vt:lpstr>'418'!OSRRefE21_10x_1</vt:lpstr>
      <vt:lpstr>'433'!OSRRefE21_10x_1</vt:lpstr>
      <vt:lpstr>'444'!OSRRefE21_10x_1</vt:lpstr>
      <vt:lpstr>'450'!OSRRefE21_10x_1</vt:lpstr>
      <vt:lpstr>'491'!OSRRefE21_10x_1</vt:lpstr>
      <vt:lpstr>'492'!OSRRefE21_10x_1</vt:lpstr>
      <vt:lpstr>'501'!OSRRefE21_10x_1</vt:lpstr>
      <vt:lpstr>'Div 2'!OSRRefE21_10x_1</vt:lpstr>
      <vt:lpstr>'Div 3'!OSRRefE21_10x_1</vt:lpstr>
      <vt:lpstr>'Div 4'!OSRRefE21_10x_1</vt:lpstr>
      <vt:lpstr>'Div 5'!OSRRefE21_10x_1</vt:lpstr>
      <vt:lpstr>Summary!OSRRefE21_10x_1</vt:lpstr>
      <vt:lpstr>'201'!OSRRefE21_10x_10</vt:lpstr>
      <vt:lpstr>'202'!OSRRefE21_10x_10</vt:lpstr>
      <vt:lpstr>'203'!OSRRefE21_10x_10</vt:lpstr>
      <vt:lpstr>'300'!OSRRefE21_10x_10</vt:lpstr>
      <vt:lpstr>'300 &amp; 317'!OSRRefE21_10x_10</vt:lpstr>
      <vt:lpstr>'301'!OSRRefE21_10x_10</vt:lpstr>
      <vt:lpstr>'308'!OSRRefE21_10x_10</vt:lpstr>
      <vt:lpstr>'310'!OSRRefE21_10x_10</vt:lpstr>
      <vt:lpstr>'310 &amp; 491'!OSRRefE21_10x_10</vt:lpstr>
      <vt:lpstr>'311'!OSRRefE21_10x_10</vt:lpstr>
      <vt:lpstr>'315'!OSRRefE21_10x_10</vt:lpstr>
      <vt:lpstr>'321'!OSRRefE21_10x_10</vt:lpstr>
      <vt:lpstr>'325'!OSRRefE21_10x_10</vt:lpstr>
      <vt:lpstr>'326'!OSRRefE21_10x_10</vt:lpstr>
      <vt:lpstr>'331'!OSRRefE21_10x_10</vt:lpstr>
      <vt:lpstr>'405'!OSRRefE21_10x_10</vt:lpstr>
      <vt:lpstr>'411'!OSRRefE21_10x_10</vt:lpstr>
      <vt:lpstr>'415'!OSRRefE21_10x_10</vt:lpstr>
      <vt:lpstr>'418'!OSRRefE21_10x_10</vt:lpstr>
      <vt:lpstr>'433'!OSRRefE21_10x_10</vt:lpstr>
      <vt:lpstr>'444'!OSRRefE21_10x_10</vt:lpstr>
      <vt:lpstr>'450'!OSRRefE21_10x_10</vt:lpstr>
      <vt:lpstr>'491'!OSRRefE21_10x_10</vt:lpstr>
      <vt:lpstr>'492'!OSRRefE21_10x_10</vt:lpstr>
      <vt:lpstr>'501'!OSRRefE21_10x_10</vt:lpstr>
      <vt:lpstr>'Div 2'!OSRRefE21_10x_10</vt:lpstr>
      <vt:lpstr>'Div 3'!OSRRefE21_10x_10</vt:lpstr>
      <vt:lpstr>'Div 4'!OSRRefE21_10x_10</vt:lpstr>
      <vt:lpstr>'Div 5'!OSRRefE21_10x_10</vt:lpstr>
      <vt:lpstr>Summary!OSRRefE21_10x_10</vt:lpstr>
      <vt:lpstr>'201'!OSRRefE21_10x_2</vt:lpstr>
      <vt:lpstr>'202'!OSRRefE21_10x_2</vt:lpstr>
      <vt:lpstr>'203'!OSRRefE21_10x_2</vt:lpstr>
      <vt:lpstr>'300'!OSRRefE21_10x_2</vt:lpstr>
      <vt:lpstr>'300 &amp; 317'!OSRRefE21_10x_2</vt:lpstr>
      <vt:lpstr>'301'!OSRRefE21_10x_2</vt:lpstr>
      <vt:lpstr>'308'!OSRRefE21_10x_2</vt:lpstr>
      <vt:lpstr>'310'!OSRRefE21_10x_2</vt:lpstr>
      <vt:lpstr>'310 &amp; 491'!OSRRefE21_10x_2</vt:lpstr>
      <vt:lpstr>'311'!OSRRefE21_10x_2</vt:lpstr>
      <vt:lpstr>'315'!OSRRefE21_10x_2</vt:lpstr>
      <vt:lpstr>'321'!OSRRefE21_10x_2</vt:lpstr>
      <vt:lpstr>'325'!OSRRefE21_10x_2</vt:lpstr>
      <vt:lpstr>'326'!OSRRefE21_10x_2</vt:lpstr>
      <vt:lpstr>'331'!OSRRefE21_10x_2</vt:lpstr>
      <vt:lpstr>'405'!OSRRefE21_10x_2</vt:lpstr>
      <vt:lpstr>'411'!OSRRefE21_10x_2</vt:lpstr>
      <vt:lpstr>'415'!OSRRefE21_10x_2</vt:lpstr>
      <vt:lpstr>'418'!OSRRefE21_10x_2</vt:lpstr>
      <vt:lpstr>'433'!OSRRefE21_10x_2</vt:lpstr>
      <vt:lpstr>'444'!OSRRefE21_10x_2</vt:lpstr>
      <vt:lpstr>'450'!OSRRefE21_10x_2</vt:lpstr>
      <vt:lpstr>'491'!OSRRefE21_10x_2</vt:lpstr>
      <vt:lpstr>'492'!OSRRefE21_10x_2</vt:lpstr>
      <vt:lpstr>'501'!OSRRefE21_10x_2</vt:lpstr>
      <vt:lpstr>'Div 2'!OSRRefE21_10x_2</vt:lpstr>
      <vt:lpstr>'Div 3'!OSRRefE21_10x_2</vt:lpstr>
      <vt:lpstr>'Div 4'!OSRRefE21_10x_2</vt:lpstr>
      <vt:lpstr>'Div 5'!OSRRefE21_10x_2</vt:lpstr>
      <vt:lpstr>Summary!OSRRefE21_10x_2</vt:lpstr>
      <vt:lpstr>'201'!OSRRefE21_10x_3</vt:lpstr>
      <vt:lpstr>'202'!OSRRefE21_10x_3</vt:lpstr>
      <vt:lpstr>'203'!OSRRefE21_10x_3</vt:lpstr>
      <vt:lpstr>'300'!OSRRefE21_10x_3</vt:lpstr>
      <vt:lpstr>'300 &amp; 317'!OSRRefE21_10x_3</vt:lpstr>
      <vt:lpstr>'301'!OSRRefE21_10x_3</vt:lpstr>
      <vt:lpstr>'308'!OSRRefE21_10x_3</vt:lpstr>
      <vt:lpstr>'310'!OSRRefE21_10x_3</vt:lpstr>
      <vt:lpstr>'310 &amp; 491'!OSRRefE21_10x_3</vt:lpstr>
      <vt:lpstr>'311'!OSRRefE21_10x_3</vt:lpstr>
      <vt:lpstr>'315'!OSRRefE21_10x_3</vt:lpstr>
      <vt:lpstr>'321'!OSRRefE21_10x_3</vt:lpstr>
      <vt:lpstr>'325'!OSRRefE21_10x_3</vt:lpstr>
      <vt:lpstr>'326'!OSRRefE21_10x_3</vt:lpstr>
      <vt:lpstr>'331'!OSRRefE21_10x_3</vt:lpstr>
      <vt:lpstr>'405'!OSRRefE21_10x_3</vt:lpstr>
      <vt:lpstr>'411'!OSRRefE21_10x_3</vt:lpstr>
      <vt:lpstr>'415'!OSRRefE21_10x_3</vt:lpstr>
      <vt:lpstr>'418'!OSRRefE21_10x_3</vt:lpstr>
      <vt:lpstr>'433'!OSRRefE21_10x_3</vt:lpstr>
      <vt:lpstr>'444'!OSRRefE21_10x_3</vt:lpstr>
      <vt:lpstr>'450'!OSRRefE21_10x_3</vt:lpstr>
      <vt:lpstr>'491'!OSRRefE21_10x_3</vt:lpstr>
      <vt:lpstr>'492'!OSRRefE21_10x_3</vt:lpstr>
      <vt:lpstr>'501'!OSRRefE21_10x_3</vt:lpstr>
      <vt:lpstr>'Div 2'!OSRRefE21_10x_3</vt:lpstr>
      <vt:lpstr>'Div 3'!OSRRefE21_10x_3</vt:lpstr>
      <vt:lpstr>'Div 4'!OSRRefE21_10x_3</vt:lpstr>
      <vt:lpstr>'Div 5'!OSRRefE21_10x_3</vt:lpstr>
      <vt:lpstr>Summary!OSRRefE21_10x_3</vt:lpstr>
      <vt:lpstr>'201'!OSRRefE21_10x_4</vt:lpstr>
      <vt:lpstr>'202'!OSRRefE21_10x_4</vt:lpstr>
      <vt:lpstr>'203'!OSRRefE21_10x_4</vt:lpstr>
      <vt:lpstr>'300'!OSRRefE21_10x_4</vt:lpstr>
      <vt:lpstr>'300 &amp; 317'!OSRRefE21_10x_4</vt:lpstr>
      <vt:lpstr>'301'!OSRRefE21_10x_4</vt:lpstr>
      <vt:lpstr>'308'!OSRRefE21_10x_4</vt:lpstr>
      <vt:lpstr>'310'!OSRRefE21_10x_4</vt:lpstr>
      <vt:lpstr>'310 &amp; 491'!OSRRefE21_10x_4</vt:lpstr>
      <vt:lpstr>'311'!OSRRefE21_10x_4</vt:lpstr>
      <vt:lpstr>'315'!OSRRefE21_10x_4</vt:lpstr>
      <vt:lpstr>'321'!OSRRefE21_10x_4</vt:lpstr>
      <vt:lpstr>'325'!OSRRefE21_10x_4</vt:lpstr>
      <vt:lpstr>'326'!OSRRefE21_10x_4</vt:lpstr>
      <vt:lpstr>'331'!OSRRefE21_10x_4</vt:lpstr>
      <vt:lpstr>'405'!OSRRefE21_10x_4</vt:lpstr>
      <vt:lpstr>'411'!OSRRefE21_10x_4</vt:lpstr>
      <vt:lpstr>'415'!OSRRefE21_10x_4</vt:lpstr>
      <vt:lpstr>'418'!OSRRefE21_10x_4</vt:lpstr>
      <vt:lpstr>'433'!OSRRefE21_10x_4</vt:lpstr>
      <vt:lpstr>'444'!OSRRefE21_10x_4</vt:lpstr>
      <vt:lpstr>'450'!OSRRefE21_10x_4</vt:lpstr>
      <vt:lpstr>'491'!OSRRefE21_10x_4</vt:lpstr>
      <vt:lpstr>'492'!OSRRefE21_10x_4</vt:lpstr>
      <vt:lpstr>'501'!OSRRefE21_10x_4</vt:lpstr>
      <vt:lpstr>'Div 2'!OSRRefE21_10x_4</vt:lpstr>
      <vt:lpstr>'Div 3'!OSRRefE21_10x_4</vt:lpstr>
      <vt:lpstr>'Div 4'!OSRRefE21_10x_4</vt:lpstr>
      <vt:lpstr>'Div 5'!OSRRefE21_10x_4</vt:lpstr>
      <vt:lpstr>Summary!OSRRefE21_10x_4</vt:lpstr>
      <vt:lpstr>'201'!OSRRefE21_10x_5</vt:lpstr>
      <vt:lpstr>'202'!OSRRefE21_10x_5</vt:lpstr>
      <vt:lpstr>'203'!OSRRefE21_10x_5</vt:lpstr>
      <vt:lpstr>'300'!OSRRefE21_10x_5</vt:lpstr>
      <vt:lpstr>'300 &amp; 317'!OSRRefE21_10x_5</vt:lpstr>
      <vt:lpstr>'301'!OSRRefE21_10x_5</vt:lpstr>
      <vt:lpstr>'308'!OSRRefE21_10x_5</vt:lpstr>
      <vt:lpstr>'310'!OSRRefE21_10x_5</vt:lpstr>
      <vt:lpstr>'310 &amp; 491'!OSRRefE21_10x_5</vt:lpstr>
      <vt:lpstr>'311'!OSRRefE21_10x_5</vt:lpstr>
      <vt:lpstr>'315'!OSRRefE21_10x_5</vt:lpstr>
      <vt:lpstr>'321'!OSRRefE21_10x_5</vt:lpstr>
      <vt:lpstr>'325'!OSRRefE21_10x_5</vt:lpstr>
      <vt:lpstr>'326'!OSRRefE21_10x_5</vt:lpstr>
      <vt:lpstr>'331'!OSRRefE21_10x_5</vt:lpstr>
      <vt:lpstr>'405'!OSRRefE21_10x_5</vt:lpstr>
      <vt:lpstr>'411'!OSRRefE21_10x_5</vt:lpstr>
      <vt:lpstr>'415'!OSRRefE21_10x_5</vt:lpstr>
      <vt:lpstr>'418'!OSRRefE21_10x_5</vt:lpstr>
      <vt:lpstr>'433'!OSRRefE21_10x_5</vt:lpstr>
      <vt:lpstr>'444'!OSRRefE21_10x_5</vt:lpstr>
      <vt:lpstr>'450'!OSRRefE21_10x_5</vt:lpstr>
      <vt:lpstr>'491'!OSRRefE21_10x_5</vt:lpstr>
      <vt:lpstr>'492'!OSRRefE21_10x_5</vt:lpstr>
      <vt:lpstr>'501'!OSRRefE21_10x_5</vt:lpstr>
      <vt:lpstr>'Div 2'!OSRRefE21_10x_5</vt:lpstr>
      <vt:lpstr>'Div 3'!OSRRefE21_10x_5</vt:lpstr>
      <vt:lpstr>'Div 4'!OSRRefE21_10x_5</vt:lpstr>
      <vt:lpstr>'Div 5'!OSRRefE21_10x_5</vt:lpstr>
      <vt:lpstr>Summary!OSRRefE21_10x_5</vt:lpstr>
      <vt:lpstr>'201'!OSRRefE21_10x_6</vt:lpstr>
      <vt:lpstr>'202'!OSRRefE21_10x_6</vt:lpstr>
      <vt:lpstr>'203'!OSRRefE21_10x_6</vt:lpstr>
      <vt:lpstr>'300'!OSRRefE21_10x_6</vt:lpstr>
      <vt:lpstr>'300 &amp; 317'!OSRRefE21_10x_6</vt:lpstr>
      <vt:lpstr>'301'!OSRRefE21_10x_6</vt:lpstr>
      <vt:lpstr>'308'!OSRRefE21_10x_6</vt:lpstr>
      <vt:lpstr>'310'!OSRRefE21_10x_6</vt:lpstr>
      <vt:lpstr>'310 &amp; 491'!OSRRefE21_10x_6</vt:lpstr>
      <vt:lpstr>'311'!OSRRefE21_10x_6</vt:lpstr>
      <vt:lpstr>'315'!OSRRefE21_10x_6</vt:lpstr>
      <vt:lpstr>'321'!OSRRefE21_10x_6</vt:lpstr>
      <vt:lpstr>'325'!OSRRefE21_10x_6</vt:lpstr>
      <vt:lpstr>'326'!OSRRefE21_10x_6</vt:lpstr>
      <vt:lpstr>'331'!OSRRefE21_10x_6</vt:lpstr>
      <vt:lpstr>'405'!OSRRefE21_10x_6</vt:lpstr>
      <vt:lpstr>'411'!OSRRefE21_10x_6</vt:lpstr>
      <vt:lpstr>'415'!OSRRefE21_10x_6</vt:lpstr>
      <vt:lpstr>'418'!OSRRefE21_10x_6</vt:lpstr>
      <vt:lpstr>'433'!OSRRefE21_10x_6</vt:lpstr>
      <vt:lpstr>'444'!OSRRefE21_10x_6</vt:lpstr>
      <vt:lpstr>'450'!OSRRefE21_10x_6</vt:lpstr>
      <vt:lpstr>'491'!OSRRefE21_10x_6</vt:lpstr>
      <vt:lpstr>'492'!OSRRefE21_10x_6</vt:lpstr>
      <vt:lpstr>'501'!OSRRefE21_10x_6</vt:lpstr>
      <vt:lpstr>'Div 2'!OSRRefE21_10x_6</vt:lpstr>
      <vt:lpstr>'Div 3'!OSRRefE21_10x_6</vt:lpstr>
      <vt:lpstr>'Div 4'!OSRRefE21_10x_6</vt:lpstr>
      <vt:lpstr>'Div 5'!OSRRefE21_10x_6</vt:lpstr>
      <vt:lpstr>Summary!OSRRefE21_10x_6</vt:lpstr>
      <vt:lpstr>'201'!OSRRefE21_10x_7</vt:lpstr>
      <vt:lpstr>'202'!OSRRefE21_10x_7</vt:lpstr>
      <vt:lpstr>'203'!OSRRefE21_10x_7</vt:lpstr>
      <vt:lpstr>'300'!OSRRefE21_10x_7</vt:lpstr>
      <vt:lpstr>'300 &amp; 317'!OSRRefE21_10x_7</vt:lpstr>
      <vt:lpstr>'301'!OSRRefE21_10x_7</vt:lpstr>
      <vt:lpstr>'308'!OSRRefE21_10x_7</vt:lpstr>
      <vt:lpstr>'310'!OSRRefE21_10x_7</vt:lpstr>
      <vt:lpstr>'310 &amp; 491'!OSRRefE21_10x_7</vt:lpstr>
      <vt:lpstr>'311'!OSRRefE21_10x_7</vt:lpstr>
      <vt:lpstr>'315'!OSRRefE21_10x_7</vt:lpstr>
      <vt:lpstr>'321'!OSRRefE21_10x_7</vt:lpstr>
      <vt:lpstr>'325'!OSRRefE21_10x_7</vt:lpstr>
      <vt:lpstr>'326'!OSRRefE21_10x_7</vt:lpstr>
      <vt:lpstr>'331'!OSRRefE21_10x_7</vt:lpstr>
      <vt:lpstr>'405'!OSRRefE21_10x_7</vt:lpstr>
      <vt:lpstr>'411'!OSRRefE21_10x_7</vt:lpstr>
      <vt:lpstr>'415'!OSRRefE21_10x_7</vt:lpstr>
      <vt:lpstr>'418'!OSRRefE21_10x_7</vt:lpstr>
      <vt:lpstr>'433'!OSRRefE21_10x_7</vt:lpstr>
      <vt:lpstr>'444'!OSRRefE21_10x_7</vt:lpstr>
      <vt:lpstr>'450'!OSRRefE21_10x_7</vt:lpstr>
      <vt:lpstr>'491'!OSRRefE21_10x_7</vt:lpstr>
      <vt:lpstr>'492'!OSRRefE21_10x_7</vt:lpstr>
      <vt:lpstr>'501'!OSRRefE21_10x_7</vt:lpstr>
      <vt:lpstr>'Div 2'!OSRRefE21_10x_7</vt:lpstr>
      <vt:lpstr>'Div 3'!OSRRefE21_10x_7</vt:lpstr>
      <vt:lpstr>'Div 4'!OSRRefE21_10x_7</vt:lpstr>
      <vt:lpstr>'Div 5'!OSRRefE21_10x_7</vt:lpstr>
      <vt:lpstr>Summary!OSRRefE21_10x_7</vt:lpstr>
      <vt:lpstr>'201'!OSRRefE21_10x_8</vt:lpstr>
      <vt:lpstr>'202'!OSRRefE21_10x_8</vt:lpstr>
      <vt:lpstr>'203'!OSRRefE21_10x_8</vt:lpstr>
      <vt:lpstr>'300'!OSRRefE21_10x_8</vt:lpstr>
      <vt:lpstr>'300 &amp; 317'!OSRRefE21_10x_8</vt:lpstr>
      <vt:lpstr>'301'!OSRRefE21_10x_8</vt:lpstr>
      <vt:lpstr>'308'!OSRRefE21_10x_8</vt:lpstr>
      <vt:lpstr>'310'!OSRRefE21_10x_8</vt:lpstr>
      <vt:lpstr>'310 &amp; 491'!OSRRefE21_10x_8</vt:lpstr>
      <vt:lpstr>'311'!OSRRefE21_10x_8</vt:lpstr>
      <vt:lpstr>'315'!OSRRefE21_10x_8</vt:lpstr>
      <vt:lpstr>'321'!OSRRefE21_10x_8</vt:lpstr>
      <vt:lpstr>'325'!OSRRefE21_10x_8</vt:lpstr>
      <vt:lpstr>'326'!OSRRefE21_10x_8</vt:lpstr>
      <vt:lpstr>'331'!OSRRefE21_10x_8</vt:lpstr>
      <vt:lpstr>'405'!OSRRefE21_10x_8</vt:lpstr>
      <vt:lpstr>'411'!OSRRefE21_10x_8</vt:lpstr>
      <vt:lpstr>'415'!OSRRefE21_10x_8</vt:lpstr>
      <vt:lpstr>'418'!OSRRefE21_10x_8</vt:lpstr>
      <vt:lpstr>'433'!OSRRefE21_10x_8</vt:lpstr>
      <vt:lpstr>'444'!OSRRefE21_10x_8</vt:lpstr>
      <vt:lpstr>'450'!OSRRefE21_10x_8</vt:lpstr>
      <vt:lpstr>'491'!OSRRefE21_10x_8</vt:lpstr>
      <vt:lpstr>'492'!OSRRefE21_10x_8</vt:lpstr>
      <vt:lpstr>'501'!OSRRefE21_10x_8</vt:lpstr>
      <vt:lpstr>'Div 2'!OSRRefE21_10x_8</vt:lpstr>
      <vt:lpstr>'Div 3'!OSRRefE21_10x_8</vt:lpstr>
      <vt:lpstr>'Div 4'!OSRRefE21_10x_8</vt:lpstr>
      <vt:lpstr>'Div 5'!OSRRefE21_10x_8</vt:lpstr>
      <vt:lpstr>Summary!OSRRefE21_10x_8</vt:lpstr>
      <vt:lpstr>'201'!OSRRefE21_10x_9</vt:lpstr>
      <vt:lpstr>'202'!OSRRefE21_10x_9</vt:lpstr>
      <vt:lpstr>'203'!OSRRefE21_10x_9</vt:lpstr>
      <vt:lpstr>'300'!OSRRefE21_10x_9</vt:lpstr>
      <vt:lpstr>'300 &amp; 317'!OSRRefE21_10x_9</vt:lpstr>
      <vt:lpstr>'301'!OSRRefE21_10x_9</vt:lpstr>
      <vt:lpstr>'308'!OSRRefE21_10x_9</vt:lpstr>
      <vt:lpstr>'310'!OSRRefE21_10x_9</vt:lpstr>
      <vt:lpstr>'310 &amp; 491'!OSRRefE21_10x_9</vt:lpstr>
      <vt:lpstr>'311'!OSRRefE21_10x_9</vt:lpstr>
      <vt:lpstr>'315'!OSRRefE21_10x_9</vt:lpstr>
      <vt:lpstr>'321'!OSRRefE21_10x_9</vt:lpstr>
      <vt:lpstr>'325'!OSRRefE21_10x_9</vt:lpstr>
      <vt:lpstr>'326'!OSRRefE21_10x_9</vt:lpstr>
      <vt:lpstr>'331'!OSRRefE21_10x_9</vt:lpstr>
      <vt:lpstr>'405'!OSRRefE21_10x_9</vt:lpstr>
      <vt:lpstr>'411'!OSRRefE21_10x_9</vt:lpstr>
      <vt:lpstr>'415'!OSRRefE21_10x_9</vt:lpstr>
      <vt:lpstr>'418'!OSRRefE21_10x_9</vt:lpstr>
      <vt:lpstr>'433'!OSRRefE21_10x_9</vt:lpstr>
      <vt:lpstr>'444'!OSRRefE21_10x_9</vt:lpstr>
      <vt:lpstr>'450'!OSRRefE21_10x_9</vt:lpstr>
      <vt:lpstr>'491'!OSRRefE21_10x_9</vt:lpstr>
      <vt:lpstr>'492'!OSRRefE21_10x_9</vt:lpstr>
      <vt:lpstr>'501'!OSRRefE21_10x_9</vt:lpstr>
      <vt:lpstr>'Div 2'!OSRRefE21_10x_9</vt:lpstr>
      <vt:lpstr>'Div 3'!OSRRefE21_10x_9</vt:lpstr>
      <vt:lpstr>'Div 4'!OSRRefE21_10x_9</vt:lpstr>
      <vt:lpstr>'Div 5'!OSRRefE21_10x_9</vt:lpstr>
      <vt:lpstr>Summary!OSRRefE21_10x_9</vt:lpstr>
      <vt:lpstr>'201'!OSRRefE21_11_0x</vt:lpstr>
      <vt:lpstr>'202'!OSRRefE21_11_0x</vt:lpstr>
      <vt:lpstr>'203'!OSRRefE21_11_0x</vt:lpstr>
      <vt:lpstr>'300'!OSRRefE21_11_0x</vt:lpstr>
      <vt:lpstr>'300 &amp; 317'!OSRRefE21_11_0x</vt:lpstr>
      <vt:lpstr>'301'!OSRRefE21_11_0x</vt:lpstr>
      <vt:lpstr>'308'!OSRRefE21_11_0x</vt:lpstr>
      <vt:lpstr>'310'!OSRRefE21_11_0x</vt:lpstr>
      <vt:lpstr>'310 &amp; 491'!OSRRefE21_11_0x</vt:lpstr>
      <vt:lpstr>'311'!OSRRefE21_11_0x</vt:lpstr>
      <vt:lpstr>'315'!OSRRefE21_11_0x</vt:lpstr>
      <vt:lpstr>'321'!OSRRefE21_11_0x</vt:lpstr>
      <vt:lpstr>'325'!OSRRefE21_11_0x</vt:lpstr>
      <vt:lpstr>'326'!OSRRefE21_11_0x</vt:lpstr>
      <vt:lpstr>'331'!OSRRefE21_11_0x</vt:lpstr>
      <vt:lpstr>'405'!OSRRefE21_11_0x</vt:lpstr>
      <vt:lpstr>'411'!OSRRefE21_11_0x</vt:lpstr>
      <vt:lpstr>'415'!OSRRefE21_11_0x</vt:lpstr>
      <vt:lpstr>'418'!OSRRefE21_11_0x</vt:lpstr>
      <vt:lpstr>'433'!OSRRefE21_11_0x</vt:lpstr>
      <vt:lpstr>'444'!OSRRefE21_11_0x</vt:lpstr>
      <vt:lpstr>'450'!OSRRefE21_11_0x</vt:lpstr>
      <vt:lpstr>'491'!OSRRefE21_11_0x</vt:lpstr>
      <vt:lpstr>'492'!OSRRefE21_11_0x</vt:lpstr>
      <vt:lpstr>'501'!OSRRefE21_11_0x</vt:lpstr>
      <vt:lpstr>'Div 2'!OSRRefE21_11_0x</vt:lpstr>
      <vt:lpstr>'Div 3'!OSRRefE21_11_0x</vt:lpstr>
      <vt:lpstr>'Div 4'!OSRRefE21_11_0x</vt:lpstr>
      <vt:lpstr>'Div 5'!OSRRefE21_11_0x</vt:lpstr>
      <vt:lpstr>Summary!OSRRefE21_11_0x</vt:lpstr>
      <vt:lpstr>'203'!OSRRefE21_11_1x</vt:lpstr>
      <vt:lpstr>'300'!OSRRefE21_11_1x</vt:lpstr>
      <vt:lpstr>'300 &amp; 317'!OSRRefE21_11_1x</vt:lpstr>
      <vt:lpstr>'308'!OSRRefE21_11_1x</vt:lpstr>
      <vt:lpstr>'310'!OSRRefE21_11_1x</vt:lpstr>
      <vt:lpstr>'311'!OSRRefE21_11_1x</vt:lpstr>
      <vt:lpstr>'315'!OSRRefE21_11_1x</vt:lpstr>
      <vt:lpstr>'325'!OSRRefE21_11_1x</vt:lpstr>
      <vt:lpstr>'326'!OSRRefE21_11_1x</vt:lpstr>
      <vt:lpstr>'405'!OSRRefE21_11_1x</vt:lpstr>
      <vt:lpstr>'415'!OSRRefE21_11_1x</vt:lpstr>
      <vt:lpstr>'418'!OSRRefE21_11_1x</vt:lpstr>
      <vt:lpstr>'433'!OSRRefE21_11_1x</vt:lpstr>
      <vt:lpstr>'444'!OSRRefE21_11_1x</vt:lpstr>
      <vt:lpstr>'450'!OSRRefE21_11_1x</vt:lpstr>
      <vt:lpstr>'501'!OSRRefE21_11_1x</vt:lpstr>
      <vt:lpstr>'Div 3'!OSRRefE21_11_1x</vt:lpstr>
      <vt:lpstr>'Div 5'!OSRRefE21_11_1x</vt:lpstr>
      <vt:lpstr>Summary!OSRRefE21_11_1x</vt:lpstr>
      <vt:lpstr>'203'!OSRRefE21_11_2x</vt:lpstr>
      <vt:lpstr>'310'!OSRRefE21_11_2x</vt:lpstr>
      <vt:lpstr>'315'!OSRRefE21_11_2x</vt:lpstr>
      <vt:lpstr>'405'!OSRRefE21_11_2x</vt:lpstr>
      <vt:lpstr>'418'!OSRRefE21_11_2x</vt:lpstr>
      <vt:lpstr>'433'!OSRRefE21_11_2x</vt:lpstr>
      <vt:lpstr>Summary!OSRRefE21_11_2x</vt:lpstr>
      <vt:lpstr>'203'!OSRRefE21_11_3x</vt:lpstr>
      <vt:lpstr>'405'!OSRRefE21_11_3x</vt:lpstr>
      <vt:lpstr>'418'!OSRRefE21_11_3x</vt:lpstr>
      <vt:lpstr>'405'!OSRRefE21_11_4x</vt:lpstr>
      <vt:lpstr>'418'!OSRRefE21_11_4x</vt:lpstr>
      <vt:lpstr>'405'!OSRRefE21_11_5x</vt:lpstr>
      <vt:lpstr>'418'!OSRRefE21_11_5x</vt:lpstr>
      <vt:lpstr>'405'!OSRRefE21_11_6x</vt:lpstr>
      <vt:lpstr>'418'!OSRRefE21_11_6x</vt:lpstr>
      <vt:lpstr>'201'!OSRRefE21_11x_0</vt:lpstr>
      <vt:lpstr>'202'!OSRRefE21_11x_0</vt:lpstr>
      <vt:lpstr>'203'!OSRRefE21_11x_0</vt:lpstr>
      <vt:lpstr>'300'!OSRRefE21_11x_0</vt:lpstr>
      <vt:lpstr>'300 &amp; 317'!OSRRefE21_11x_0</vt:lpstr>
      <vt:lpstr>'301'!OSRRefE21_11x_0</vt:lpstr>
      <vt:lpstr>'308'!OSRRefE21_11x_0</vt:lpstr>
      <vt:lpstr>'310'!OSRRefE21_11x_0</vt:lpstr>
      <vt:lpstr>'310 &amp; 491'!OSRRefE21_11x_0</vt:lpstr>
      <vt:lpstr>'311'!OSRRefE21_11x_0</vt:lpstr>
      <vt:lpstr>'315'!OSRRefE21_11x_0</vt:lpstr>
      <vt:lpstr>'321'!OSRRefE21_11x_0</vt:lpstr>
      <vt:lpstr>'325'!OSRRefE21_11x_0</vt:lpstr>
      <vt:lpstr>'326'!OSRRefE21_11x_0</vt:lpstr>
      <vt:lpstr>'331'!OSRRefE21_11x_0</vt:lpstr>
      <vt:lpstr>'405'!OSRRefE21_11x_0</vt:lpstr>
      <vt:lpstr>'411'!OSRRefE21_11x_0</vt:lpstr>
      <vt:lpstr>'415'!OSRRefE21_11x_0</vt:lpstr>
      <vt:lpstr>'418'!OSRRefE21_11x_0</vt:lpstr>
      <vt:lpstr>'433'!OSRRefE21_11x_0</vt:lpstr>
      <vt:lpstr>'444'!OSRRefE21_11x_0</vt:lpstr>
      <vt:lpstr>'450'!OSRRefE21_11x_0</vt:lpstr>
      <vt:lpstr>'491'!OSRRefE21_11x_0</vt:lpstr>
      <vt:lpstr>'492'!OSRRefE21_11x_0</vt:lpstr>
      <vt:lpstr>'501'!OSRRefE21_11x_0</vt:lpstr>
      <vt:lpstr>'Div 2'!OSRRefE21_11x_0</vt:lpstr>
      <vt:lpstr>'Div 3'!OSRRefE21_11x_0</vt:lpstr>
      <vt:lpstr>'Div 4'!OSRRefE21_11x_0</vt:lpstr>
      <vt:lpstr>'Div 5'!OSRRefE21_11x_0</vt:lpstr>
      <vt:lpstr>Summary!OSRRefE21_11x_0</vt:lpstr>
      <vt:lpstr>'201'!OSRRefE21_11x_1</vt:lpstr>
      <vt:lpstr>'202'!OSRRefE21_11x_1</vt:lpstr>
      <vt:lpstr>'203'!OSRRefE21_11x_1</vt:lpstr>
      <vt:lpstr>'300'!OSRRefE21_11x_1</vt:lpstr>
      <vt:lpstr>'300 &amp; 317'!OSRRefE21_11x_1</vt:lpstr>
      <vt:lpstr>'301'!OSRRefE21_11x_1</vt:lpstr>
      <vt:lpstr>'308'!OSRRefE21_11x_1</vt:lpstr>
      <vt:lpstr>'310'!OSRRefE21_11x_1</vt:lpstr>
      <vt:lpstr>'310 &amp; 491'!OSRRefE21_11x_1</vt:lpstr>
      <vt:lpstr>'311'!OSRRefE21_11x_1</vt:lpstr>
      <vt:lpstr>'315'!OSRRefE21_11x_1</vt:lpstr>
      <vt:lpstr>'321'!OSRRefE21_11x_1</vt:lpstr>
      <vt:lpstr>'325'!OSRRefE21_11x_1</vt:lpstr>
      <vt:lpstr>'326'!OSRRefE21_11x_1</vt:lpstr>
      <vt:lpstr>'331'!OSRRefE21_11x_1</vt:lpstr>
      <vt:lpstr>'405'!OSRRefE21_11x_1</vt:lpstr>
      <vt:lpstr>'411'!OSRRefE21_11x_1</vt:lpstr>
      <vt:lpstr>'415'!OSRRefE21_11x_1</vt:lpstr>
      <vt:lpstr>'418'!OSRRefE21_11x_1</vt:lpstr>
      <vt:lpstr>'433'!OSRRefE21_11x_1</vt:lpstr>
      <vt:lpstr>'444'!OSRRefE21_11x_1</vt:lpstr>
      <vt:lpstr>'450'!OSRRefE21_11x_1</vt:lpstr>
      <vt:lpstr>'491'!OSRRefE21_11x_1</vt:lpstr>
      <vt:lpstr>'492'!OSRRefE21_11x_1</vt:lpstr>
      <vt:lpstr>'501'!OSRRefE21_11x_1</vt:lpstr>
      <vt:lpstr>'Div 2'!OSRRefE21_11x_1</vt:lpstr>
      <vt:lpstr>'Div 3'!OSRRefE21_11x_1</vt:lpstr>
      <vt:lpstr>'Div 4'!OSRRefE21_11x_1</vt:lpstr>
      <vt:lpstr>'Div 5'!OSRRefE21_11x_1</vt:lpstr>
      <vt:lpstr>Summary!OSRRefE21_11x_1</vt:lpstr>
      <vt:lpstr>'201'!OSRRefE21_11x_10</vt:lpstr>
      <vt:lpstr>'202'!OSRRefE21_11x_10</vt:lpstr>
      <vt:lpstr>'203'!OSRRefE21_11x_10</vt:lpstr>
      <vt:lpstr>'300'!OSRRefE21_11x_10</vt:lpstr>
      <vt:lpstr>'300 &amp; 317'!OSRRefE21_11x_10</vt:lpstr>
      <vt:lpstr>'301'!OSRRefE21_11x_10</vt:lpstr>
      <vt:lpstr>'308'!OSRRefE21_11x_10</vt:lpstr>
      <vt:lpstr>'310'!OSRRefE21_11x_10</vt:lpstr>
      <vt:lpstr>'310 &amp; 491'!OSRRefE21_11x_10</vt:lpstr>
      <vt:lpstr>'311'!OSRRefE21_11x_10</vt:lpstr>
      <vt:lpstr>'315'!OSRRefE21_11x_10</vt:lpstr>
      <vt:lpstr>'321'!OSRRefE21_11x_10</vt:lpstr>
      <vt:lpstr>'325'!OSRRefE21_11x_10</vt:lpstr>
      <vt:lpstr>'326'!OSRRefE21_11x_10</vt:lpstr>
      <vt:lpstr>'331'!OSRRefE21_11x_10</vt:lpstr>
      <vt:lpstr>'405'!OSRRefE21_11x_10</vt:lpstr>
      <vt:lpstr>'411'!OSRRefE21_11x_10</vt:lpstr>
      <vt:lpstr>'415'!OSRRefE21_11x_10</vt:lpstr>
      <vt:lpstr>'418'!OSRRefE21_11x_10</vt:lpstr>
      <vt:lpstr>'433'!OSRRefE21_11x_10</vt:lpstr>
      <vt:lpstr>'444'!OSRRefE21_11x_10</vt:lpstr>
      <vt:lpstr>'450'!OSRRefE21_11x_10</vt:lpstr>
      <vt:lpstr>'491'!OSRRefE21_11x_10</vt:lpstr>
      <vt:lpstr>'492'!OSRRefE21_11x_10</vt:lpstr>
      <vt:lpstr>'501'!OSRRefE21_11x_10</vt:lpstr>
      <vt:lpstr>'Div 2'!OSRRefE21_11x_10</vt:lpstr>
      <vt:lpstr>'Div 3'!OSRRefE21_11x_10</vt:lpstr>
      <vt:lpstr>'Div 4'!OSRRefE21_11x_10</vt:lpstr>
      <vt:lpstr>'Div 5'!OSRRefE21_11x_10</vt:lpstr>
      <vt:lpstr>Summary!OSRRefE21_11x_10</vt:lpstr>
      <vt:lpstr>'201'!OSRRefE21_11x_2</vt:lpstr>
      <vt:lpstr>'202'!OSRRefE21_11x_2</vt:lpstr>
      <vt:lpstr>'203'!OSRRefE21_11x_2</vt:lpstr>
      <vt:lpstr>'300'!OSRRefE21_11x_2</vt:lpstr>
      <vt:lpstr>'300 &amp; 317'!OSRRefE21_11x_2</vt:lpstr>
      <vt:lpstr>'301'!OSRRefE21_11x_2</vt:lpstr>
      <vt:lpstr>'308'!OSRRefE21_11x_2</vt:lpstr>
      <vt:lpstr>'310'!OSRRefE21_11x_2</vt:lpstr>
      <vt:lpstr>'310 &amp; 491'!OSRRefE21_11x_2</vt:lpstr>
      <vt:lpstr>'311'!OSRRefE21_11x_2</vt:lpstr>
      <vt:lpstr>'315'!OSRRefE21_11x_2</vt:lpstr>
      <vt:lpstr>'321'!OSRRefE21_11x_2</vt:lpstr>
      <vt:lpstr>'325'!OSRRefE21_11x_2</vt:lpstr>
      <vt:lpstr>'326'!OSRRefE21_11x_2</vt:lpstr>
      <vt:lpstr>'331'!OSRRefE21_11x_2</vt:lpstr>
      <vt:lpstr>'405'!OSRRefE21_11x_2</vt:lpstr>
      <vt:lpstr>'411'!OSRRefE21_11x_2</vt:lpstr>
      <vt:lpstr>'415'!OSRRefE21_11x_2</vt:lpstr>
      <vt:lpstr>'418'!OSRRefE21_11x_2</vt:lpstr>
      <vt:lpstr>'433'!OSRRefE21_11x_2</vt:lpstr>
      <vt:lpstr>'444'!OSRRefE21_11x_2</vt:lpstr>
      <vt:lpstr>'450'!OSRRefE21_11x_2</vt:lpstr>
      <vt:lpstr>'491'!OSRRefE21_11x_2</vt:lpstr>
      <vt:lpstr>'492'!OSRRefE21_11x_2</vt:lpstr>
      <vt:lpstr>'501'!OSRRefE21_11x_2</vt:lpstr>
      <vt:lpstr>'Div 2'!OSRRefE21_11x_2</vt:lpstr>
      <vt:lpstr>'Div 3'!OSRRefE21_11x_2</vt:lpstr>
      <vt:lpstr>'Div 4'!OSRRefE21_11x_2</vt:lpstr>
      <vt:lpstr>'Div 5'!OSRRefE21_11x_2</vt:lpstr>
      <vt:lpstr>Summary!OSRRefE21_11x_2</vt:lpstr>
      <vt:lpstr>'201'!OSRRefE21_11x_3</vt:lpstr>
      <vt:lpstr>'202'!OSRRefE21_11x_3</vt:lpstr>
      <vt:lpstr>'203'!OSRRefE21_11x_3</vt:lpstr>
      <vt:lpstr>'300'!OSRRefE21_11x_3</vt:lpstr>
      <vt:lpstr>'300 &amp; 317'!OSRRefE21_11x_3</vt:lpstr>
      <vt:lpstr>'301'!OSRRefE21_11x_3</vt:lpstr>
      <vt:lpstr>'308'!OSRRefE21_11x_3</vt:lpstr>
      <vt:lpstr>'310'!OSRRefE21_11x_3</vt:lpstr>
      <vt:lpstr>'310 &amp; 491'!OSRRefE21_11x_3</vt:lpstr>
      <vt:lpstr>'311'!OSRRefE21_11x_3</vt:lpstr>
      <vt:lpstr>'315'!OSRRefE21_11x_3</vt:lpstr>
      <vt:lpstr>'321'!OSRRefE21_11x_3</vt:lpstr>
      <vt:lpstr>'325'!OSRRefE21_11x_3</vt:lpstr>
      <vt:lpstr>'326'!OSRRefE21_11x_3</vt:lpstr>
      <vt:lpstr>'331'!OSRRefE21_11x_3</vt:lpstr>
      <vt:lpstr>'405'!OSRRefE21_11x_3</vt:lpstr>
      <vt:lpstr>'411'!OSRRefE21_11x_3</vt:lpstr>
      <vt:lpstr>'415'!OSRRefE21_11x_3</vt:lpstr>
      <vt:lpstr>'418'!OSRRefE21_11x_3</vt:lpstr>
      <vt:lpstr>'433'!OSRRefE21_11x_3</vt:lpstr>
      <vt:lpstr>'444'!OSRRefE21_11x_3</vt:lpstr>
      <vt:lpstr>'450'!OSRRefE21_11x_3</vt:lpstr>
      <vt:lpstr>'491'!OSRRefE21_11x_3</vt:lpstr>
      <vt:lpstr>'492'!OSRRefE21_11x_3</vt:lpstr>
      <vt:lpstr>'501'!OSRRefE21_11x_3</vt:lpstr>
      <vt:lpstr>'Div 2'!OSRRefE21_11x_3</vt:lpstr>
      <vt:lpstr>'Div 3'!OSRRefE21_11x_3</vt:lpstr>
      <vt:lpstr>'Div 4'!OSRRefE21_11x_3</vt:lpstr>
      <vt:lpstr>'Div 5'!OSRRefE21_11x_3</vt:lpstr>
      <vt:lpstr>Summary!OSRRefE21_11x_3</vt:lpstr>
      <vt:lpstr>'201'!OSRRefE21_11x_4</vt:lpstr>
      <vt:lpstr>'202'!OSRRefE21_11x_4</vt:lpstr>
      <vt:lpstr>'203'!OSRRefE21_11x_4</vt:lpstr>
      <vt:lpstr>'300'!OSRRefE21_11x_4</vt:lpstr>
      <vt:lpstr>'300 &amp; 317'!OSRRefE21_11x_4</vt:lpstr>
      <vt:lpstr>'301'!OSRRefE21_11x_4</vt:lpstr>
      <vt:lpstr>'308'!OSRRefE21_11x_4</vt:lpstr>
      <vt:lpstr>'310'!OSRRefE21_11x_4</vt:lpstr>
      <vt:lpstr>'310 &amp; 491'!OSRRefE21_11x_4</vt:lpstr>
      <vt:lpstr>'311'!OSRRefE21_11x_4</vt:lpstr>
      <vt:lpstr>'315'!OSRRefE21_11x_4</vt:lpstr>
      <vt:lpstr>'321'!OSRRefE21_11x_4</vt:lpstr>
      <vt:lpstr>'325'!OSRRefE21_11x_4</vt:lpstr>
      <vt:lpstr>'326'!OSRRefE21_11x_4</vt:lpstr>
      <vt:lpstr>'331'!OSRRefE21_11x_4</vt:lpstr>
      <vt:lpstr>'405'!OSRRefE21_11x_4</vt:lpstr>
      <vt:lpstr>'411'!OSRRefE21_11x_4</vt:lpstr>
      <vt:lpstr>'415'!OSRRefE21_11x_4</vt:lpstr>
      <vt:lpstr>'418'!OSRRefE21_11x_4</vt:lpstr>
      <vt:lpstr>'433'!OSRRefE21_11x_4</vt:lpstr>
      <vt:lpstr>'444'!OSRRefE21_11x_4</vt:lpstr>
      <vt:lpstr>'450'!OSRRefE21_11x_4</vt:lpstr>
      <vt:lpstr>'491'!OSRRefE21_11x_4</vt:lpstr>
      <vt:lpstr>'492'!OSRRefE21_11x_4</vt:lpstr>
      <vt:lpstr>'501'!OSRRefE21_11x_4</vt:lpstr>
      <vt:lpstr>'Div 2'!OSRRefE21_11x_4</vt:lpstr>
      <vt:lpstr>'Div 3'!OSRRefE21_11x_4</vt:lpstr>
      <vt:lpstr>'Div 4'!OSRRefE21_11x_4</vt:lpstr>
      <vt:lpstr>'Div 5'!OSRRefE21_11x_4</vt:lpstr>
      <vt:lpstr>Summary!OSRRefE21_11x_4</vt:lpstr>
      <vt:lpstr>'201'!OSRRefE21_11x_5</vt:lpstr>
      <vt:lpstr>'202'!OSRRefE21_11x_5</vt:lpstr>
      <vt:lpstr>'203'!OSRRefE21_11x_5</vt:lpstr>
      <vt:lpstr>'300'!OSRRefE21_11x_5</vt:lpstr>
      <vt:lpstr>'300 &amp; 317'!OSRRefE21_11x_5</vt:lpstr>
      <vt:lpstr>'301'!OSRRefE21_11x_5</vt:lpstr>
      <vt:lpstr>'308'!OSRRefE21_11x_5</vt:lpstr>
      <vt:lpstr>'310'!OSRRefE21_11x_5</vt:lpstr>
      <vt:lpstr>'310 &amp; 491'!OSRRefE21_11x_5</vt:lpstr>
      <vt:lpstr>'311'!OSRRefE21_11x_5</vt:lpstr>
      <vt:lpstr>'315'!OSRRefE21_11x_5</vt:lpstr>
      <vt:lpstr>'321'!OSRRefE21_11x_5</vt:lpstr>
      <vt:lpstr>'325'!OSRRefE21_11x_5</vt:lpstr>
      <vt:lpstr>'326'!OSRRefE21_11x_5</vt:lpstr>
      <vt:lpstr>'331'!OSRRefE21_11x_5</vt:lpstr>
      <vt:lpstr>'405'!OSRRefE21_11x_5</vt:lpstr>
      <vt:lpstr>'411'!OSRRefE21_11x_5</vt:lpstr>
      <vt:lpstr>'415'!OSRRefE21_11x_5</vt:lpstr>
      <vt:lpstr>'418'!OSRRefE21_11x_5</vt:lpstr>
      <vt:lpstr>'433'!OSRRefE21_11x_5</vt:lpstr>
      <vt:lpstr>'444'!OSRRefE21_11x_5</vt:lpstr>
      <vt:lpstr>'450'!OSRRefE21_11x_5</vt:lpstr>
      <vt:lpstr>'491'!OSRRefE21_11x_5</vt:lpstr>
      <vt:lpstr>'492'!OSRRefE21_11x_5</vt:lpstr>
      <vt:lpstr>'501'!OSRRefE21_11x_5</vt:lpstr>
      <vt:lpstr>'Div 2'!OSRRefE21_11x_5</vt:lpstr>
      <vt:lpstr>'Div 3'!OSRRefE21_11x_5</vt:lpstr>
      <vt:lpstr>'Div 4'!OSRRefE21_11x_5</vt:lpstr>
      <vt:lpstr>'Div 5'!OSRRefE21_11x_5</vt:lpstr>
      <vt:lpstr>Summary!OSRRefE21_11x_5</vt:lpstr>
      <vt:lpstr>'201'!OSRRefE21_11x_6</vt:lpstr>
      <vt:lpstr>'202'!OSRRefE21_11x_6</vt:lpstr>
      <vt:lpstr>'203'!OSRRefE21_11x_6</vt:lpstr>
      <vt:lpstr>'300'!OSRRefE21_11x_6</vt:lpstr>
      <vt:lpstr>'300 &amp; 317'!OSRRefE21_11x_6</vt:lpstr>
      <vt:lpstr>'301'!OSRRefE21_11x_6</vt:lpstr>
      <vt:lpstr>'308'!OSRRefE21_11x_6</vt:lpstr>
      <vt:lpstr>'310'!OSRRefE21_11x_6</vt:lpstr>
      <vt:lpstr>'310 &amp; 491'!OSRRefE21_11x_6</vt:lpstr>
      <vt:lpstr>'311'!OSRRefE21_11x_6</vt:lpstr>
      <vt:lpstr>'315'!OSRRefE21_11x_6</vt:lpstr>
      <vt:lpstr>'321'!OSRRefE21_11x_6</vt:lpstr>
      <vt:lpstr>'325'!OSRRefE21_11x_6</vt:lpstr>
      <vt:lpstr>'326'!OSRRefE21_11x_6</vt:lpstr>
      <vt:lpstr>'331'!OSRRefE21_11x_6</vt:lpstr>
      <vt:lpstr>'405'!OSRRefE21_11x_6</vt:lpstr>
      <vt:lpstr>'411'!OSRRefE21_11x_6</vt:lpstr>
      <vt:lpstr>'415'!OSRRefE21_11x_6</vt:lpstr>
      <vt:lpstr>'418'!OSRRefE21_11x_6</vt:lpstr>
      <vt:lpstr>'433'!OSRRefE21_11x_6</vt:lpstr>
      <vt:lpstr>'444'!OSRRefE21_11x_6</vt:lpstr>
      <vt:lpstr>'450'!OSRRefE21_11x_6</vt:lpstr>
      <vt:lpstr>'491'!OSRRefE21_11x_6</vt:lpstr>
      <vt:lpstr>'492'!OSRRefE21_11x_6</vt:lpstr>
      <vt:lpstr>'501'!OSRRefE21_11x_6</vt:lpstr>
      <vt:lpstr>'Div 2'!OSRRefE21_11x_6</vt:lpstr>
      <vt:lpstr>'Div 3'!OSRRefE21_11x_6</vt:lpstr>
      <vt:lpstr>'Div 4'!OSRRefE21_11x_6</vt:lpstr>
      <vt:lpstr>'Div 5'!OSRRefE21_11x_6</vt:lpstr>
      <vt:lpstr>Summary!OSRRefE21_11x_6</vt:lpstr>
      <vt:lpstr>'201'!OSRRefE21_11x_7</vt:lpstr>
      <vt:lpstr>'202'!OSRRefE21_11x_7</vt:lpstr>
      <vt:lpstr>'203'!OSRRefE21_11x_7</vt:lpstr>
      <vt:lpstr>'300'!OSRRefE21_11x_7</vt:lpstr>
      <vt:lpstr>'300 &amp; 317'!OSRRefE21_11x_7</vt:lpstr>
      <vt:lpstr>'301'!OSRRefE21_11x_7</vt:lpstr>
      <vt:lpstr>'308'!OSRRefE21_11x_7</vt:lpstr>
      <vt:lpstr>'310'!OSRRefE21_11x_7</vt:lpstr>
      <vt:lpstr>'310 &amp; 491'!OSRRefE21_11x_7</vt:lpstr>
      <vt:lpstr>'311'!OSRRefE21_11x_7</vt:lpstr>
      <vt:lpstr>'315'!OSRRefE21_11x_7</vt:lpstr>
      <vt:lpstr>'321'!OSRRefE21_11x_7</vt:lpstr>
      <vt:lpstr>'325'!OSRRefE21_11x_7</vt:lpstr>
      <vt:lpstr>'326'!OSRRefE21_11x_7</vt:lpstr>
      <vt:lpstr>'331'!OSRRefE21_11x_7</vt:lpstr>
      <vt:lpstr>'405'!OSRRefE21_11x_7</vt:lpstr>
      <vt:lpstr>'411'!OSRRefE21_11x_7</vt:lpstr>
      <vt:lpstr>'415'!OSRRefE21_11x_7</vt:lpstr>
      <vt:lpstr>'418'!OSRRefE21_11x_7</vt:lpstr>
      <vt:lpstr>'433'!OSRRefE21_11x_7</vt:lpstr>
      <vt:lpstr>'444'!OSRRefE21_11x_7</vt:lpstr>
      <vt:lpstr>'450'!OSRRefE21_11x_7</vt:lpstr>
      <vt:lpstr>'491'!OSRRefE21_11x_7</vt:lpstr>
      <vt:lpstr>'492'!OSRRefE21_11x_7</vt:lpstr>
      <vt:lpstr>'501'!OSRRefE21_11x_7</vt:lpstr>
      <vt:lpstr>'Div 2'!OSRRefE21_11x_7</vt:lpstr>
      <vt:lpstr>'Div 3'!OSRRefE21_11x_7</vt:lpstr>
      <vt:lpstr>'Div 4'!OSRRefE21_11x_7</vt:lpstr>
      <vt:lpstr>'Div 5'!OSRRefE21_11x_7</vt:lpstr>
      <vt:lpstr>Summary!OSRRefE21_11x_7</vt:lpstr>
      <vt:lpstr>'201'!OSRRefE21_11x_8</vt:lpstr>
      <vt:lpstr>'202'!OSRRefE21_11x_8</vt:lpstr>
      <vt:lpstr>'203'!OSRRefE21_11x_8</vt:lpstr>
      <vt:lpstr>'300'!OSRRefE21_11x_8</vt:lpstr>
      <vt:lpstr>'300 &amp; 317'!OSRRefE21_11x_8</vt:lpstr>
      <vt:lpstr>'301'!OSRRefE21_11x_8</vt:lpstr>
      <vt:lpstr>'308'!OSRRefE21_11x_8</vt:lpstr>
      <vt:lpstr>'310'!OSRRefE21_11x_8</vt:lpstr>
      <vt:lpstr>'310 &amp; 491'!OSRRefE21_11x_8</vt:lpstr>
      <vt:lpstr>'311'!OSRRefE21_11x_8</vt:lpstr>
      <vt:lpstr>'315'!OSRRefE21_11x_8</vt:lpstr>
      <vt:lpstr>'321'!OSRRefE21_11x_8</vt:lpstr>
      <vt:lpstr>'325'!OSRRefE21_11x_8</vt:lpstr>
      <vt:lpstr>'326'!OSRRefE21_11x_8</vt:lpstr>
      <vt:lpstr>'331'!OSRRefE21_11x_8</vt:lpstr>
      <vt:lpstr>'405'!OSRRefE21_11x_8</vt:lpstr>
      <vt:lpstr>'411'!OSRRefE21_11x_8</vt:lpstr>
      <vt:lpstr>'415'!OSRRefE21_11x_8</vt:lpstr>
      <vt:lpstr>'418'!OSRRefE21_11x_8</vt:lpstr>
      <vt:lpstr>'433'!OSRRefE21_11x_8</vt:lpstr>
      <vt:lpstr>'444'!OSRRefE21_11x_8</vt:lpstr>
      <vt:lpstr>'450'!OSRRefE21_11x_8</vt:lpstr>
      <vt:lpstr>'491'!OSRRefE21_11x_8</vt:lpstr>
      <vt:lpstr>'492'!OSRRefE21_11x_8</vt:lpstr>
      <vt:lpstr>'501'!OSRRefE21_11x_8</vt:lpstr>
      <vt:lpstr>'Div 2'!OSRRefE21_11x_8</vt:lpstr>
      <vt:lpstr>'Div 3'!OSRRefE21_11x_8</vt:lpstr>
      <vt:lpstr>'Div 4'!OSRRefE21_11x_8</vt:lpstr>
      <vt:lpstr>'Div 5'!OSRRefE21_11x_8</vt:lpstr>
      <vt:lpstr>Summary!OSRRefE21_11x_8</vt:lpstr>
      <vt:lpstr>'201'!OSRRefE21_11x_9</vt:lpstr>
      <vt:lpstr>'202'!OSRRefE21_11x_9</vt:lpstr>
      <vt:lpstr>'203'!OSRRefE21_11x_9</vt:lpstr>
      <vt:lpstr>'300'!OSRRefE21_11x_9</vt:lpstr>
      <vt:lpstr>'300 &amp; 317'!OSRRefE21_11x_9</vt:lpstr>
      <vt:lpstr>'301'!OSRRefE21_11x_9</vt:lpstr>
      <vt:lpstr>'308'!OSRRefE21_11x_9</vt:lpstr>
      <vt:lpstr>'310'!OSRRefE21_11x_9</vt:lpstr>
      <vt:lpstr>'310 &amp; 491'!OSRRefE21_11x_9</vt:lpstr>
      <vt:lpstr>'311'!OSRRefE21_11x_9</vt:lpstr>
      <vt:lpstr>'315'!OSRRefE21_11x_9</vt:lpstr>
      <vt:lpstr>'321'!OSRRefE21_11x_9</vt:lpstr>
      <vt:lpstr>'325'!OSRRefE21_11x_9</vt:lpstr>
      <vt:lpstr>'326'!OSRRefE21_11x_9</vt:lpstr>
      <vt:lpstr>'331'!OSRRefE21_11x_9</vt:lpstr>
      <vt:lpstr>'405'!OSRRefE21_11x_9</vt:lpstr>
      <vt:lpstr>'411'!OSRRefE21_11x_9</vt:lpstr>
      <vt:lpstr>'415'!OSRRefE21_11x_9</vt:lpstr>
      <vt:lpstr>'418'!OSRRefE21_11x_9</vt:lpstr>
      <vt:lpstr>'433'!OSRRefE21_11x_9</vt:lpstr>
      <vt:lpstr>'444'!OSRRefE21_11x_9</vt:lpstr>
      <vt:lpstr>'450'!OSRRefE21_11x_9</vt:lpstr>
      <vt:lpstr>'491'!OSRRefE21_11x_9</vt:lpstr>
      <vt:lpstr>'492'!OSRRefE21_11x_9</vt:lpstr>
      <vt:lpstr>'501'!OSRRefE21_11x_9</vt:lpstr>
      <vt:lpstr>'Div 2'!OSRRefE21_11x_9</vt:lpstr>
      <vt:lpstr>'Div 3'!OSRRefE21_11x_9</vt:lpstr>
      <vt:lpstr>'Div 4'!OSRRefE21_11x_9</vt:lpstr>
      <vt:lpstr>'Div 5'!OSRRefE21_11x_9</vt:lpstr>
      <vt:lpstr>Summary!OSRRefE21_11x_9</vt:lpstr>
      <vt:lpstr>'201'!OSRRefE21_12_0x</vt:lpstr>
      <vt:lpstr>'203'!OSRRefE21_12_0x</vt:lpstr>
      <vt:lpstr>'300'!OSRRefE21_12_0x</vt:lpstr>
      <vt:lpstr>'300 &amp; 317'!OSRRefE21_12_0x</vt:lpstr>
      <vt:lpstr>'301'!OSRRefE21_12_0x</vt:lpstr>
      <vt:lpstr>'308'!OSRRefE21_12_0x</vt:lpstr>
      <vt:lpstr>'310'!OSRRefE21_12_0x</vt:lpstr>
      <vt:lpstr>'310 &amp; 491'!OSRRefE21_12_0x</vt:lpstr>
      <vt:lpstr>'311'!OSRRefE21_12_0x</vt:lpstr>
      <vt:lpstr>'315'!OSRRefE21_12_0x</vt:lpstr>
      <vt:lpstr>'325'!OSRRefE21_12_0x</vt:lpstr>
      <vt:lpstr>'326'!OSRRefE21_12_0x</vt:lpstr>
      <vt:lpstr>'331'!OSRRefE21_12_0x</vt:lpstr>
      <vt:lpstr>'405'!OSRRefE21_12_0x</vt:lpstr>
      <vt:lpstr>'411'!OSRRefE21_12_0x</vt:lpstr>
      <vt:lpstr>'415'!OSRRefE21_12_0x</vt:lpstr>
      <vt:lpstr>'418'!OSRRefE21_12_0x</vt:lpstr>
      <vt:lpstr>'433'!OSRRefE21_12_0x</vt:lpstr>
      <vt:lpstr>'444'!OSRRefE21_12_0x</vt:lpstr>
      <vt:lpstr>'450'!OSRRefE21_12_0x</vt:lpstr>
      <vt:lpstr>'491'!OSRRefE21_12_0x</vt:lpstr>
      <vt:lpstr>'492'!OSRRefE21_12_0x</vt:lpstr>
      <vt:lpstr>'501'!OSRRefE21_12_0x</vt:lpstr>
      <vt:lpstr>'Div 2'!OSRRefE21_12_0x</vt:lpstr>
      <vt:lpstr>'Div 3'!OSRRefE21_12_0x</vt:lpstr>
      <vt:lpstr>'Div 4'!OSRRefE21_12_0x</vt:lpstr>
      <vt:lpstr>'Div 5'!OSRRefE21_12_0x</vt:lpstr>
      <vt:lpstr>Summary!OSRRefE21_12_0x</vt:lpstr>
      <vt:lpstr>'201'!OSRRefE21_12_1x</vt:lpstr>
      <vt:lpstr>'310 &amp; 491'!OSRRefE21_12_1x</vt:lpstr>
      <vt:lpstr>'315'!OSRRefE21_12_1x</vt:lpstr>
      <vt:lpstr>'325'!OSRRefE21_12_1x</vt:lpstr>
      <vt:lpstr>'326'!OSRRefE21_12_1x</vt:lpstr>
      <vt:lpstr>'331'!OSRRefE21_12_1x</vt:lpstr>
      <vt:lpstr>'415'!OSRRefE21_12_1x</vt:lpstr>
      <vt:lpstr>'418'!OSRRefE21_12_1x</vt:lpstr>
      <vt:lpstr>'433'!OSRRefE21_12_1x</vt:lpstr>
      <vt:lpstr>'444'!OSRRefE21_12_1x</vt:lpstr>
      <vt:lpstr>'450'!OSRRefE21_12_1x</vt:lpstr>
      <vt:lpstr>'491'!OSRRefE21_12_1x</vt:lpstr>
      <vt:lpstr>'492'!OSRRefE21_12_1x</vt:lpstr>
      <vt:lpstr>'Div 2'!OSRRefE21_12_1x</vt:lpstr>
      <vt:lpstr>'310 &amp; 491'!OSRRefE21_12_2x</vt:lpstr>
      <vt:lpstr>'325'!OSRRefE21_12_2x</vt:lpstr>
      <vt:lpstr>'415'!OSRRefE21_12_2x</vt:lpstr>
      <vt:lpstr>'433'!OSRRefE21_12_2x</vt:lpstr>
      <vt:lpstr>'444'!OSRRefE21_12_2x</vt:lpstr>
      <vt:lpstr>'450'!OSRRefE21_12_2x</vt:lpstr>
      <vt:lpstr>'491'!OSRRefE21_12_2x</vt:lpstr>
      <vt:lpstr>'492'!OSRRefE21_12_2x</vt:lpstr>
      <vt:lpstr>'Div 2'!OSRRefE21_12_2x</vt:lpstr>
      <vt:lpstr>'310 &amp; 491'!OSRRefE21_12_3x</vt:lpstr>
      <vt:lpstr>'325'!OSRRefE21_12_3x</vt:lpstr>
      <vt:lpstr>'415'!OSRRefE21_12_3x</vt:lpstr>
      <vt:lpstr>'433'!OSRRefE21_12_3x</vt:lpstr>
      <vt:lpstr>'444'!OSRRefE21_12_3x</vt:lpstr>
      <vt:lpstr>'450'!OSRRefE21_12_3x</vt:lpstr>
      <vt:lpstr>'Div 2'!OSRRefE21_12_3x</vt:lpstr>
      <vt:lpstr>'325'!OSRRefE21_12_4x</vt:lpstr>
      <vt:lpstr>'201'!OSRRefE21_12x_0</vt:lpstr>
      <vt:lpstr>'203'!OSRRefE21_12x_0</vt:lpstr>
      <vt:lpstr>'300'!OSRRefE21_12x_0</vt:lpstr>
      <vt:lpstr>'300 &amp; 317'!OSRRefE21_12x_0</vt:lpstr>
      <vt:lpstr>'301'!OSRRefE21_12x_0</vt:lpstr>
      <vt:lpstr>'308'!OSRRefE21_12x_0</vt:lpstr>
      <vt:lpstr>'310'!OSRRefE21_12x_0</vt:lpstr>
      <vt:lpstr>'310 &amp; 491'!OSRRefE21_12x_0</vt:lpstr>
      <vt:lpstr>'311'!OSRRefE21_12x_0</vt:lpstr>
      <vt:lpstr>'315'!OSRRefE21_12x_0</vt:lpstr>
      <vt:lpstr>'325'!OSRRefE21_12x_0</vt:lpstr>
      <vt:lpstr>'326'!OSRRefE21_12x_0</vt:lpstr>
      <vt:lpstr>'331'!OSRRefE21_12x_0</vt:lpstr>
      <vt:lpstr>'405'!OSRRefE21_12x_0</vt:lpstr>
      <vt:lpstr>'411'!OSRRefE21_12x_0</vt:lpstr>
      <vt:lpstr>'415'!OSRRefE21_12x_0</vt:lpstr>
      <vt:lpstr>'418'!OSRRefE21_12x_0</vt:lpstr>
      <vt:lpstr>'433'!OSRRefE21_12x_0</vt:lpstr>
      <vt:lpstr>'444'!OSRRefE21_12x_0</vt:lpstr>
      <vt:lpstr>'450'!OSRRefE21_12x_0</vt:lpstr>
      <vt:lpstr>'491'!OSRRefE21_12x_0</vt:lpstr>
      <vt:lpstr>'492'!OSRRefE21_12x_0</vt:lpstr>
      <vt:lpstr>'501'!OSRRefE21_12x_0</vt:lpstr>
      <vt:lpstr>'Div 2'!OSRRefE21_12x_0</vt:lpstr>
      <vt:lpstr>'Div 3'!OSRRefE21_12x_0</vt:lpstr>
      <vt:lpstr>'Div 4'!OSRRefE21_12x_0</vt:lpstr>
      <vt:lpstr>'Div 5'!OSRRefE21_12x_0</vt:lpstr>
      <vt:lpstr>Summary!OSRRefE21_12x_0</vt:lpstr>
      <vt:lpstr>'201'!OSRRefE21_12x_1</vt:lpstr>
      <vt:lpstr>'203'!OSRRefE21_12x_1</vt:lpstr>
      <vt:lpstr>'300'!OSRRefE21_12x_1</vt:lpstr>
      <vt:lpstr>'300 &amp; 317'!OSRRefE21_12x_1</vt:lpstr>
      <vt:lpstr>'301'!OSRRefE21_12x_1</vt:lpstr>
      <vt:lpstr>'308'!OSRRefE21_12x_1</vt:lpstr>
      <vt:lpstr>'310'!OSRRefE21_12x_1</vt:lpstr>
      <vt:lpstr>'310 &amp; 491'!OSRRefE21_12x_1</vt:lpstr>
      <vt:lpstr>'311'!OSRRefE21_12x_1</vt:lpstr>
      <vt:lpstr>'315'!OSRRefE21_12x_1</vt:lpstr>
      <vt:lpstr>'325'!OSRRefE21_12x_1</vt:lpstr>
      <vt:lpstr>'326'!OSRRefE21_12x_1</vt:lpstr>
      <vt:lpstr>'331'!OSRRefE21_12x_1</vt:lpstr>
      <vt:lpstr>'405'!OSRRefE21_12x_1</vt:lpstr>
      <vt:lpstr>'411'!OSRRefE21_12x_1</vt:lpstr>
      <vt:lpstr>'415'!OSRRefE21_12x_1</vt:lpstr>
      <vt:lpstr>'418'!OSRRefE21_12x_1</vt:lpstr>
      <vt:lpstr>'433'!OSRRefE21_12x_1</vt:lpstr>
      <vt:lpstr>'444'!OSRRefE21_12x_1</vt:lpstr>
      <vt:lpstr>'450'!OSRRefE21_12x_1</vt:lpstr>
      <vt:lpstr>'491'!OSRRefE21_12x_1</vt:lpstr>
      <vt:lpstr>'492'!OSRRefE21_12x_1</vt:lpstr>
      <vt:lpstr>'501'!OSRRefE21_12x_1</vt:lpstr>
      <vt:lpstr>'Div 2'!OSRRefE21_12x_1</vt:lpstr>
      <vt:lpstr>'Div 3'!OSRRefE21_12x_1</vt:lpstr>
      <vt:lpstr>'Div 4'!OSRRefE21_12x_1</vt:lpstr>
      <vt:lpstr>'Div 5'!OSRRefE21_12x_1</vt:lpstr>
      <vt:lpstr>Summary!OSRRefE21_12x_1</vt:lpstr>
      <vt:lpstr>'201'!OSRRefE21_12x_10</vt:lpstr>
      <vt:lpstr>'203'!OSRRefE21_12x_10</vt:lpstr>
      <vt:lpstr>'300'!OSRRefE21_12x_10</vt:lpstr>
      <vt:lpstr>'300 &amp; 317'!OSRRefE21_12x_10</vt:lpstr>
      <vt:lpstr>'301'!OSRRefE21_12x_10</vt:lpstr>
      <vt:lpstr>'308'!OSRRefE21_12x_10</vt:lpstr>
      <vt:lpstr>'310'!OSRRefE21_12x_10</vt:lpstr>
      <vt:lpstr>'310 &amp; 491'!OSRRefE21_12x_10</vt:lpstr>
      <vt:lpstr>'311'!OSRRefE21_12x_10</vt:lpstr>
      <vt:lpstr>'315'!OSRRefE21_12x_10</vt:lpstr>
      <vt:lpstr>'325'!OSRRefE21_12x_10</vt:lpstr>
      <vt:lpstr>'326'!OSRRefE21_12x_10</vt:lpstr>
      <vt:lpstr>'331'!OSRRefE21_12x_10</vt:lpstr>
      <vt:lpstr>'405'!OSRRefE21_12x_10</vt:lpstr>
      <vt:lpstr>'411'!OSRRefE21_12x_10</vt:lpstr>
      <vt:lpstr>'415'!OSRRefE21_12x_10</vt:lpstr>
      <vt:lpstr>'418'!OSRRefE21_12x_10</vt:lpstr>
      <vt:lpstr>'433'!OSRRefE21_12x_10</vt:lpstr>
      <vt:lpstr>'444'!OSRRefE21_12x_10</vt:lpstr>
      <vt:lpstr>'450'!OSRRefE21_12x_10</vt:lpstr>
      <vt:lpstr>'491'!OSRRefE21_12x_10</vt:lpstr>
      <vt:lpstr>'492'!OSRRefE21_12x_10</vt:lpstr>
      <vt:lpstr>'501'!OSRRefE21_12x_10</vt:lpstr>
      <vt:lpstr>'Div 2'!OSRRefE21_12x_10</vt:lpstr>
      <vt:lpstr>'Div 3'!OSRRefE21_12x_10</vt:lpstr>
      <vt:lpstr>'Div 4'!OSRRefE21_12x_10</vt:lpstr>
      <vt:lpstr>'Div 5'!OSRRefE21_12x_10</vt:lpstr>
      <vt:lpstr>Summary!OSRRefE21_12x_10</vt:lpstr>
      <vt:lpstr>'201'!OSRRefE21_12x_2</vt:lpstr>
      <vt:lpstr>'203'!OSRRefE21_12x_2</vt:lpstr>
      <vt:lpstr>'300'!OSRRefE21_12x_2</vt:lpstr>
      <vt:lpstr>'300 &amp; 317'!OSRRefE21_12x_2</vt:lpstr>
      <vt:lpstr>'301'!OSRRefE21_12x_2</vt:lpstr>
      <vt:lpstr>'308'!OSRRefE21_12x_2</vt:lpstr>
      <vt:lpstr>'310'!OSRRefE21_12x_2</vt:lpstr>
      <vt:lpstr>'310 &amp; 491'!OSRRefE21_12x_2</vt:lpstr>
      <vt:lpstr>'311'!OSRRefE21_12x_2</vt:lpstr>
      <vt:lpstr>'315'!OSRRefE21_12x_2</vt:lpstr>
      <vt:lpstr>'325'!OSRRefE21_12x_2</vt:lpstr>
      <vt:lpstr>'326'!OSRRefE21_12x_2</vt:lpstr>
      <vt:lpstr>'331'!OSRRefE21_12x_2</vt:lpstr>
      <vt:lpstr>'405'!OSRRefE21_12x_2</vt:lpstr>
      <vt:lpstr>'411'!OSRRefE21_12x_2</vt:lpstr>
      <vt:lpstr>'415'!OSRRefE21_12x_2</vt:lpstr>
      <vt:lpstr>'418'!OSRRefE21_12x_2</vt:lpstr>
      <vt:lpstr>'433'!OSRRefE21_12x_2</vt:lpstr>
      <vt:lpstr>'444'!OSRRefE21_12x_2</vt:lpstr>
      <vt:lpstr>'450'!OSRRefE21_12x_2</vt:lpstr>
      <vt:lpstr>'491'!OSRRefE21_12x_2</vt:lpstr>
      <vt:lpstr>'492'!OSRRefE21_12x_2</vt:lpstr>
      <vt:lpstr>'501'!OSRRefE21_12x_2</vt:lpstr>
      <vt:lpstr>'Div 2'!OSRRefE21_12x_2</vt:lpstr>
      <vt:lpstr>'Div 3'!OSRRefE21_12x_2</vt:lpstr>
      <vt:lpstr>'Div 4'!OSRRefE21_12x_2</vt:lpstr>
      <vt:lpstr>'Div 5'!OSRRefE21_12x_2</vt:lpstr>
      <vt:lpstr>Summary!OSRRefE21_12x_2</vt:lpstr>
      <vt:lpstr>'201'!OSRRefE21_12x_3</vt:lpstr>
      <vt:lpstr>'203'!OSRRefE21_12x_3</vt:lpstr>
      <vt:lpstr>'300'!OSRRefE21_12x_3</vt:lpstr>
      <vt:lpstr>'300 &amp; 317'!OSRRefE21_12x_3</vt:lpstr>
      <vt:lpstr>'301'!OSRRefE21_12x_3</vt:lpstr>
      <vt:lpstr>'308'!OSRRefE21_12x_3</vt:lpstr>
      <vt:lpstr>'310'!OSRRefE21_12x_3</vt:lpstr>
      <vt:lpstr>'310 &amp; 491'!OSRRefE21_12x_3</vt:lpstr>
      <vt:lpstr>'311'!OSRRefE21_12x_3</vt:lpstr>
      <vt:lpstr>'315'!OSRRefE21_12x_3</vt:lpstr>
      <vt:lpstr>'325'!OSRRefE21_12x_3</vt:lpstr>
      <vt:lpstr>'326'!OSRRefE21_12x_3</vt:lpstr>
      <vt:lpstr>'331'!OSRRefE21_12x_3</vt:lpstr>
      <vt:lpstr>'405'!OSRRefE21_12x_3</vt:lpstr>
      <vt:lpstr>'411'!OSRRefE21_12x_3</vt:lpstr>
      <vt:lpstr>'415'!OSRRefE21_12x_3</vt:lpstr>
      <vt:lpstr>'418'!OSRRefE21_12x_3</vt:lpstr>
      <vt:lpstr>'433'!OSRRefE21_12x_3</vt:lpstr>
      <vt:lpstr>'444'!OSRRefE21_12x_3</vt:lpstr>
      <vt:lpstr>'450'!OSRRefE21_12x_3</vt:lpstr>
      <vt:lpstr>'491'!OSRRefE21_12x_3</vt:lpstr>
      <vt:lpstr>'492'!OSRRefE21_12x_3</vt:lpstr>
      <vt:lpstr>'501'!OSRRefE21_12x_3</vt:lpstr>
      <vt:lpstr>'Div 2'!OSRRefE21_12x_3</vt:lpstr>
      <vt:lpstr>'Div 3'!OSRRefE21_12x_3</vt:lpstr>
      <vt:lpstr>'Div 4'!OSRRefE21_12x_3</vt:lpstr>
      <vt:lpstr>'Div 5'!OSRRefE21_12x_3</vt:lpstr>
      <vt:lpstr>Summary!OSRRefE21_12x_3</vt:lpstr>
      <vt:lpstr>'201'!OSRRefE21_12x_4</vt:lpstr>
      <vt:lpstr>'203'!OSRRefE21_12x_4</vt:lpstr>
      <vt:lpstr>'300'!OSRRefE21_12x_4</vt:lpstr>
      <vt:lpstr>'300 &amp; 317'!OSRRefE21_12x_4</vt:lpstr>
      <vt:lpstr>'301'!OSRRefE21_12x_4</vt:lpstr>
      <vt:lpstr>'308'!OSRRefE21_12x_4</vt:lpstr>
      <vt:lpstr>'310'!OSRRefE21_12x_4</vt:lpstr>
      <vt:lpstr>'310 &amp; 491'!OSRRefE21_12x_4</vt:lpstr>
      <vt:lpstr>'311'!OSRRefE21_12x_4</vt:lpstr>
      <vt:lpstr>'315'!OSRRefE21_12x_4</vt:lpstr>
      <vt:lpstr>'325'!OSRRefE21_12x_4</vt:lpstr>
      <vt:lpstr>'326'!OSRRefE21_12x_4</vt:lpstr>
      <vt:lpstr>'331'!OSRRefE21_12x_4</vt:lpstr>
      <vt:lpstr>'405'!OSRRefE21_12x_4</vt:lpstr>
      <vt:lpstr>'411'!OSRRefE21_12x_4</vt:lpstr>
      <vt:lpstr>'415'!OSRRefE21_12x_4</vt:lpstr>
      <vt:lpstr>'418'!OSRRefE21_12x_4</vt:lpstr>
      <vt:lpstr>'433'!OSRRefE21_12x_4</vt:lpstr>
      <vt:lpstr>'444'!OSRRefE21_12x_4</vt:lpstr>
      <vt:lpstr>'450'!OSRRefE21_12x_4</vt:lpstr>
      <vt:lpstr>'491'!OSRRefE21_12x_4</vt:lpstr>
      <vt:lpstr>'492'!OSRRefE21_12x_4</vt:lpstr>
      <vt:lpstr>'501'!OSRRefE21_12x_4</vt:lpstr>
      <vt:lpstr>'Div 2'!OSRRefE21_12x_4</vt:lpstr>
      <vt:lpstr>'Div 3'!OSRRefE21_12x_4</vt:lpstr>
      <vt:lpstr>'Div 4'!OSRRefE21_12x_4</vt:lpstr>
      <vt:lpstr>'Div 5'!OSRRefE21_12x_4</vt:lpstr>
      <vt:lpstr>Summary!OSRRefE21_12x_4</vt:lpstr>
      <vt:lpstr>'201'!OSRRefE21_12x_5</vt:lpstr>
      <vt:lpstr>'203'!OSRRefE21_12x_5</vt:lpstr>
      <vt:lpstr>'300'!OSRRefE21_12x_5</vt:lpstr>
      <vt:lpstr>'300 &amp; 317'!OSRRefE21_12x_5</vt:lpstr>
      <vt:lpstr>'301'!OSRRefE21_12x_5</vt:lpstr>
      <vt:lpstr>'308'!OSRRefE21_12x_5</vt:lpstr>
      <vt:lpstr>'310'!OSRRefE21_12x_5</vt:lpstr>
      <vt:lpstr>'310 &amp; 491'!OSRRefE21_12x_5</vt:lpstr>
      <vt:lpstr>'311'!OSRRefE21_12x_5</vt:lpstr>
      <vt:lpstr>'315'!OSRRefE21_12x_5</vt:lpstr>
      <vt:lpstr>'325'!OSRRefE21_12x_5</vt:lpstr>
      <vt:lpstr>'326'!OSRRefE21_12x_5</vt:lpstr>
      <vt:lpstr>'331'!OSRRefE21_12x_5</vt:lpstr>
      <vt:lpstr>'405'!OSRRefE21_12x_5</vt:lpstr>
      <vt:lpstr>'411'!OSRRefE21_12x_5</vt:lpstr>
      <vt:lpstr>'415'!OSRRefE21_12x_5</vt:lpstr>
      <vt:lpstr>'418'!OSRRefE21_12x_5</vt:lpstr>
      <vt:lpstr>'433'!OSRRefE21_12x_5</vt:lpstr>
      <vt:lpstr>'444'!OSRRefE21_12x_5</vt:lpstr>
      <vt:lpstr>'450'!OSRRefE21_12x_5</vt:lpstr>
      <vt:lpstr>'491'!OSRRefE21_12x_5</vt:lpstr>
      <vt:lpstr>'492'!OSRRefE21_12x_5</vt:lpstr>
      <vt:lpstr>'501'!OSRRefE21_12x_5</vt:lpstr>
      <vt:lpstr>'Div 2'!OSRRefE21_12x_5</vt:lpstr>
      <vt:lpstr>'Div 3'!OSRRefE21_12x_5</vt:lpstr>
      <vt:lpstr>'Div 4'!OSRRefE21_12x_5</vt:lpstr>
      <vt:lpstr>'Div 5'!OSRRefE21_12x_5</vt:lpstr>
      <vt:lpstr>Summary!OSRRefE21_12x_5</vt:lpstr>
      <vt:lpstr>'201'!OSRRefE21_12x_6</vt:lpstr>
      <vt:lpstr>'203'!OSRRefE21_12x_6</vt:lpstr>
      <vt:lpstr>'300'!OSRRefE21_12x_6</vt:lpstr>
      <vt:lpstr>'300 &amp; 317'!OSRRefE21_12x_6</vt:lpstr>
      <vt:lpstr>'301'!OSRRefE21_12x_6</vt:lpstr>
      <vt:lpstr>'308'!OSRRefE21_12x_6</vt:lpstr>
      <vt:lpstr>'310'!OSRRefE21_12x_6</vt:lpstr>
      <vt:lpstr>'310 &amp; 491'!OSRRefE21_12x_6</vt:lpstr>
      <vt:lpstr>'311'!OSRRefE21_12x_6</vt:lpstr>
      <vt:lpstr>'315'!OSRRefE21_12x_6</vt:lpstr>
      <vt:lpstr>'325'!OSRRefE21_12x_6</vt:lpstr>
      <vt:lpstr>'326'!OSRRefE21_12x_6</vt:lpstr>
      <vt:lpstr>'331'!OSRRefE21_12x_6</vt:lpstr>
      <vt:lpstr>'405'!OSRRefE21_12x_6</vt:lpstr>
      <vt:lpstr>'411'!OSRRefE21_12x_6</vt:lpstr>
      <vt:lpstr>'415'!OSRRefE21_12x_6</vt:lpstr>
      <vt:lpstr>'418'!OSRRefE21_12x_6</vt:lpstr>
      <vt:lpstr>'433'!OSRRefE21_12x_6</vt:lpstr>
      <vt:lpstr>'444'!OSRRefE21_12x_6</vt:lpstr>
      <vt:lpstr>'450'!OSRRefE21_12x_6</vt:lpstr>
      <vt:lpstr>'491'!OSRRefE21_12x_6</vt:lpstr>
      <vt:lpstr>'492'!OSRRefE21_12x_6</vt:lpstr>
      <vt:lpstr>'501'!OSRRefE21_12x_6</vt:lpstr>
      <vt:lpstr>'Div 2'!OSRRefE21_12x_6</vt:lpstr>
      <vt:lpstr>'Div 3'!OSRRefE21_12x_6</vt:lpstr>
      <vt:lpstr>'Div 4'!OSRRefE21_12x_6</vt:lpstr>
      <vt:lpstr>'Div 5'!OSRRefE21_12x_6</vt:lpstr>
      <vt:lpstr>Summary!OSRRefE21_12x_6</vt:lpstr>
      <vt:lpstr>'201'!OSRRefE21_12x_7</vt:lpstr>
      <vt:lpstr>'203'!OSRRefE21_12x_7</vt:lpstr>
      <vt:lpstr>'300'!OSRRefE21_12x_7</vt:lpstr>
      <vt:lpstr>'300 &amp; 317'!OSRRefE21_12x_7</vt:lpstr>
      <vt:lpstr>'301'!OSRRefE21_12x_7</vt:lpstr>
      <vt:lpstr>'308'!OSRRefE21_12x_7</vt:lpstr>
      <vt:lpstr>'310'!OSRRefE21_12x_7</vt:lpstr>
      <vt:lpstr>'310 &amp; 491'!OSRRefE21_12x_7</vt:lpstr>
      <vt:lpstr>'311'!OSRRefE21_12x_7</vt:lpstr>
      <vt:lpstr>'315'!OSRRefE21_12x_7</vt:lpstr>
      <vt:lpstr>'325'!OSRRefE21_12x_7</vt:lpstr>
      <vt:lpstr>'326'!OSRRefE21_12x_7</vt:lpstr>
      <vt:lpstr>'331'!OSRRefE21_12x_7</vt:lpstr>
      <vt:lpstr>'405'!OSRRefE21_12x_7</vt:lpstr>
      <vt:lpstr>'411'!OSRRefE21_12x_7</vt:lpstr>
      <vt:lpstr>'415'!OSRRefE21_12x_7</vt:lpstr>
      <vt:lpstr>'418'!OSRRefE21_12x_7</vt:lpstr>
      <vt:lpstr>'433'!OSRRefE21_12x_7</vt:lpstr>
      <vt:lpstr>'444'!OSRRefE21_12x_7</vt:lpstr>
      <vt:lpstr>'450'!OSRRefE21_12x_7</vt:lpstr>
      <vt:lpstr>'491'!OSRRefE21_12x_7</vt:lpstr>
      <vt:lpstr>'492'!OSRRefE21_12x_7</vt:lpstr>
      <vt:lpstr>'501'!OSRRefE21_12x_7</vt:lpstr>
      <vt:lpstr>'Div 2'!OSRRefE21_12x_7</vt:lpstr>
      <vt:lpstr>'Div 3'!OSRRefE21_12x_7</vt:lpstr>
      <vt:lpstr>'Div 4'!OSRRefE21_12x_7</vt:lpstr>
      <vt:lpstr>'Div 5'!OSRRefE21_12x_7</vt:lpstr>
      <vt:lpstr>Summary!OSRRefE21_12x_7</vt:lpstr>
      <vt:lpstr>'201'!OSRRefE21_12x_8</vt:lpstr>
      <vt:lpstr>'203'!OSRRefE21_12x_8</vt:lpstr>
      <vt:lpstr>'300'!OSRRefE21_12x_8</vt:lpstr>
      <vt:lpstr>'300 &amp; 317'!OSRRefE21_12x_8</vt:lpstr>
      <vt:lpstr>'301'!OSRRefE21_12x_8</vt:lpstr>
      <vt:lpstr>'308'!OSRRefE21_12x_8</vt:lpstr>
      <vt:lpstr>'310'!OSRRefE21_12x_8</vt:lpstr>
      <vt:lpstr>'310 &amp; 491'!OSRRefE21_12x_8</vt:lpstr>
      <vt:lpstr>'311'!OSRRefE21_12x_8</vt:lpstr>
      <vt:lpstr>'315'!OSRRefE21_12x_8</vt:lpstr>
      <vt:lpstr>'325'!OSRRefE21_12x_8</vt:lpstr>
      <vt:lpstr>'326'!OSRRefE21_12x_8</vt:lpstr>
      <vt:lpstr>'331'!OSRRefE21_12x_8</vt:lpstr>
      <vt:lpstr>'405'!OSRRefE21_12x_8</vt:lpstr>
      <vt:lpstr>'411'!OSRRefE21_12x_8</vt:lpstr>
      <vt:lpstr>'415'!OSRRefE21_12x_8</vt:lpstr>
      <vt:lpstr>'418'!OSRRefE21_12x_8</vt:lpstr>
      <vt:lpstr>'433'!OSRRefE21_12x_8</vt:lpstr>
      <vt:lpstr>'444'!OSRRefE21_12x_8</vt:lpstr>
      <vt:lpstr>'450'!OSRRefE21_12x_8</vt:lpstr>
      <vt:lpstr>'491'!OSRRefE21_12x_8</vt:lpstr>
      <vt:lpstr>'492'!OSRRefE21_12x_8</vt:lpstr>
      <vt:lpstr>'501'!OSRRefE21_12x_8</vt:lpstr>
      <vt:lpstr>'Div 2'!OSRRefE21_12x_8</vt:lpstr>
      <vt:lpstr>'Div 3'!OSRRefE21_12x_8</vt:lpstr>
      <vt:lpstr>'Div 4'!OSRRefE21_12x_8</vt:lpstr>
      <vt:lpstr>'Div 5'!OSRRefE21_12x_8</vt:lpstr>
      <vt:lpstr>Summary!OSRRefE21_12x_8</vt:lpstr>
      <vt:lpstr>'201'!OSRRefE21_12x_9</vt:lpstr>
      <vt:lpstr>'203'!OSRRefE21_12x_9</vt:lpstr>
      <vt:lpstr>'300'!OSRRefE21_12x_9</vt:lpstr>
      <vt:lpstr>'300 &amp; 317'!OSRRefE21_12x_9</vt:lpstr>
      <vt:lpstr>'301'!OSRRefE21_12x_9</vt:lpstr>
      <vt:lpstr>'308'!OSRRefE21_12x_9</vt:lpstr>
      <vt:lpstr>'310'!OSRRefE21_12x_9</vt:lpstr>
      <vt:lpstr>'310 &amp; 491'!OSRRefE21_12x_9</vt:lpstr>
      <vt:lpstr>'311'!OSRRefE21_12x_9</vt:lpstr>
      <vt:lpstr>'315'!OSRRefE21_12x_9</vt:lpstr>
      <vt:lpstr>'325'!OSRRefE21_12x_9</vt:lpstr>
      <vt:lpstr>'326'!OSRRefE21_12x_9</vt:lpstr>
      <vt:lpstr>'331'!OSRRefE21_12x_9</vt:lpstr>
      <vt:lpstr>'405'!OSRRefE21_12x_9</vt:lpstr>
      <vt:lpstr>'411'!OSRRefE21_12x_9</vt:lpstr>
      <vt:lpstr>'415'!OSRRefE21_12x_9</vt:lpstr>
      <vt:lpstr>'418'!OSRRefE21_12x_9</vt:lpstr>
      <vt:lpstr>'433'!OSRRefE21_12x_9</vt:lpstr>
      <vt:lpstr>'444'!OSRRefE21_12x_9</vt:lpstr>
      <vt:lpstr>'450'!OSRRefE21_12x_9</vt:lpstr>
      <vt:lpstr>'491'!OSRRefE21_12x_9</vt:lpstr>
      <vt:lpstr>'492'!OSRRefE21_12x_9</vt:lpstr>
      <vt:lpstr>'501'!OSRRefE21_12x_9</vt:lpstr>
      <vt:lpstr>'Div 2'!OSRRefE21_12x_9</vt:lpstr>
      <vt:lpstr>'Div 3'!OSRRefE21_12x_9</vt:lpstr>
      <vt:lpstr>'Div 4'!OSRRefE21_12x_9</vt:lpstr>
      <vt:lpstr>'Div 5'!OSRRefE21_12x_9</vt:lpstr>
      <vt:lpstr>Summary!OSRRefE21_12x_9</vt:lpstr>
      <vt:lpstr>'201'!OSRRefE21_13_0x</vt:lpstr>
      <vt:lpstr>'203'!OSRRefE21_13_0x</vt:lpstr>
      <vt:lpstr>'300'!OSRRefE21_13_0x</vt:lpstr>
      <vt:lpstr>'300 &amp; 317'!OSRRefE21_13_0x</vt:lpstr>
      <vt:lpstr>'301'!OSRRefE21_13_0x</vt:lpstr>
      <vt:lpstr>'310'!OSRRefE21_13_0x</vt:lpstr>
      <vt:lpstr>'310 &amp; 491'!OSRRefE21_13_0x</vt:lpstr>
      <vt:lpstr>'315'!OSRRefE21_13_0x</vt:lpstr>
      <vt:lpstr>'325'!OSRRefE21_13_0x</vt:lpstr>
      <vt:lpstr>'326'!OSRRefE21_13_0x</vt:lpstr>
      <vt:lpstr>'331'!OSRRefE21_13_0x</vt:lpstr>
      <vt:lpstr>'405'!OSRRefE21_13_0x</vt:lpstr>
      <vt:lpstr>'415'!OSRRefE21_13_0x</vt:lpstr>
      <vt:lpstr>'418'!OSRRefE21_13_0x</vt:lpstr>
      <vt:lpstr>'433'!OSRRefE21_13_0x</vt:lpstr>
      <vt:lpstr>'444'!OSRRefE21_13_0x</vt:lpstr>
      <vt:lpstr>'450'!OSRRefE21_13_0x</vt:lpstr>
      <vt:lpstr>'491'!OSRRefE21_13_0x</vt:lpstr>
      <vt:lpstr>'492'!OSRRefE21_13_0x</vt:lpstr>
      <vt:lpstr>'501'!OSRRefE21_13_0x</vt:lpstr>
      <vt:lpstr>'Div 2'!OSRRefE21_13_0x</vt:lpstr>
      <vt:lpstr>'Div 3'!OSRRefE21_13_0x</vt:lpstr>
      <vt:lpstr>'Div 4'!OSRRefE21_13_0x</vt:lpstr>
      <vt:lpstr>'Div 5'!OSRRefE21_13_0x</vt:lpstr>
      <vt:lpstr>Summary!OSRRefE21_13_0x</vt:lpstr>
      <vt:lpstr>'301'!OSRRefE21_13_1x</vt:lpstr>
      <vt:lpstr>'310'!OSRRefE21_13_1x</vt:lpstr>
      <vt:lpstr>'315'!OSRRefE21_13_1x</vt:lpstr>
      <vt:lpstr>'325'!OSRRefE21_13_1x</vt:lpstr>
      <vt:lpstr>'326'!OSRRefE21_13_1x</vt:lpstr>
      <vt:lpstr>'331'!OSRRefE21_13_1x</vt:lpstr>
      <vt:lpstr>'433'!OSRRefE21_13_1x</vt:lpstr>
      <vt:lpstr>'450'!OSRRefE21_13_1x</vt:lpstr>
      <vt:lpstr>'491'!OSRRefE21_13_1x</vt:lpstr>
      <vt:lpstr>'492'!OSRRefE21_13_1x</vt:lpstr>
      <vt:lpstr>'Div 2'!OSRRefE21_13_1x</vt:lpstr>
      <vt:lpstr>'301'!OSRRefE21_13_2x</vt:lpstr>
      <vt:lpstr>'315'!OSRRefE21_13_2x</vt:lpstr>
      <vt:lpstr>'326'!OSRRefE21_13_2x</vt:lpstr>
      <vt:lpstr>'331'!OSRRefE21_13_2x</vt:lpstr>
      <vt:lpstr>'433'!OSRRefE21_13_2x</vt:lpstr>
      <vt:lpstr>'450'!OSRRefE21_13_2x</vt:lpstr>
      <vt:lpstr>'491'!OSRRefE21_13_2x</vt:lpstr>
      <vt:lpstr>'492'!OSRRefE21_13_2x</vt:lpstr>
      <vt:lpstr>'Div 2'!OSRRefE21_13_2x</vt:lpstr>
      <vt:lpstr>'301'!OSRRefE21_13_3x</vt:lpstr>
      <vt:lpstr>'433'!OSRRefE21_13_3x</vt:lpstr>
      <vt:lpstr>'450'!OSRRefE21_13_3x</vt:lpstr>
      <vt:lpstr>'491'!OSRRefE21_13_3x</vt:lpstr>
      <vt:lpstr>'492'!OSRRefE21_13_3x</vt:lpstr>
      <vt:lpstr>'Div 2'!OSRRefE21_13_3x</vt:lpstr>
      <vt:lpstr>'433'!OSRRefE21_13_4x</vt:lpstr>
      <vt:lpstr>'450'!OSRRefE21_13_4x</vt:lpstr>
      <vt:lpstr>'491'!OSRRefE21_13_4x</vt:lpstr>
      <vt:lpstr>'433'!OSRRefE21_13_5x</vt:lpstr>
      <vt:lpstr>'450'!OSRRefE21_13_5x</vt:lpstr>
      <vt:lpstr>'201'!OSRRefE21_13x_0</vt:lpstr>
      <vt:lpstr>'203'!OSRRefE21_13x_0</vt:lpstr>
      <vt:lpstr>'300'!OSRRefE21_13x_0</vt:lpstr>
      <vt:lpstr>'300 &amp; 317'!OSRRefE21_13x_0</vt:lpstr>
      <vt:lpstr>'301'!OSRRefE21_13x_0</vt:lpstr>
      <vt:lpstr>'310'!OSRRefE21_13x_0</vt:lpstr>
      <vt:lpstr>'310 &amp; 491'!OSRRefE21_13x_0</vt:lpstr>
      <vt:lpstr>'315'!OSRRefE21_13x_0</vt:lpstr>
      <vt:lpstr>'325'!OSRRefE21_13x_0</vt:lpstr>
      <vt:lpstr>'326'!OSRRefE21_13x_0</vt:lpstr>
      <vt:lpstr>'331'!OSRRefE21_13x_0</vt:lpstr>
      <vt:lpstr>'405'!OSRRefE21_13x_0</vt:lpstr>
      <vt:lpstr>'415'!OSRRefE21_13x_0</vt:lpstr>
      <vt:lpstr>'418'!OSRRefE21_13x_0</vt:lpstr>
      <vt:lpstr>'433'!OSRRefE21_13x_0</vt:lpstr>
      <vt:lpstr>'444'!OSRRefE21_13x_0</vt:lpstr>
      <vt:lpstr>'450'!OSRRefE21_13x_0</vt:lpstr>
      <vt:lpstr>'491'!OSRRefE21_13x_0</vt:lpstr>
      <vt:lpstr>'492'!OSRRefE21_13x_0</vt:lpstr>
      <vt:lpstr>'501'!OSRRefE21_13x_0</vt:lpstr>
      <vt:lpstr>'Div 2'!OSRRefE21_13x_0</vt:lpstr>
      <vt:lpstr>'Div 3'!OSRRefE21_13x_0</vt:lpstr>
      <vt:lpstr>'Div 4'!OSRRefE21_13x_0</vt:lpstr>
      <vt:lpstr>'Div 5'!OSRRefE21_13x_0</vt:lpstr>
      <vt:lpstr>Summary!OSRRefE21_13x_0</vt:lpstr>
      <vt:lpstr>'201'!OSRRefE21_13x_1</vt:lpstr>
      <vt:lpstr>'203'!OSRRefE21_13x_1</vt:lpstr>
      <vt:lpstr>'300'!OSRRefE21_13x_1</vt:lpstr>
      <vt:lpstr>'300 &amp; 317'!OSRRefE21_13x_1</vt:lpstr>
      <vt:lpstr>'301'!OSRRefE21_13x_1</vt:lpstr>
      <vt:lpstr>'310'!OSRRefE21_13x_1</vt:lpstr>
      <vt:lpstr>'310 &amp; 491'!OSRRefE21_13x_1</vt:lpstr>
      <vt:lpstr>'315'!OSRRefE21_13x_1</vt:lpstr>
      <vt:lpstr>'325'!OSRRefE21_13x_1</vt:lpstr>
      <vt:lpstr>'326'!OSRRefE21_13x_1</vt:lpstr>
      <vt:lpstr>'331'!OSRRefE21_13x_1</vt:lpstr>
      <vt:lpstr>'405'!OSRRefE21_13x_1</vt:lpstr>
      <vt:lpstr>'415'!OSRRefE21_13x_1</vt:lpstr>
      <vt:lpstr>'418'!OSRRefE21_13x_1</vt:lpstr>
      <vt:lpstr>'433'!OSRRefE21_13x_1</vt:lpstr>
      <vt:lpstr>'444'!OSRRefE21_13x_1</vt:lpstr>
      <vt:lpstr>'450'!OSRRefE21_13x_1</vt:lpstr>
      <vt:lpstr>'491'!OSRRefE21_13x_1</vt:lpstr>
      <vt:lpstr>'492'!OSRRefE21_13x_1</vt:lpstr>
      <vt:lpstr>'501'!OSRRefE21_13x_1</vt:lpstr>
      <vt:lpstr>'Div 2'!OSRRefE21_13x_1</vt:lpstr>
      <vt:lpstr>'Div 3'!OSRRefE21_13x_1</vt:lpstr>
      <vt:lpstr>'Div 4'!OSRRefE21_13x_1</vt:lpstr>
      <vt:lpstr>'Div 5'!OSRRefE21_13x_1</vt:lpstr>
      <vt:lpstr>Summary!OSRRefE21_13x_1</vt:lpstr>
      <vt:lpstr>'201'!OSRRefE21_13x_10</vt:lpstr>
      <vt:lpstr>'203'!OSRRefE21_13x_10</vt:lpstr>
      <vt:lpstr>'300'!OSRRefE21_13x_10</vt:lpstr>
      <vt:lpstr>'300 &amp; 317'!OSRRefE21_13x_10</vt:lpstr>
      <vt:lpstr>'301'!OSRRefE21_13x_10</vt:lpstr>
      <vt:lpstr>'310'!OSRRefE21_13x_10</vt:lpstr>
      <vt:lpstr>'310 &amp; 491'!OSRRefE21_13x_10</vt:lpstr>
      <vt:lpstr>'315'!OSRRefE21_13x_10</vt:lpstr>
      <vt:lpstr>'325'!OSRRefE21_13x_10</vt:lpstr>
      <vt:lpstr>'326'!OSRRefE21_13x_10</vt:lpstr>
      <vt:lpstr>'331'!OSRRefE21_13x_10</vt:lpstr>
      <vt:lpstr>'405'!OSRRefE21_13x_10</vt:lpstr>
      <vt:lpstr>'415'!OSRRefE21_13x_10</vt:lpstr>
      <vt:lpstr>'418'!OSRRefE21_13x_10</vt:lpstr>
      <vt:lpstr>'433'!OSRRefE21_13x_10</vt:lpstr>
      <vt:lpstr>'444'!OSRRefE21_13x_10</vt:lpstr>
      <vt:lpstr>'450'!OSRRefE21_13x_10</vt:lpstr>
      <vt:lpstr>'491'!OSRRefE21_13x_10</vt:lpstr>
      <vt:lpstr>'492'!OSRRefE21_13x_10</vt:lpstr>
      <vt:lpstr>'501'!OSRRefE21_13x_10</vt:lpstr>
      <vt:lpstr>'Div 2'!OSRRefE21_13x_10</vt:lpstr>
      <vt:lpstr>'Div 3'!OSRRefE21_13x_10</vt:lpstr>
      <vt:lpstr>'Div 4'!OSRRefE21_13x_10</vt:lpstr>
      <vt:lpstr>'Div 5'!OSRRefE21_13x_10</vt:lpstr>
      <vt:lpstr>Summary!OSRRefE21_13x_10</vt:lpstr>
      <vt:lpstr>'201'!OSRRefE21_13x_2</vt:lpstr>
      <vt:lpstr>'203'!OSRRefE21_13x_2</vt:lpstr>
      <vt:lpstr>'300'!OSRRefE21_13x_2</vt:lpstr>
      <vt:lpstr>'300 &amp; 317'!OSRRefE21_13x_2</vt:lpstr>
      <vt:lpstr>'301'!OSRRefE21_13x_2</vt:lpstr>
      <vt:lpstr>'310'!OSRRefE21_13x_2</vt:lpstr>
      <vt:lpstr>'310 &amp; 491'!OSRRefE21_13x_2</vt:lpstr>
      <vt:lpstr>'315'!OSRRefE21_13x_2</vt:lpstr>
      <vt:lpstr>'325'!OSRRefE21_13x_2</vt:lpstr>
      <vt:lpstr>'326'!OSRRefE21_13x_2</vt:lpstr>
      <vt:lpstr>'331'!OSRRefE21_13x_2</vt:lpstr>
      <vt:lpstr>'405'!OSRRefE21_13x_2</vt:lpstr>
      <vt:lpstr>'415'!OSRRefE21_13x_2</vt:lpstr>
      <vt:lpstr>'418'!OSRRefE21_13x_2</vt:lpstr>
      <vt:lpstr>'433'!OSRRefE21_13x_2</vt:lpstr>
      <vt:lpstr>'444'!OSRRefE21_13x_2</vt:lpstr>
      <vt:lpstr>'450'!OSRRefE21_13x_2</vt:lpstr>
      <vt:lpstr>'491'!OSRRefE21_13x_2</vt:lpstr>
      <vt:lpstr>'492'!OSRRefE21_13x_2</vt:lpstr>
      <vt:lpstr>'501'!OSRRefE21_13x_2</vt:lpstr>
      <vt:lpstr>'Div 2'!OSRRefE21_13x_2</vt:lpstr>
      <vt:lpstr>'Div 3'!OSRRefE21_13x_2</vt:lpstr>
      <vt:lpstr>'Div 4'!OSRRefE21_13x_2</vt:lpstr>
      <vt:lpstr>'Div 5'!OSRRefE21_13x_2</vt:lpstr>
      <vt:lpstr>Summary!OSRRefE21_13x_2</vt:lpstr>
      <vt:lpstr>'201'!OSRRefE21_13x_3</vt:lpstr>
      <vt:lpstr>'203'!OSRRefE21_13x_3</vt:lpstr>
      <vt:lpstr>'300'!OSRRefE21_13x_3</vt:lpstr>
      <vt:lpstr>'300 &amp; 317'!OSRRefE21_13x_3</vt:lpstr>
      <vt:lpstr>'301'!OSRRefE21_13x_3</vt:lpstr>
      <vt:lpstr>'310'!OSRRefE21_13x_3</vt:lpstr>
      <vt:lpstr>'310 &amp; 491'!OSRRefE21_13x_3</vt:lpstr>
      <vt:lpstr>'315'!OSRRefE21_13x_3</vt:lpstr>
      <vt:lpstr>'325'!OSRRefE21_13x_3</vt:lpstr>
      <vt:lpstr>'326'!OSRRefE21_13x_3</vt:lpstr>
      <vt:lpstr>'331'!OSRRefE21_13x_3</vt:lpstr>
      <vt:lpstr>'405'!OSRRefE21_13x_3</vt:lpstr>
      <vt:lpstr>'415'!OSRRefE21_13x_3</vt:lpstr>
      <vt:lpstr>'418'!OSRRefE21_13x_3</vt:lpstr>
      <vt:lpstr>'433'!OSRRefE21_13x_3</vt:lpstr>
      <vt:lpstr>'444'!OSRRefE21_13x_3</vt:lpstr>
      <vt:lpstr>'450'!OSRRefE21_13x_3</vt:lpstr>
      <vt:lpstr>'491'!OSRRefE21_13x_3</vt:lpstr>
      <vt:lpstr>'492'!OSRRefE21_13x_3</vt:lpstr>
      <vt:lpstr>'501'!OSRRefE21_13x_3</vt:lpstr>
      <vt:lpstr>'Div 2'!OSRRefE21_13x_3</vt:lpstr>
      <vt:lpstr>'Div 3'!OSRRefE21_13x_3</vt:lpstr>
      <vt:lpstr>'Div 4'!OSRRefE21_13x_3</vt:lpstr>
      <vt:lpstr>'Div 5'!OSRRefE21_13x_3</vt:lpstr>
      <vt:lpstr>Summary!OSRRefE21_13x_3</vt:lpstr>
      <vt:lpstr>'201'!OSRRefE21_13x_4</vt:lpstr>
      <vt:lpstr>'203'!OSRRefE21_13x_4</vt:lpstr>
      <vt:lpstr>'300'!OSRRefE21_13x_4</vt:lpstr>
      <vt:lpstr>'300 &amp; 317'!OSRRefE21_13x_4</vt:lpstr>
      <vt:lpstr>'301'!OSRRefE21_13x_4</vt:lpstr>
      <vt:lpstr>'310'!OSRRefE21_13x_4</vt:lpstr>
      <vt:lpstr>'310 &amp; 491'!OSRRefE21_13x_4</vt:lpstr>
      <vt:lpstr>'315'!OSRRefE21_13x_4</vt:lpstr>
      <vt:lpstr>'325'!OSRRefE21_13x_4</vt:lpstr>
      <vt:lpstr>'326'!OSRRefE21_13x_4</vt:lpstr>
      <vt:lpstr>'331'!OSRRefE21_13x_4</vt:lpstr>
      <vt:lpstr>'405'!OSRRefE21_13x_4</vt:lpstr>
      <vt:lpstr>'415'!OSRRefE21_13x_4</vt:lpstr>
      <vt:lpstr>'418'!OSRRefE21_13x_4</vt:lpstr>
      <vt:lpstr>'433'!OSRRefE21_13x_4</vt:lpstr>
      <vt:lpstr>'444'!OSRRefE21_13x_4</vt:lpstr>
      <vt:lpstr>'450'!OSRRefE21_13x_4</vt:lpstr>
      <vt:lpstr>'491'!OSRRefE21_13x_4</vt:lpstr>
      <vt:lpstr>'492'!OSRRefE21_13x_4</vt:lpstr>
      <vt:lpstr>'501'!OSRRefE21_13x_4</vt:lpstr>
      <vt:lpstr>'Div 2'!OSRRefE21_13x_4</vt:lpstr>
      <vt:lpstr>'Div 3'!OSRRefE21_13x_4</vt:lpstr>
      <vt:lpstr>'Div 4'!OSRRefE21_13x_4</vt:lpstr>
      <vt:lpstr>'Div 5'!OSRRefE21_13x_4</vt:lpstr>
      <vt:lpstr>Summary!OSRRefE21_13x_4</vt:lpstr>
      <vt:lpstr>'201'!OSRRefE21_13x_5</vt:lpstr>
      <vt:lpstr>'203'!OSRRefE21_13x_5</vt:lpstr>
      <vt:lpstr>'300'!OSRRefE21_13x_5</vt:lpstr>
      <vt:lpstr>'300 &amp; 317'!OSRRefE21_13x_5</vt:lpstr>
      <vt:lpstr>'301'!OSRRefE21_13x_5</vt:lpstr>
      <vt:lpstr>'310'!OSRRefE21_13x_5</vt:lpstr>
      <vt:lpstr>'310 &amp; 491'!OSRRefE21_13x_5</vt:lpstr>
      <vt:lpstr>'315'!OSRRefE21_13x_5</vt:lpstr>
      <vt:lpstr>'325'!OSRRefE21_13x_5</vt:lpstr>
      <vt:lpstr>'326'!OSRRefE21_13x_5</vt:lpstr>
      <vt:lpstr>'331'!OSRRefE21_13x_5</vt:lpstr>
      <vt:lpstr>'405'!OSRRefE21_13x_5</vt:lpstr>
      <vt:lpstr>'415'!OSRRefE21_13x_5</vt:lpstr>
      <vt:lpstr>'418'!OSRRefE21_13x_5</vt:lpstr>
      <vt:lpstr>'433'!OSRRefE21_13x_5</vt:lpstr>
      <vt:lpstr>'444'!OSRRefE21_13x_5</vt:lpstr>
      <vt:lpstr>'450'!OSRRefE21_13x_5</vt:lpstr>
      <vt:lpstr>'491'!OSRRefE21_13x_5</vt:lpstr>
      <vt:lpstr>'492'!OSRRefE21_13x_5</vt:lpstr>
      <vt:lpstr>'501'!OSRRefE21_13x_5</vt:lpstr>
      <vt:lpstr>'Div 2'!OSRRefE21_13x_5</vt:lpstr>
      <vt:lpstr>'Div 3'!OSRRefE21_13x_5</vt:lpstr>
      <vt:lpstr>'Div 4'!OSRRefE21_13x_5</vt:lpstr>
      <vt:lpstr>'Div 5'!OSRRefE21_13x_5</vt:lpstr>
      <vt:lpstr>Summary!OSRRefE21_13x_5</vt:lpstr>
      <vt:lpstr>'201'!OSRRefE21_13x_6</vt:lpstr>
      <vt:lpstr>'203'!OSRRefE21_13x_6</vt:lpstr>
      <vt:lpstr>'300'!OSRRefE21_13x_6</vt:lpstr>
      <vt:lpstr>'300 &amp; 317'!OSRRefE21_13x_6</vt:lpstr>
      <vt:lpstr>'301'!OSRRefE21_13x_6</vt:lpstr>
      <vt:lpstr>'310'!OSRRefE21_13x_6</vt:lpstr>
      <vt:lpstr>'310 &amp; 491'!OSRRefE21_13x_6</vt:lpstr>
      <vt:lpstr>'315'!OSRRefE21_13x_6</vt:lpstr>
      <vt:lpstr>'325'!OSRRefE21_13x_6</vt:lpstr>
      <vt:lpstr>'326'!OSRRefE21_13x_6</vt:lpstr>
      <vt:lpstr>'331'!OSRRefE21_13x_6</vt:lpstr>
      <vt:lpstr>'405'!OSRRefE21_13x_6</vt:lpstr>
      <vt:lpstr>'415'!OSRRefE21_13x_6</vt:lpstr>
      <vt:lpstr>'418'!OSRRefE21_13x_6</vt:lpstr>
      <vt:lpstr>'433'!OSRRefE21_13x_6</vt:lpstr>
      <vt:lpstr>'444'!OSRRefE21_13x_6</vt:lpstr>
      <vt:lpstr>'450'!OSRRefE21_13x_6</vt:lpstr>
      <vt:lpstr>'491'!OSRRefE21_13x_6</vt:lpstr>
      <vt:lpstr>'492'!OSRRefE21_13x_6</vt:lpstr>
      <vt:lpstr>'501'!OSRRefE21_13x_6</vt:lpstr>
      <vt:lpstr>'Div 2'!OSRRefE21_13x_6</vt:lpstr>
      <vt:lpstr>'Div 3'!OSRRefE21_13x_6</vt:lpstr>
      <vt:lpstr>'Div 4'!OSRRefE21_13x_6</vt:lpstr>
      <vt:lpstr>'Div 5'!OSRRefE21_13x_6</vt:lpstr>
      <vt:lpstr>Summary!OSRRefE21_13x_6</vt:lpstr>
      <vt:lpstr>'201'!OSRRefE21_13x_7</vt:lpstr>
      <vt:lpstr>'203'!OSRRefE21_13x_7</vt:lpstr>
      <vt:lpstr>'300'!OSRRefE21_13x_7</vt:lpstr>
      <vt:lpstr>'300 &amp; 317'!OSRRefE21_13x_7</vt:lpstr>
      <vt:lpstr>'301'!OSRRefE21_13x_7</vt:lpstr>
      <vt:lpstr>'310'!OSRRefE21_13x_7</vt:lpstr>
      <vt:lpstr>'310 &amp; 491'!OSRRefE21_13x_7</vt:lpstr>
      <vt:lpstr>'315'!OSRRefE21_13x_7</vt:lpstr>
      <vt:lpstr>'325'!OSRRefE21_13x_7</vt:lpstr>
      <vt:lpstr>'326'!OSRRefE21_13x_7</vt:lpstr>
      <vt:lpstr>'331'!OSRRefE21_13x_7</vt:lpstr>
      <vt:lpstr>'405'!OSRRefE21_13x_7</vt:lpstr>
      <vt:lpstr>'415'!OSRRefE21_13x_7</vt:lpstr>
      <vt:lpstr>'418'!OSRRefE21_13x_7</vt:lpstr>
      <vt:lpstr>'433'!OSRRefE21_13x_7</vt:lpstr>
      <vt:lpstr>'444'!OSRRefE21_13x_7</vt:lpstr>
      <vt:lpstr>'450'!OSRRefE21_13x_7</vt:lpstr>
      <vt:lpstr>'491'!OSRRefE21_13x_7</vt:lpstr>
      <vt:lpstr>'492'!OSRRefE21_13x_7</vt:lpstr>
      <vt:lpstr>'501'!OSRRefE21_13x_7</vt:lpstr>
      <vt:lpstr>'Div 2'!OSRRefE21_13x_7</vt:lpstr>
      <vt:lpstr>'Div 3'!OSRRefE21_13x_7</vt:lpstr>
      <vt:lpstr>'Div 4'!OSRRefE21_13x_7</vt:lpstr>
      <vt:lpstr>'Div 5'!OSRRefE21_13x_7</vt:lpstr>
      <vt:lpstr>Summary!OSRRefE21_13x_7</vt:lpstr>
      <vt:lpstr>'201'!OSRRefE21_13x_8</vt:lpstr>
      <vt:lpstr>'203'!OSRRefE21_13x_8</vt:lpstr>
      <vt:lpstr>'300'!OSRRefE21_13x_8</vt:lpstr>
      <vt:lpstr>'300 &amp; 317'!OSRRefE21_13x_8</vt:lpstr>
      <vt:lpstr>'301'!OSRRefE21_13x_8</vt:lpstr>
      <vt:lpstr>'310'!OSRRefE21_13x_8</vt:lpstr>
      <vt:lpstr>'310 &amp; 491'!OSRRefE21_13x_8</vt:lpstr>
      <vt:lpstr>'315'!OSRRefE21_13x_8</vt:lpstr>
      <vt:lpstr>'325'!OSRRefE21_13x_8</vt:lpstr>
      <vt:lpstr>'326'!OSRRefE21_13x_8</vt:lpstr>
      <vt:lpstr>'331'!OSRRefE21_13x_8</vt:lpstr>
      <vt:lpstr>'405'!OSRRefE21_13x_8</vt:lpstr>
      <vt:lpstr>'415'!OSRRefE21_13x_8</vt:lpstr>
      <vt:lpstr>'418'!OSRRefE21_13x_8</vt:lpstr>
      <vt:lpstr>'433'!OSRRefE21_13x_8</vt:lpstr>
      <vt:lpstr>'444'!OSRRefE21_13x_8</vt:lpstr>
      <vt:lpstr>'450'!OSRRefE21_13x_8</vt:lpstr>
      <vt:lpstr>'491'!OSRRefE21_13x_8</vt:lpstr>
      <vt:lpstr>'492'!OSRRefE21_13x_8</vt:lpstr>
      <vt:lpstr>'501'!OSRRefE21_13x_8</vt:lpstr>
      <vt:lpstr>'Div 2'!OSRRefE21_13x_8</vt:lpstr>
      <vt:lpstr>'Div 3'!OSRRefE21_13x_8</vt:lpstr>
      <vt:lpstr>'Div 4'!OSRRefE21_13x_8</vt:lpstr>
      <vt:lpstr>'Div 5'!OSRRefE21_13x_8</vt:lpstr>
      <vt:lpstr>Summary!OSRRefE21_13x_8</vt:lpstr>
      <vt:lpstr>'201'!OSRRefE21_13x_9</vt:lpstr>
      <vt:lpstr>'203'!OSRRefE21_13x_9</vt:lpstr>
      <vt:lpstr>'300'!OSRRefE21_13x_9</vt:lpstr>
      <vt:lpstr>'300 &amp; 317'!OSRRefE21_13x_9</vt:lpstr>
      <vt:lpstr>'301'!OSRRefE21_13x_9</vt:lpstr>
      <vt:lpstr>'310'!OSRRefE21_13x_9</vt:lpstr>
      <vt:lpstr>'310 &amp; 491'!OSRRefE21_13x_9</vt:lpstr>
      <vt:lpstr>'315'!OSRRefE21_13x_9</vt:lpstr>
      <vt:lpstr>'325'!OSRRefE21_13x_9</vt:lpstr>
      <vt:lpstr>'326'!OSRRefE21_13x_9</vt:lpstr>
      <vt:lpstr>'331'!OSRRefE21_13x_9</vt:lpstr>
      <vt:lpstr>'405'!OSRRefE21_13x_9</vt:lpstr>
      <vt:lpstr>'415'!OSRRefE21_13x_9</vt:lpstr>
      <vt:lpstr>'418'!OSRRefE21_13x_9</vt:lpstr>
      <vt:lpstr>'433'!OSRRefE21_13x_9</vt:lpstr>
      <vt:lpstr>'444'!OSRRefE21_13x_9</vt:lpstr>
      <vt:lpstr>'450'!OSRRefE21_13x_9</vt:lpstr>
      <vt:lpstr>'491'!OSRRefE21_13x_9</vt:lpstr>
      <vt:lpstr>'492'!OSRRefE21_13x_9</vt:lpstr>
      <vt:lpstr>'501'!OSRRefE21_13x_9</vt:lpstr>
      <vt:lpstr>'Div 2'!OSRRefE21_13x_9</vt:lpstr>
      <vt:lpstr>'Div 3'!OSRRefE21_13x_9</vt:lpstr>
      <vt:lpstr>'Div 4'!OSRRefE21_13x_9</vt:lpstr>
      <vt:lpstr>'Div 5'!OSRRefE21_13x_9</vt:lpstr>
      <vt:lpstr>Summary!OSRRefE21_13x_9</vt:lpstr>
      <vt:lpstr>'201'!OSRRefE21_14_0x</vt:lpstr>
      <vt:lpstr>'203'!OSRRefE21_14_0x</vt:lpstr>
      <vt:lpstr>'300'!OSRRefE21_14_0x</vt:lpstr>
      <vt:lpstr>'300 &amp; 317'!OSRRefE21_14_0x</vt:lpstr>
      <vt:lpstr>'301'!OSRRefE21_14_0x</vt:lpstr>
      <vt:lpstr>'310'!OSRRefE21_14_0x</vt:lpstr>
      <vt:lpstr>'310 &amp; 491'!OSRRefE21_14_0x</vt:lpstr>
      <vt:lpstr>'315'!OSRRefE21_14_0x</vt:lpstr>
      <vt:lpstr>'325'!OSRRefE21_14_0x</vt:lpstr>
      <vt:lpstr>'326'!OSRRefE21_14_0x</vt:lpstr>
      <vt:lpstr>'331'!OSRRefE21_14_0x</vt:lpstr>
      <vt:lpstr>'405'!OSRRefE21_14_0x</vt:lpstr>
      <vt:lpstr>'415'!OSRRefE21_14_0x</vt:lpstr>
      <vt:lpstr>'418'!OSRRefE21_14_0x</vt:lpstr>
      <vt:lpstr>'433'!OSRRefE21_14_0x</vt:lpstr>
      <vt:lpstr>'444'!OSRRefE21_14_0x</vt:lpstr>
      <vt:lpstr>'450'!OSRRefE21_14_0x</vt:lpstr>
      <vt:lpstr>'491'!OSRRefE21_14_0x</vt:lpstr>
      <vt:lpstr>'492'!OSRRefE21_14_0x</vt:lpstr>
      <vt:lpstr>'Div 2'!OSRRefE21_14_0x</vt:lpstr>
      <vt:lpstr>'Div 3'!OSRRefE21_14_0x</vt:lpstr>
      <vt:lpstr>'Div 4'!OSRRefE21_14_0x</vt:lpstr>
      <vt:lpstr>Summary!OSRRefE21_14_0x</vt:lpstr>
      <vt:lpstr>'301'!OSRRefE21_14_1x</vt:lpstr>
      <vt:lpstr>'310'!OSRRefE21_14_1x</vt:lpstr>
      <vt:lpstr>'310 &amp; 491'!OSRRefE21_14_1x</vt:lpstr>
      <vt:lpstr>'331'!OSRRefE21_14_1x</vt:lpstr>
      <vt:lpstr>'415'!OSRRefE21_14_1x</vt:lpstr>
      <vt:lpstr>'444'!OSRRefE21_14_1x</vt:lpstr>
      <vt:lpstr>'Div 2'!OSRRefE21_14_1x</vt:lpstr>
      <vt:lpstr>'Div 4'!OSRRefE21_14_1x</vt:lpstr>
      <vt:lpstr>'310'!OSRRefE21_14_2x</vt:lpstr>
      <vt:lpstr>'310 &amp; 491'!OSRRefE21_14_2x</vt:lpstr>
      <vt:lpstr>'415'!OSRRefE21_14_2x</vt:lpstr>
      <vt:lpstr>'444'!OSRRefE21_14_2x</vt:lpstr>
      <vt:lpstr>'Div 4'!OSRRefE21_14_2x</vt:lpstr>
      <vt:lpstr>'310'!OSRRefE21_14_3x</vt:lpstr>
      <vt:lpstr>'310 &amp; 491'!OSRRefE21_14_3x</vt:lpstr>
      <vt:lpstr>'415'!OSRRefE21_14_3x</vt:lpstr>
      <vt:lpstr>'444'!OSRRefE21_14_3x</vt:lpstr>
      <vt:lpstr>'Div 4'!OSRRefE21_14_3x</vt:lpstr>
      <vt:lpstr>'310'!OSRRefE21_14_4x</vt:lpstr>
      <vt:lpstr>'310 &amp; 491'!OSRRefE21_14_4x</vt:lpstr>
      <vt:lpstr>'415'!OSRRefE21_14_4x</vt:lpstr>
      <vt:lpstr>'444'!OSRRefE21_14_4x</vt:lpstr>
      <vt:lpstr>'415'!OSRRefE21_14_5x</vt:lpstr>
      <vt:lpstr>'444'!OSRRefE21_14_5x</vt:lpstr>
      <vt:lpstr>'201'!OSRRefE21_14x_0</vt:lpstr>
      <vt:lpstr>'203'!OSRRefE21_14x_0</vt:lpstr>
      <vt:lpstr>'300'!OSRRefE21_14x_0</vt:lpstr>
      <vt:lpstr>'300 &amp; 317'!OSRRefE21_14x_0</vt:lpstr>
      <vt:lpstr>'301'!OSRRefE21_14x_0</vt:lpstr>
      <vt:lpstr>'310'!OSRRefE21_14x_0</vt:lpstr>
      <vt:lpstr>'310 &amp; 491'!OSRRefE21_14x_0</vt:lpstr>
      <vt:lpstr>'315'!OSRRefE21_14x_0</vt:lpstr>
      <vt:lpstr>'325'!OSRRefE21_14x_0</vt:lpstr>
      <vt:lpstr>'326'!OSRRefE21_14x_0</vt:lpstr>
      <vt:lpstr>'331'!OSRRefE21_14x_0</vt:lpstr>
      <vt:lpstr>'405'!OSRRefE21_14x_0</vt:lpstr>
      <vt:lpstr>'415'!OSRRefE21_14x_0</vt:lpstr>
      <vt:lpstr>'418'!OSRRefE21_14x_0</vt:lpstr>
      <vt:lpstr>'433'!OSRRefE21_14x_0</vt:lpstr>
      <vt:lpstr>'444'!OSRRefE21_14x_0</vt:lpstr>
      <vt:lpstr>'450'!OSRRefE21_14x_0</vt:lpstr>
      <vt:lpstr>'491'!OSRRefE21_14x_0</vt:lpstr>
      <vt:lpstr>'492'!OSRRefE21_14x_0</vt:lpstr>
      <vt:lpstr>'Div 2'!OSRRefE21_14x_0</vt:lpstr>
      <vt:lpstr>'Div 3'!OSRRefE21_14x_0</vt:lpstr>
      <vt:lpstr>'Div 4'!OSRRefE21_14x_0</vt:lpstr>
      <vt:lpstr>Summary!OSRRefE21_14x_0</vt:lpstr>
      <vt:lpstr>'201'!OSRRefE21_14x_1</vt:lpstr>
      <vt:lpstr>'203'!OSRRefE21_14x_1</vt:lpstr>
      <vt:lpstr>'300'!OSRRefE21_14x_1</vt:lpstr>
      <vt:lpstr>'300 &amp; 317'!OSRRefE21_14x_1</vt:lpstr>
      <vt:lpstr>'301'!OSRRefE21_14x_1</vt:lpstr>
      <vt:lpstr>'310'!OSRRefE21_14x_1</vt:lpstr>
      <vt:lpstr>'310 &amp; 491'!OSRRefE21_14x_1</vt:lpstr>
      <vt:lpstr>'315'!OSRRefE21_14x_1</vt:lpstr>
      <vt:lpstr>'325'!OSRRefE21_14x_1</vt:lpstr>
      <vt:lpstr>'326'!OSRRefE21_14x_1</vt:lpstr>
      <vt:lpstr>'331'!OSRRefE21_14x_1</vt:lpstr>
      <vt:lpstr>'405'!OSRRefE21_14x_1</vt:lpstr>
      <vt:lpstr>'415'!OSRRefE21_14x_1</vt:lpstr>
      <vt:lpstr>'418'!OSRRefE21_14x_1</vt:lpstr>
      <vt:lpstr>'433'!OSRRefE21_14x_1</vt:lpstr>
      <vt:lpstr>'444'!OSRRefE21_14x_1</vt:lpstr>
      <vt:lpstr>'450'!OSRRefE21_14x_1</vt:lpstr>
      <vt:lpstr>'491'!OSRRefE21_14x_1</vt:lpstr>
      <vt:lpstr>'492'!OSRRefE21_14x_1</vt:lpstr>
      <vt:lpstr>'Div 2'!OSRRefE21_14x_1</vt:lpstr>
      <vt:lpstr>'Div 3'!OSRRefE21_14x_1</vt:lpstr>
      <vt:lpstr>'Div 4'!OSRRefE21_14x_1</vt:lpstr>
      <vt:lpstr>Summary!OSRRefE21_14x_1</vt:lpstr>
      <vt:lpstr>'201'!OSRRefE21_14x_10</vt:lpstr>
      <vt:lpstr>'203'!OSRRefE21_14x_10</vt:lpstr>
      <vt:lpstr>'300'!OSRRefE21_14x_10</vt:lpstr>
      <vt:lpstr>'300 &amp; 317'!OSRRefE21_14x_10</vt:lpstr>
      <vt:lpstr>'301'!OSRRefE21_14x_10</vt:lpstr>
      <vt:lpstr>'310'!OSRRefE21_14x_10</vt:lpstr>
      <vt:lpstr>'310 &amp; 491'!OSRRefE21_14x_10</vt:lpstr>
      <vt:lpstr>'315'!OSRRefE21_14x_10</vt:lpstr>
      <vt:lpstr>'325'!OSRRefE21_14x_10</vt:lpstr>
      <vt:lpstr>'326'!OSRRefE21_14x_10</vt:lpstr>
      <vt:lpstr>'331'!OSRRefE21_14x_10</vt:lpstr>
      <vt:lpstr>'405'!OSRRefE21_14x_10</vt:lpstr>
      <vt:lpstr>'415'!OSRRefE21_14x_10</vt:lpstr>
      <vt:lpstr>'418'!OSRRefE21_14x_10</vt:lpstr>
      <vt:lpstr>'433'!OSRRefE21_14x_10</vt:lpstr>
      <vt:lpstr>'444'!OSRRefE21_14x_10</vt:lpstr>
      <vt:lpstr>'450'!OSRRefE21_14x_10</vt:lpstr>
      <vt:lpstr>'491'!OSRRefE21_14x_10</vt:lpstr>
      <vt:lpstr>'492'!OSRRefE21_14x_10</vt:lpstr>
      <vt:lpstr>'Div 2'!OSRRefE21_14x_10</vt:lpstr>
      <vt:lpstr>'Div 3'!OSRRefE21_14x_10</vt:lpstr>
      <vt:lpstr>'Div 4'!OSRRefE21_14x_10</vt:lpstr>
      <vt:lpstr>Summary!OSRRefE21_14x_10</vt:lpstr>
      <vt:lpstr>'201'!OSRRefE21_14x_2</vt:lpstr>
      <vt:lpstr>'203'!OSRRefE21_14x_2</vt:lpstr>
      <vt:lpstr>'300'!OSRRefE21_14x_2</vt:lpstr>
      <vt:lpstr>'300 &amp; 317'!OSRRefE21_14x_2</vt:lpstr>
      <vt:lpstr>'301'!OSRRefE21_14x_2</vt:lpstr>
      <vt:lpstr>'310'!OSRRefE21_14x_2</vt:lpstr>
      <vt:lpstr>'310 &amp; 491'!OSRRefE21_14x_2</vt:lpstr>
      <vt:lpstr>'315'!OSRRefE21_14x_2</vt:lpstr>
      <vt:lpstr>'325'!OSRRefE21_14x_2</vt:lpstr>
      <vt:lpstr>'326'!OSRRefE21_14x_2</vt:lpstr>
      <vt:lpstr>'331'!OSRRefE21_14x_2</vt:lpstr>
      <vt:lpstr>'405'!OSRRefE21_14x_2</vt:lpstr>
      <vt:lpstr>'415'!OSRRefE21_14x_2</vt:lpstr>
      <vt:lpstr>'418'!OSRRefE21_14x_2</vt:lpstr>
      <vt:lpstr>'433'!OSRRefE21_14x_2</vt:lpstr>
      <vt:lpstr>'444'!OSRRefE21_14x_2</vt:lpstr>
      <vt:lpstr>'450'!OSRRefE21_14x_2</vt:lpstr>
      <vt:lpstr>'491'!OSRRefE21_14x_2</vt:lpstr>
      <vt:lpstr>'492'!OSRRefE21_14x_2</vt:lpstr>
      <vt:lpstr>'Div 2'!OSRRefE21_14x_2</vt:lpstr>
      <vt:lpstr>'Div 3'!OSRRefE21_14x_2</vt:lpstr>
      <vt:lpstr>'Div 4'!OSRRefE21_14x_2</vt:lpstr>
      <vt:lpstr>Summary!OSRRefE21_14x_2</vt:lpstr>
      <vt:lpstr>'201'!OSRRefE21_14x_3</vt:lpstr>
      <vt:lpstr>'203'!OSRRefE21_14x_3</vt:lpstr>
      <vt:lpstr>'300'!OSRRefE21_14x_3</vt:lpstr>
      <vt:lpstr>'300 &amp; 317'!OSRRefE21_14x_3</vt:lpstr>
      <vt:lpstr>'301'!OSRRefE21_14x_3</vt:lpstr>
      <vt:lpstr>'310'!OSRRefE21_14x_3</vt:lpstr>
      <vt:lpstr>'310 &amp; 491'!OSRRefE21_14x_3</vt:lpstr>
      <vt:lpstr>'315'!OSRRefE21_14x_3</vt:lpstr>
      <vt:lpstr>'325'!OSRRefE21_14x_3</vt:lpstr>
      <vt:lpstr>'326'!OSRRefE21_14x_3</vt:lpstr>
      <vt:lpstr>'331'!OSRRefE21_14x_3</vt:lpstr>
      <vt:lpstr>'405'!OSRRefE21_14x_3</vt:lpstr>
      <vt:lpstr>'415'!OSRRefE21_14x_3</vt:lpstr>
      <vt:lpstr>'418'!OSRRefE21_14x_3</vt:lpstr>
      <vt:lpstr>'433'!OSRRefE21_14x_3</vt:lpstr>
      <vt:lpstr>'444'!OSRRefE21_14x_3</vt:lpstr>
      <vt:lpstr>'450'!OSRRefE21_14x_3</vt:lpstr>
      <vt:lpstr>'491'!OSRRefE21_14x_3</vt:lpstr>
      <vt:lpstr>'492'!OSRRefE21_14x_3</vt:lpstr>
      <vt:lpstr>'Div 2'!OSRRefE21_14x_3</vt:lpstr>
      <vt:lpstr>'Div 3'!OSRRefE21_14x_3</vt:lpstr>
      <vt:lpstr>'Div 4'!OSRRefE21_14x_3</vt:lpstr>
      <vt:lpstr>Summary!OSRRefE21_14x_3</vt:lpstr>
      <vt:lpstr>'201'!OSRRefE21_14x_4</vt:lpstr>
      <vt:lpstr>'203'!OSRRefE21_14x_4</vt:lpstr>
      <vt:lpstr>'300'!OSRRefE21_14x_4</vt:lpstr>
      <vt:lpstr>'300 &amp; 317'!OSRRefE21_14x_4</vt:lpstr>
      <vt:lpstr>'301'!OSRRefE21_14x_4</vt:lpstr>
      <vt:lpstr>'310'!OSRRefE21_14x_4</vt:lpstr>
      <vt:lpstr>'310 &amp; 491'!OSRRefE21_14x_4</vt:lpstr>
      <vt:lpstr>'315'!OSRRefE21_14x_4</vt:lpstr>
      <vt:lpstr>'325'!OSRRefE21_14x_4</vt:lpstr>
      <vt:lpstr>'326'!OSRRefE21_14x_4</vt:lpstr>
      <vt:lpstr>'331'!OSRRefE21_14x_4</vt:lpstr>
      <vt:lpstr>'405'!OSRRefE21_14x_4</vt:lpstr>
      <vt:lpstr>'415'!OSRRefE21_14x_4</vt:lpstr>
      <vt:lpstr>'418'!OSRRefE21_14x_4</vt:lpstr>
      <vt:lpstr>'433'!OSRRefE21_14x_4</vt:lpstr>
      <vt:lpstr>'444'!OSRRefE21_14x_4</vt:lpstr>
      <vt:lpstr>'450'!OSRRefE21_14x_4</vt:lpstr>
      <vt:lpstr>'491'!OSRRefE21_14x_4</vt:lpstr>
      <vt:lpstr>'492'!OSRRefE21_14x_4</vt:lpstr>
      <vt:lpstr>'Div 2'!OSRRefE21_14x_4</vt:lpstr>
      <vt:lpstr>'Div 3'!OSRRefE21_14x_4</vt:lpstr>
      <vt:lpstr>'Div 4'!OSRRefE21_14x_4</vt:lpstr>
      <vt:lpstr>Summary!OSRRefE21_14x_4</vt:lpstr>
      <vt:lpstr>'201'!OSRRefE21_14x_5</vt:lpstr>
      <vt:lpstr>'203'!OSRRefE21_14x_5</vt:lpstr>
      <vt:lpstr>'300'!OSRRefE21_14x_5</vt:lpstr>
      <vt:lpstr>'300 &amp; 317'!OSRRefE21_14x_5</vt:lpstr>
      <vt:lpstr>'301'!OSRRefE21_14x_5</vt:lpstr>
      <vt:lpstr>'310'!OSRRefE21_14x_5</vt:lpstr>
      <vt:lpstr>'310 &amp; 491'!OSRRefE21_14x_5</vt:lpstr>
      <vt:lpstr>'315'!OSRRefE21_14x_5</vt:lpstr>
      <vt:lpstr>'325'!OSRRefE21_14x_5</vt:lpstr>
      <vt:lpstr>'326'!OSRRefE21_14x_5</vt:lpstr>
      <vt:lpstr>'331'!OSRRefE21_14x_5</vt:lpstr>
      <vt:lpstr>'405'!OSRRefE21_14x_5</vt:lpstr>
      <vt:lpstr>'415'!OSRRefE21_14x_5</vt:lpstr>
      <vt:lpstr>'418'!OSRRefE21_14x_5</vt:lpstr>
      <vt:lpstr>'433'!OSRRefE21_14x_5</vt:lpstr>
      <vt:lpstr>'444'!OSRRefE21_14x_5</vt:lpstr>
      <vt:lpstr>'450'!OSRRefE21_14x_5</vt:lpstr>
      <vt:lpstr>'491'!OSRRefE21_14x_5</vt:lpstr>
      <vt:lpstr>'492'!OSRRefE21_14x_5</vt:lpstr>
      <vt:lpstr>'Div 2'!OSRRefE21_14x_5</vt:lpstr>
      <vt:lpstr>'Div 3'!OSRRefE21_14x_5</vt:lpstr>
      <vt:lpstr>'Div 4'!OSRRefE21_14x_5</vt:lpstr>
      <vt:lpstr>Summary!OSRRefE21_14x_5</vt:lpstr>
      <vt:lpstr>'201'!OSRRefE21_14x_6</vt:lpstr>
      <vt:lpstr>'203'!OSRRefE21_14x_6</vt:lpstr>
      <vt:lpstr>'300'!OSRRefE21_14x_6</vt:lpstr>
      <vt:lpstr>'300 &amp; 317'!OSRRefE21_14x_6</vt:lpstr>
      <vt:lpstr>'301'!OSRRefE21_14x_6</vt:lpstr>
      <vt:lpstr>'310'!OSRRefE21_14x_6</vt:lpstr>
      <vt:lpstr>'310 &amp; 491'!OSRRefE21_14x_6</vt:lpstr>
      <vt:lpstr>'315'!OSRRefE21_14x_6</vt:lpstr>
      <vt:lpstr>'325'!OSRRefE21_14x_6</vt:lpstr>
      <vt:lpstr>'326'!OSRRefE21_14x_6</vt:lpstr>
      <vt:lpstr>'331'!OSRRefE21_14x_6</vt:lpstr>
      <vt:lpstr>'405'!OSRRefE21_14x_6</vt:lpstr>
      <vt:lpstr>'415'!OSRRefE21_14x_6</vt:lpstr>
      <vt:lpstr>'418'!OSRRefE21_14x_6</vt:lpstr>
      <vt:lpstr>'433'!OSRRefE21_14x_6</vt:lpstr>
      <vt:lpstr>'444'!OSRRefE21_14x_6</vt:lpstr>
      <vt:lpstr>'450'!OSRRefE21_14x_6</vt:lpstr>
      <vt:lpstr>'491'!OSRRefE21_14x_6</vt:lpstr>
      <vt:lpstr>'492'!OSRRefE21_14x_6</vt:lpstr>
      <vt:lpstr>'Div 2'!OSRRefE21_14x_6</vt:lpstr>
      <vt:lpstr>'Div 3'!OSRRefE21_14x_6</vt:lpstr>
      <vt:lpstr>'Div 4'!OSRRefE21_14x_6</vt:lpstr>
      <vt:lpstr>Summary!OSRRefE21_14x_6</vt:lpstr>
      <vt:lpstr>'201'!OSRRefE21_14x_7</vt:lpstr>
      <vt:lpstr>'203'!OSRRefE21_14x_7</vt:lpstr>
      <vt:lpstr>'300'!OSRRefE21_14x_7</vt:lpstr>
      <vt:lpstr>'300 &amp; 317'!OSRRefE21_14x_7</vt:lpstr>
      <vt:lpstr>'301'!OSRRefE21_14x_7</vt:lpstr>
      <vt:lpstr>'310'!OSRRefE21_14x_7</vt:lpstr>
      <vt:lpstr>'310 &amp; 491'!OSRRefE21_14x_7</vt:lpstr>
      <vt:lpstr>'315'!OSRRefE21_14x_7</vt:lpstr>
      <vt:lpstr>'325'!OSRRefE21_14x_7</vt:lpstr>
      <vt:lpstr>'326'!OSRRefE21_14x_7</vt:lpstr>
      <vt:lpstr>'331'!OSRRefE21_14x_7</vt:lpstr>
      <vt:lpstr>'405'!OSRRefE21_14x_7</vt:lpstr>
      <vt:lpstr>'415'!OSRRefE21_14x_7</vt:lpstr>
      <vt:lpstr>'418'!OSRRefE21_14x_7</vt:lpstr>
      <vt:lpstr>'433'!OSRRefE21_14x_7</vt:lpstr>
      <vt:lpstr>'444'!OSRRefE21_14x_7</vt:lpstr>
      <vt:lpstr>'450'!OSRRefE21_14x_7</vt:lpstr>
      <vt:lpstr>'491'!OSRRefE21_14x_7</vt:lpstr>
      <vt:lpstr>'492'!OSRRefE21_14x_7</vt:lpstr>
      <vt:lpstr>'Div 2'!OSRRefE21_14x_7</vt:lpstr>
      <vt:lpstr>'Div 3'!OSRRefE21_14x_7</vt:lpstr>
      <vt:lpstr>'Div 4'!OSRRefE21_14x_7</vt:lpstr>
      <vt:lpstr>Summary!OSRRefE21_14x_7</vt:lpstr>
      <vt:lpstr>'201'!OSRRefE21_14x_8</vt:lpstr>
      <vt:lpstr>'203'!OSRRefE21_14x_8</vt:lpstr>
      <vt:lpstr>'300'!OSRRefE21_14x_8</vt:lpstr>
      <vt:lpstr>'300 &amp; 317'!OSRRefE21_14x_8</vt:lpstr>
      <vt:lpstr>'301'!OSRRefE21_14x_8</vt:lpstr>
      <vt:lpstr>'310'!OSRRefE21_14x_8</vt:lpstr>
      <vt:lpstr>'310 &amp; 491'!OSRRefE21_14x_8</vt:lpstr>
      <vt:lpstr>'315'!OSRRefE21_14x_8</vt:lpstr>
      <vt:lpstr>'325'!OSRRefE21_14x_8</vt:lpstr>
      <vt:lpstr>'326'!OSRRefE21_14x_8</vt:lpstr>
      <vt:lpstr>'331'!OSRRefE21_14x_8</vt:lpstr>
      <vt:lpstr>'405'!OSRRefE21_14x_8</vt:lpstr>
      <vt:lpstr>'415'!OSRRefE21_14x_8</vt:lpstr>
      <vt:lpstr>'418'!OSRRefE21_14x_8</vt:lpstr>
      <vt:lpstr>'433'!OSRRefE21_14x_8</vt:lpstr>
      <vt:lpstr>'444'!OSRRefE21_14x_8</vt:lpstr>
      <vt:lpstr>'450'!OSRRefE21_14x_8</vt:lpstr>
      <vt:lpstr>'491'!OSRRefE21_14x_8</vt:lpstr>
      <vt:lpstr>'492'!OSRRefE21_14x_8</vt:lpstr>
      <vt:lpstr>'Div 2'!OSRRefE21_14x_8</vt:lpstr>
      <vt:lpstr>'Div 3'!OSRRefE21_14x_8</vt:lpstr>
      <vt:lpstr>'Div 4'!OSRRefE21_14x_8</vt:lpstr>
      <vt:lpstr>Summary!OSRRefE21_14x_8</vt:lpstr>
      <vt:lpstr>'201'!OSRRefE21_14x_9</vt:lpstr>
      <vt:lpstr>'203'!OSRRefE21_14x_9</vt:lpstr>
      <vt:lpstr>'300'!OSRRefE21_14x_9</vt:lpstr>
      <vt:lpstr>'300 &amp; 317'!OSRRefE21_14x_9</vt:lpstr>
      <vt:lpstr>'301'!OSRRefE21_14x_9</vt:lpstr>
      <vt:lpstr>'310'!OSRRefE21_14x_9</vt:lpstr>
      <vt:lpstr>'310 &amp; 491'!OSRRefE21_14x_9</vt:lpstr>
      <vt:lpstr>'315'!OSRRefE21_14x_9</vt:lpstr>
      <vt:lpstr>'325'!OSRRefE21_14x_9</vt:lpstr>
      <vt:lpstr>'326'!OSRRefE21_14x_9</vt:lpstr>
      <vt:lpstr>'331'!OSRRefE21_14x_9</vt:lpstr>
      <vt:lpstr>'405'!OSRRefE21_14x_9</vt:lpstr>
      <vt:lpstr>'415'!OSRRefE21_14x_9</vt:lpstr>
      <vt:lpstr>'418'!OSRRefE21_14x_9</vt:lpstr>
      <vt:lpstr>'433'!OSRRefE21_14x_9</vt:lpstr>
      <vt:lpstr>'444'!OSRRefE21_14x_9</vt:lpstr>
      <vt:lpstr>'450'!OSRRefE21_14x_9</vt:lpstr>
      <vt:lpstr>'491'!OSRRefE21_14x_9</vt:lpstr>
      <vt:lpstr>'492'!OSRRefE21_14x_9</vt:lpstr>
      <vt:lpstr>'Div 2'!OSRRefE21_14x_9</vt:lpstr>
      <vt:lpstr>'Div 3'!OSRRefE21_14x_9</vt:lpstr>
      <vt:lpstr>'Div 4'!OSRRefE21_14x_9</vt:lpstr>
      <vt:lpstr>Summary!OSRRefE21_14x_9</vt:lpstr>
      <vt:lpstr>'201'!OSRRefE21_15_0x</vt:lpstr>
      <vt:lpstr>'300'!OSRRefE21_15_0x</vt:lpstr>
      <vt:lpstr>'300 &amp; 317'!OSRRefE21_15_0x</vt:lpstr>
      <vt:lpstr>'301'!OSRRefE21_15_0x</vt:lpstr>
      <vt:lpstr>'310'!OSRRefE21_15_0x</vt:lpstr>
      <vt:lpstr>'310 &amp; 491'!OSRRefE21_15_0x</vt:lpstr>
      <vt:lpstr>'315'!OSRRefE21_15_0x</vt:lpstr>
      <vt:lpstr>'326'!OSRRefE21_15_0x</vt:lpstr>
      <vt:lpstr>'331'!OSRRefE21_15_0x</vt:lpstr>
      <vt:lpstr>'405'!OSRRefE21_15_0x</vt:lpstr>
      <vt:lpstr>'415'!OSRRefE21_15_0x</vt:lpstr>
      <vt:lpstr>'418'!OSRRefE21_15_0x</vt:lpstr>
      <vt:lpstr>'433'!OSRRefE21_15_0x</vt:lpstr>
      <vt:lpstr>'444'!OSRRefE21_15_0x</vt:lpstr>
      <vt:lpstr>'450'!OSRRefE21_15_0x</vt:lpstr>
      <vt:lpstr>'491'!OSRRefE21_15_0x</vt:lpstr>
      <vt:lpstr>'492'!OSRRefE21_15_0x</vt:lpstr>
      <vt:lpstr>'Div 2'!OSRRefE21_15_0x</vt:lpstr>
      <vt:lpstr>'Div 3'!OSRRefE21_15_0x</vt:lpstr>
      <vt:lpstr>'Div 4'!OSRRefE21_15_0x</vt:lpstr>
      <vt:lpstr>Summary!OSRRefE21_15_0x</vt:lpstr>
      <vt:lpstr>'310'!OSRRefE21_15_1x</vt:lpstr>
      <vt:lpstr>'326'!OSRRefE21_15_1x</vt:lpstr>
      <vt:lpstr>'331'!OSRRefE21_15_1x</vt:lpstr>
      <vt:lpstr>'415'!OSRRefE21_15_1x</vt:lpstr>
      <vt:lpstr>'491'!OSRRefE21_15_1x</vt:lpstr>
      <vt:lpstr>'492'!OSRRefE21_15_1x</vt:lpstr>
      <vt:lpstr>'Div 2'!OSRRefE21_15_1x</vt:lpstr>
      <vt:lpstr>'Div 4'!OSRRefE21_15_1x</vt:lpstr>
      <vt:lpstr>'491'!OSRRefE21_15_2x</vt:lpstr>
      <vt:lpstr>'492'!OSRRefE21_15_2x</vt:lpstr>
      <vt:lpstr>'Div 4'!OSRRefE21_15_2x</vt:lpstr>
      <vt:lpstr>'491'!OSRRefE21_15_3x</vt:lpstr>
      <vt:lpstr>'492'!OSRRefE21_15_3x</vt:lpstr>
      <vt:lpstr>'Div 4'!OSRRefE21_15_3x</vt:lpstr>
      <vt:lpstr>'491'!OSRRefE21_15_4x</vt:lpstr>
      <vt:lpstr>'492'!OSRRefE21_15_4x</vt:lpstr>
      <vt:lpstr>'Div 4'!OSRRefE21_15_4x</vt:lpstr>
      <vt:lpstr>'491'!OSRRefE21_15_5x</vt:lpstr>
      <vt:lpstr>'492'!OSRRefE21_15_5x</vt:lpstr>
      <vt:lpstr>'491'!OSRRefE21_15_6x</vt:lpstr>
      <vt:lpstr>'492'!OSRRefE21_15_6x</vt:lpstr>
      <vt:lpstr>'491'!OSRRefE21_15_7x</vt:lpstr>
      <vt:lpstr>'491'!OSRRefE21_15_8x</vt:lpstr>
      <vt:lpstr>'201'!OSRRefE21_15x_0</vt:lpstr>
      <vt:lpstr>'300'!OSRRefE21_15x_0</vt:lpstr>
      <vt:lpstr>'300 &amp; 317'!OSRRefE21_15x_0</vt:lpstr>
      <vt:lpstr>'301'!OSRRefE21_15x_0</vt:lpstr>
      <vt:lpstr>'310'!OSRRefE21_15x_0</vt:lpstr>
      <vt:lpstr>'310 &amp; 491'!OSRRefE21_15x_0</vt:lpstr>
      <vt:lpstr>'315'!OSRRefE21_15x_0</vt:lpstr>
      <vt:lpstr>'326'!OSRRefE21_15x_0</vt:lpstr>
      <vt:lpstr>'331'!OSRRefE21_15x_0</vt:lpstr>
      <vt:lpstr>'405'!OSRRefE21_15x_0</vt:lpstr>
      <vt:lpstr>'415'!OSRRefE21_15x_0</vt:lpstr>
      <vt:lpstr>'418'!OSRRefE21_15x_0</vt:lpstr>
      <vt:lpstr>'433'!OSRRefE21_15x_0</vt:lpstr>
      <vt:lpstr>'444'!OSRRefE21_15x_0</vt:lpstr>
      <vt:lpstr>'450'!OSRRefE21_15x_0</vt:lpstr>
      <vt:lpstr>'491'!OSRRefE21_15x_0</vt:lpstr>
      <vt:lpstr>'492'!OSRRefE21_15x_0</vt:lpstr>
      <vt:lpstr>'Div 2'!OSRRefE21_15x_0</vt:lpstr>
      <vt:lpstr>'Div 3'!OSRRefE21_15x_0</vt:lpstr>
      <vt:lpstr>'Div 4'!OSRRefE21_15x_0</vt:lpstr>
      <vt:lpstr>Summary!OSRRefE21_15x_0</vt:lpstr>
      <vt:lpstr>'201'!OSRRefE21_15x_1</vt:lpstr>
      <vt:lpstr>'300'!OSRRefE21_15x_1</vt:lpstr>
      <vt:lpstr>'300 &amp; 317'!OSRRefE21_15x_1</vt:lpstr>
      <vt:lpstr>'301'!OSRRefE21_15x_1</vt:lpstr>
      <vt:lpstr>'310'!OSRRefE21_15x_1</vt:lpstr>
      <vt:lpstr>'310 &amp; 491'!OSRRefE21_15x_1</vt:lpstr>
      <vt:lpstr>'315'!OSRRefE21_15x_1</vt:lpstr>
      <vt:lpstr>'326'!OSRRefE21_15x_1</vt:lpstr>
      <vt:lpstr>'331'!OSRRefE21_15x_1</vt:lpstr>
      <vt:lpstr>'405'!OSRRefE21_15x_1</vt:lpstr>
      <vt:lpstr>'415'!OSRRefE21_15x_1</vt:lpstr>
      <vt:lpstr>'418'!OSRRefE21_15x_1</vt:lpstr>
      <vt:lpstr>'433'!OSRRefE21_15x_1</vt:lpstr>
      <vt:lpstr>'444'!OSRRefE21_15x_1</vt:lpstr>
      <vt:lpstr>'450'!OSRRefE21_15x_1</vt:lpstr>
      <vt:lpstr>'491'!OSRRefE21_15x_1</vt:lpstr>
      <vt:lpstr>'492'!OSRRefE21_15x_1</vt:lpstr>
      <vt:lpstr>'Div 2'!OSRRefE21_15x_1</vt:lpstr>
      <vt:lpstr>'Div 3'!OSRRefE21_15x_1</vt:lpstr>
      <vt:lpstr>'Div 4'!OSRRefE21_15x_1</vt:lpstr>
      <vt:lpstr>Summary!OSRRefE21_15x_1</vt:lpstr>
      <vt:lpstr>'201'!OSRRefE21_15x_10</vt:lpstr>
      <vt:lpstr>'300'!OSRRefE21_15x_10</vt:lpstr>
      <vt:lpstr>'300 &amp; 317'!OSRRefE21_15x_10</vt:lpstr>
      <vt:lpstr>'301'!OSRRefE21_15x_10</vt:lpstr>
      <vt:lpstr>'310'!OSRRefE21_15x_10</vt:lpstr>
      <vt:lpstr>'310 &amp; 491'!OSRRefE21_15x_10</vt:lpstr>
      <vt:lpstr>'315'!OSRRefE21_15x_10</vt:lpstr>
      <vt:lpstr>'326'!OSRRefE21_15x_10</vt:lpstr>
      <vt:lpstr>'331'!OSRRefE21_15x_10</vt:lpstr>
      <vt:lpstr>'405'!OSRRefE21_15x_10</vt:lpstr>
      <vt:lpstr>'415'!OSRRefE21_15x_10</vt:lpstr>
      <vt:lpstr>'418'!OSRRefE21_15x_10</vt:lpstr>
      <vt:lpstr>'433'!OSRRefE21_15x_10</vt:lpstr>
      <vt:lpstr>'444'!OSRRefE21_15x_10</vt:lpstr>
      <vt:lpstr>'450'!OSRRefE21_15x_10</vt:lpstr>
      <vt:lpstr>'491'!OSRRefE21_15x_10</vt:lpstr>
      <vt:lpstr>'492'!OSRRefE21_15x_10</vt:lpstr>
      <vt:lpstr>'Div 2'!OSRRefE21_15x_10</vt:lpstr>
      <vt:lpstr>'Div 3'!OSRRefE21_15x_10</vt:lpstr>
      <vt:lpstr>'Div 4'!OSRRefE21_15x_10</vt:lpstr>
      <vt:lpstr>Summary!OSRRefE21_15x_10</vt:lpstr>
      <vt:lpstr>'201'!OSRRefE21_15x_2</vt:lpstr>
      <vt:lpstr>'300'!OSRRefE21_15x_2</vt:lpstr>
      <vt:lpstr>'300 &amp; 317'!OSRRefE21_15x_2</vt:lpstr>
      <vt:lpstr>'301'!OSRRefE21_15x_2</vt:lpstr>
      <vt:lpstr>'310'!OSRRefE21_15x_2</vt:lpstr>
      <vt:lpstr>'310 &amp; 491'!OSRRefE21_15x_2</vt:lpstr>
      <vt:lpstr>'315'!OSRRefE21_15x_2</vt:lpstr>
      <vt:lpstr>'326'!OSRRefE21_15x_2</vt:lpstr>
      <vt:lpstr>'331'!OSRRefE21_15x_2</vt:lpstr>
      <vt:lpstr>'405'!OSRRefE21_15x_2</vt:lpstr>
      <vt:lpstr>'415'!OSRRefE21_15x_2</vt:lpstr>
      <vt:lpstr>'418'!OSRRefE21_15x_2</vt:lpstr>
      <vt:lpstr>'433'!OSRRefE21_15x_2</vt:lpstr>
      <vt:lpstr>'444'!OSRRefE21_15x_2</vt:lpstr>
      <vt:lpstr>'450'!OSRRefE21_15x_2</vt:lpstr>
      <vt:lpstr>'491'!OSRRefE21_15x_2</vt:lpstr>
      <vt:lpstr>'492'!OSRRefE21_15x_2</vt:lpstr>
      <vt:lpstr>'Div 2'!OSRRefE21_15x_2</vt:lpstr>
      <vt:lpstr>'Div 3'!OSRRefE21_15x_2</vt:lpstr>
      <vt:lpstr>'Div 4'!OSRRefE21_15x_2</vt:lpstr>
      <vt:lpstr>Summary!OSRRefE21_15x_2</vt:lpstr>
      <vt:lpstr>'201'!OSRRefE21_15x_3</vt:lpstr>
      <vt:lpstr>'300'!OSRRefE21_15x_3</vt:lpstr>
      <vt:lpstr>'300 &amp; 317'!OSRRefE21_15x_3</vt:lpstr>
      <vt:lpstr>'301'!OSRRefE21_15x_3</vt:lpstr>
      <vt:lpstr>'310'!OSRRefE21_15x_3</vt:lpstr>
      <vt:lpstr>'310 &amp; 491'!OSRRefE21_15x_3</vt:lpstr>
      <vt:lpstr>'315'!OSRRefE21_15x_3</vt:lpstr>
      <vt:lpstr>'326'!OSRRefE21_15x_3</vt:lpstr>
      <vt:lpstr>'331'!OSRRefE21_15x_3</vt:lpstr>
      <vt:lpstr>'405'!OSRRefE21_15x_3</vt:lpstr>
      <vt:lpstr>'415'!OSRRefE21_15x_3</vt:lpstr>
      <vt:lpstr>'418'!OSRRefE21_15x_3</vt:lpstr>
      <vt:lpstr>'433'!OSRRefE21_15x_3</vt:lpstr>
      <vt:lpstr>'444'!OSRRefE21_15x_3</vt:lpstr>
      <vt:lpstr>'450'!OSRRefE21_15x_3</vt:lpstr>
      <vt:lpstr>'491'!OSRRefE21_15x_3</vt:lpstr>
      <vt:lpstr>'492'!OSRRefE21_15x_3</vt:lpstr>
      <vt:lpstr>'Div 2'!OSRRefE21_15x_3</vt:lpstr>
      <vt:lpstr>'Div 3'!OSRRefE21_15x_3</vt:lpstr>
      <vt:lpstr>'Div 4'!OSRRefE21_15x_3</vt:lpstr>
      <vt:lpstr>Summary!OSRRefE21_15x_3</vt:lpstr>
      <vt:lpstr>'201'!OSRRefE21_15x_4</vt:lpstr>
      <vt:lpstr>'300'!OSRRefE21_15x_4</vt:lpstr>
      <vt:lpstr>'300 &amp; 317'!OSRRefE21_15x_4</vt:lpstr>
      <vt:lpstr>'301'!OSRRefE21_15x_4</vt:lpstr>
      <vt:lpstr>'310'!OSRRefE21_15x_4</vt:lpstr>
      <vt:lpstr>'310 &amp; 491'!OSRRefE21_15x_4</vt:lpstr>
      <vt:lpstr>'315'!OSRRefE21_15x_4</vt:lpstr>
      <vt:lpstr>'326'!OSRRefE21_15x_4</vt:lpstr>
      <vt:lpstr>'331'!OSRRefE21_15x_4</vt:lpstr>
      <vt:lpstr>'405'!OSRRefE21_15x_4</vt:lpstr>
      <vt:lpstr>'415'!OSRRefE21_15x_4</vt:lpstr>
      <vt:lpstr>'418'!OSRRefE21_15x_4</vt:lpstr>
      <vt:lpstr>'433'!OSRRefE21_15x_4</vt:lpstr>
      <vt:lpstr>'444'!OSRRefE21_15x_4</vt:lpstr>
      <vt:lpstr>'450'!OSRRefE21_15x_4</vt:lpstr>
      <vt:lpstr>'491'!OSRRefE21_15x_4</vt:lpstr>
      <vt:lpstr>'492'!OSRRefE21_15x_4</vt:lpstr>
      <vt:lpstr>'Div 2'!OSRRefE21_15x_4</vt:lpstr>
      <vt:lpstr>'Div 3'!OSRRefE21_15x_4</vt:lpstr>
      <vt:lpstr>'Div 4'!OSRRefE21_15x_4</vt:lpstr>
      <vt:lpstr>Summary!OSRRefE21_15x_4</vt:lpstr>
      <vt:lpstr>'201'!OSRRefE21_15x_5</vt:lpstr>
      <vt:lpstr>'300'!OSRRefE21_15x_5</vt:lpstr>
      <vt:lpstr>'300 &amp; 317'!OSRRefE21_15x_5</vt:lpstr>
      <vt:lpstr>'301'!OSRRefE21_15x_5</vt:lpstr>
      <vt:lpstr>'310'!OSRRefE21_15x_5</vt:lpstr>
      <vt:lpstr>'310 &amp; 491'!OSRRefE21_15x_5</vt:lpstr>
      <vt:lpstr>'315'!OSRRefE21_15x_5</vt:lpstr>
      <vt:lpstr>'326'!OSRRefE21_15x_5</vt:lpstr>
      <vt:lpstr>'331'!OSRRefE21_15x_5</vt:lpstr>
      <vt:lpstr>'405'!OSRRefE21_15x_5</vt:lpstr>
      <vt:lpstr>'415'!OSRRefE21_15x_5</vt:lpstr>
      <vt:lpstr>'418'!OSRRefE21_15x_5</vt:lpstr>
      <vt:lpstr>'433'!OSRRefE21_15x_5</vt:lpstr>
      <vt:lpstr>'444'!OSRRefE21_15x_5</vt:lpstr>
      <vt:lpstr>'450'!OSRRefE21_15x_5</vt:lpstr>
      <vt:lpstr>'491'!OSRRefE21_15x_5</vt:lpstr>
      <vt:lpstr>'492'!OSRRefE21_15x_5</vt:lpstr>
      <vt:lpstr>'Div 2'!OSRRefE21_15x_5</vt:lpstr>
      <vt:lpstr>'Div 3'!OSRRefE21_15x_5</vt:lpstr>
      <vt:lpstr>'Div 4'!OSRRefE21_15x_5</vt:lpstr>
      <vt:lpstr>Summary!OSRRefE21_15x_5</vt:lpstr>
      <vt:lpstr>'201'!OSRRefE21_15x_6</vt:lpstr>
      <vt:lpstr>'300'!OSRRefE21_15x_6</vt:lpstr>
      <vt:lpstr>'300 &amp; 317'!OSRRefE21_15x_6</vt:lpstr>
      <vt:lpstr>'301'!OSRRefE21_15x_6</vt:lpstr>
      <vt:lpstr>'310'!OSRRefE21_15x_6</vt:lpstr>
      <vt:lpstr>'310 &amp; 491'!OSRRefE21_15x_6</vt:lpstr>
      <vt:lpstr>'315'!OSRRefE21_15x_6</vt:lpstr>
      <vt:lpstr>'326'!OSRRefE21_15x_6</vt:lpstr>
      <vt:lpstr>'331'!OSRRefE21_15x_6</vt:lpstr>
      <vt:lpstr>'405'!OSRRefE21_15x_6</vt:lpstr>
      <vt:lpstr>'415'!OSRRefE21_15x_6</vt:lpstr>
      <vt:lpstr>'418'!OSRRefE21_15x_6</vt:lpstr>
      <vt:lpstr>'433'!OSRRefE21_15x_6</vt:lpstr>
      <vt:lpstr>'444'!OSRRefE21_15x_6</vt:lpstr>
      <vt:lpstr>'450'!OSRRefE21_15x_6</vt:lpstr>
      <vt:lpstr>'491'!OSRRefE21_15x_6</vt:lpstr>
      <vt:lpstr>'492'!OSRRefE21_15x_6</vt:lpstr>
      <vt:lpstr>'Div 2'!OSRRefE21_15x_6</vt:lpstr>
      <vt:lpstr>'Div 3'!OSRRefE21_15x_6</vt:lpstr>
      <vt:lpstr>'Div 4'!OSRRefE21_15x_6</vt:lpstr>
      <vt:lpstr>Summary!OSRRefE21_15x_6</vt:lpstr>
      <vt:lpstr>'201'!OSRRefE21_15x_7</vt:lpstr>
      <vt:lpstr>'300'!OSRRefE21_15x_7</vt:lpstr>
      <vt:lpstr>'300 &amp; 317'!OSRRefE21_15x_7</vt:lpstr>
      <vt:lpstr>'301'!OSRRefE21_15x_7</vt:lpstr>
      <vt:lpstr>'310'!OSRRefE21_15x_7</vt:lpstr>
      <vt:lpstr>'310 &amp; 491'!OSRRefE21_15x_7</vt:lpstr>
      <vt:lpstr>'315'!OSRRefE21_15x_7</vt:lpstr>
      <vt:lpstr>'326'!OSRRefE21_15x_7</vt:lpstr>
      <vt:lpstr>'331'!OSRRefE21_15x_7</vt:lpstr>
      <vt:lpstr>'405'!OSRRefE21_15x_7</vt:lpstr>
      <vt:lpstr>'415'!OSRRefE21_15x_7</vt:lpstr>
      <vt:lpstr>'418'!OSRRefE21_15x_7</vt:lpstr>
      <vt:lpstr>'433'!OSRRefE21_15x_7</vt:lpstr>
      <vt:lpstr>'444'!OSRRefE21_15x_7</vt:lpstr>
      <vt:lpstr>'450'!OSRRefE21_15x_7</vt:lpstr>
      <vt:lpstr>'491'!OSRRefE21_15x_7</vt:lpstr>
      <vt:lpstr>'492'!OSRRefE21_15x_7</vt:lpstr>
      <vt:lpstr>'Div 2'!OSRRefE21_15x_7</vt:lpstr>
      <vt:lpstr>'Div 3'!OSRRefE21_15x_7</vt:lpstr>
      <vt:lpstr>'Div 4'!OSRRefE21_15x_7</vt:lpstr>
      <vt:lpstr>Summary!OSRRefE21_15x_7</vt:lpstr>
      <vt:lpstr>'201'!OSRRefE21_15x_8</vt:lpstr>
      <vt:lpstr>'300'!OSRRefE21_15x_8</vt:lpstr>
      <vt:lpstr>'300 &amp; 317'!OSRRefE21_15x_8</vt:lpstr>
      <vt:lpstr>'301'!OSRRefE21_15x_8</vt:lpstr>
      <vt:lpstr>'310'!OSRRefE21_15x_8</vt:lpstr>
      <vt:lpstr>'310 &amp; 491'!OSRRefE21_15x_8</vt:lpstr>
      <vt:lpstr>'315'!OSRRefE21_15x_8</vt:lpstr>
      <vt:lpstr>'326'!OSRRefE21_15x_8</vt:lpstr>
      <vt:lpstr>'331'!OSRRefE21_15x_8</vt:lpstr>
      <vt:lpstr>'405'!OSRRefE21_15x_8</vt:lpstr>
      <vt:lpstr>'415'!OSRRefE21_15x_8</vt:lpstr>
      <vt:lpstr>'418'!OSRRefE21_15x_8</vt:lpstr>
      <vt:lpstr>'433'!OSRRefE21_15x_8</vt:lpstr>
      <vt:lpstr>'444'!OSRRefE21_15x_8</vt:lpstr>
      <vt:lpstr>'450'!OSRRefE21_15x_8</vt:lpstr>
      <vt:lpstr>'491'!OSRRefE21_15x_8</vt:lpstr>
      <vt:lpstr>'492'!OSRRefE21_15x_8</vt:lpstr>
      <vt:lpstr>'Div 2'!OSRRefE21_15x_8</vt:lpstr>
      <vt:lpstr>'Div 3'!OSRRefE21_15x_8</vt:lpstr>
      <vt:lpstr>'Div 4'!OSRRefE21_15x_8</vt:lpstr>
      <vt:lpstr>Summary!OSRRefE21_15x_8</vt:lpstr>
      <vt:lpstr>'201'!OSRRefE21_15x_9</vt:lpstr>
      <vt:lpstr>'300'!OSRRefE21_15x_9</vt:lpstr>
      <vt:lpstr>'300 &amp; 317'!OSRRefE21_15x_9</vt:lpstr>
      <vt:lpstr>'301'!OSRRefE21_15x_9</vt:lpstr>
      <vt:lpstr>'310'!OSRRefE21_15x_9</vt:lpstr>
      <vt:lpstr>'310 &amp; 491'!OSRRefE21_15x_9</vt:lpstr>
      <vt:lpstr>'315'!OSRRefE21_15x_9</vt:lpstr>
      <vt:lpstr>'326'!OSRRefE21_15x_9</vt:lpstr>
      <vt:lpstr>'331'!OSRRefE21_15x_9</vt:lpstr>
      <vt:lpstr>'405'!OSRRefE21_15x_9</vt:lpstr>
      <vt:lpstr>'415'!OSRRefE21_15x_9</vt:lpstr>
      <vt:lpstr>'418'!OSRRefE21_15x_9</vt:lpstr>
      <vt:lpstr>'433'!OSRRefE21_15x_9</vt:lpstr>
      <vt:lpstr>'444'!OSRRefE21_15x_9</vt:lpstr>
      <vt:lpstr>'450'!OSRRefE21_15x_9</vt:lpstr>
      <vt:lpstr>'491'!OSRRefE21_15x_9</vt:lpstr>
      <vt:lpstr>'492'!OSRRefE21_15x_9</vt:lpstr>
      <vt:lpstr>'Div 2'!OSRRefE21_15x_9</vt:lpstr>
      <vt:lpstr>'Div 3'!OSRRefE21_15x_9</vt:lpstr>
      <vt:lpstr>'Div 4'!OSRRefE21_15x_9</vt:lpstr>
      <vt:lpstr>Summary!OSRRefE21_15x_9</vt:lpstr>
      <vt:lpstr>'300'!OSRRefE21_16_0x</vt:lpstr>
      <vt:lpstr>'300 &amp; 317'!OSRRefE21_16_0x</vt:lpstr>
      <vt:lpstr>'301'!OSRRefE21_16_0x</vt:lpstr>
      <vt:lpstr>'310'!OSRRefE21_16_0x</vt:lpstr>
      <vt:lpstr>'310 &amp; 491'!OSRRefE21_16_0x</vt:lpstr>
      <vt:lpstr>'326'!OSRRefE21_16_0x</vt:lpstr>
      <vt:lpstr>'331'!OSRRefE21_16_0x</vt:lpstr>
      <vt:lpstr>'415'!OSRRefE21_16_0x</vt:lpstr>
      <vt:lpstr>'444'!OSRRefE21_16_0x</vt:lpstr>
      <vt:lpstr>'491'!OSRRefE21_16_0x</vt:lpstr>
      <vt:lpstr>'492'!OSRRefE21_16_0x</vt:lpstr>
      <vt:lpstr>'Div 2'!OSRRefE21_16_0x</vt:lpstr>
      <vt:lpstr>'Div 3'!OSRRefE21_16_0x</vt:lpstr>
      <vt:lpstr>'Div 4'!OSRRefE21_16_0x</vt:lpstr>
      <vt:lpstr>Summary!OSRRefE21_16_0x</vt:lpstr>
      <vt:lpstr>'300'!OSRRefE21_16_1x</vt:lpstr>
      <vt:lpstr>'300 &amp; 317'!OSRRefE21_16_1x</vt:lpstr>
      <vt:lpstr>'301'!OSRRefE21_16_1x</vt:lpstr>
      <vt:lpstr>'310 &amp; 491'!OSRRefE21_16_1x</vt:lpstr>
      <vt:lpstr>'331'!OSRRefE21_16_1x</vt:lpstr>
      <vt:lpstr>'491'!OSRRefE21_16_1x</vt:lpstr>
      <vt:lpstr>'492'!OSRRefE21_16_1x</vt:lpstr>
      <vt:lpstr>'Div 2'!OSRRefE21_16_1x</vt:lpstr>
      <vt:lpstr>'Div 4'!OSRRefE21_16_1x</vt:lpstr>
      <vt:lpstr>'300'!OSRRefE21_16_2x</vt:lpstr>
      <vt:lpstr>'300 &amp; 317'!OSRRefE21_16_2x</vt:lpstr>
      <vt:lpstr>'301'!OSRRefE21_16_2x</vt:lpstr>
      <vt:lpstr>'310 &amp; 491'!OSRRefE21_16_2x</vt:lpstr>
      <vt:lpstr>'331'!OSRRefE21_16_2x</vt:lpstr>
      <vt:lpstr>'Div 2'!OSRRefE21_16_2x</vt:lpstr>
      <vt:lpstr>'300'!OSRRefE21_16_3x</vt:lpstr>
      <vt:lpstr>'300 &amp; 317'!OSRRefE21_16_3x</vt:lpstr>
      <vt:lpstr>'301'!OSRRefE21_16_3x</vt:lpstr>
      <vt:lpstr>'310 &amp; 491'!OSRRefE21_16_3x</vt:lpstr>
      <vt:lpstr>'331'!OSRRefE21_16_3x</vt:lpstr>
      <vt:lpstr>'Div 2'!OSRRefE21_16_3x</vt:lpstr>
      <vt:lpstr>'301'!OSRRefE21_16_4x</vt:lpstr>
      <vt:lpstr>'310 &amp; 491'!OSRRefE21_16_4x</vt:lpstr>
      <vt:lpstr>'Div 2'!OSRRefE21_16_4x</vt:lpstr>
      <vt:lpstr>'310 &amp; 491'!OSRRefE21_16_5x</vt:lpstr>
      <vt:lpstr>'310 &amp; 491'!OSRRefE21_16_6x</vt:lpstr>
      <vt:lpstr>'310 &amp; 491'!OSRRefE21_16_7x</vt:lpstr>
      <vt:lpstr>'310 &amp; 491'!OSRRefE21_16_8x</vt:lpstr>
      <vt:lpstr>'310 &amp; 491'!OSRRefE21_16_9x</vt:lpstr>
      <vt:lpstr>'300'!OSRRefE21_16x_0</vt:lpstr>
      <vt:lpstr>'300 &amp; 317'!OSRRefE21_16x_0</vt:lpstr>
      <vt:lpstr>'301'!OSRRefE21_16x_0</vt:lpstr>
      <vt:lpstr>'310'!OSRRefE21_16x_0</vt:lpstr>
      <vt:lpstr>'310 &amp; 491'!OSRRefE21_16x_0</vt:lpstr>
      <vt:lpstr>'326'!OSRRefE21_16x_0</vt:lpstr>
      <vt:lpstr>'331'!OSRRefE21_16x_0</vt:lpstr>
      <vt:lpstr>'415'!OSRRefE21_16x_0</vt:lpstr>
      <vt:lpstr>'444'!OSRRefE21_16x_0</vt:lpstr>
      <vt:lpstr>'491'!OSRRefE21_16x_0</vt:lpstr>
      <vt:lpstr>'492'!OSRRefE21_16x_0</vt:lpstr>
      <vt:lpstr>'Div 2'!OSRRefE21_16x_0</vt:lpstr>
      <vt:lpstr>'Div 3'!OSRRefE21_16x_0</vt:lpstr>
      <vt:lpstr>'Div 4'!OSRRefE21_16x_0</vt:lpstr>
      <vt:lpstr>Summary!OSRRefE21_16x_0</vt:lpstr>
      <vt:lpstr>'300'!OSRRefE21_16x_1</vt:lpstr>
      <vt:lpstr>'300 &amp; 317'!OSRRefE21_16x_1</vt:lpstr>
      <vt:lpstr>'301'!OSRRefE21_16x_1</vt:lpstr>
      <vt:lpstr>'310'!OSRRefE21_16x_1</vt:lpstr>
      <vt:lpstr>'310 &amp; 491'!OSRRefE21_16x_1</vt:lpstr>
      <vt:lpstr>'326'!OSRRefE21_16x_1</vt:lpstr>
      <vt:lpstr>'331'!OSRRefE21_16x_1</vt:lpstr>
      <vt:lpstr>'415'!OSRRefE21_16x_1</vt:lpstr>
      <vt:lpstr>'444'!OSRRefE21_16x_1</vt:lpstr>
      <vt:lpstr>'491'!OSRRefE21_16x_1</vt:lpstr>
      <vt:lpstr>'492'!OSRRefE21_16x_1</vt:lpstr>
      <vt:lpstr>'Div 2'!OSRRefE21_16x_1</vt:lpstr>
      <vt:lpstr>'Div 3'!OSRRefE21_16x_1</vt:lpstr>
      <vt:lpstr>'Div 4'!OSRRefE21_16x_1</vt:lpstr>
      <vt:lpstr>Summary!OSRRefE21_16x_1</vt:lpstr>
      <vt:lpstr>'300'!OSRRefE21_16x_10</vt:lpstr>
      <vt:lpstr>'300 &amp; 317'!OSRRefE21_16x_10</vt:lpstr>
      <vt:lpstr>'301'!OSRRefE21_16x_10</vt:lpstr>
      <vt:lpstr>'310'!OSRRefE21_16x_10</vt:lpstr>
      <vt:lpstr>'310 &amp; 491'!OSRRefE21_16x_10</vt:lpstr>
      <vt:lpstr>'326'!OSRRefE21_16x_10</vt:lpstr>
      <vt:lpstr>'331'!OSRRefE21_16x_10</vt:lpstr>
      <vt:lpstr>'415'!OSRRefE21_16x_10</vt:lpstr>
      <vt:lpstr>'444'!OSRRefE21_16x_10</vt:lpstr>
      <vt:lpstr>'491'!OSRRefE21_16x_10</vt:lpstr>
      <vt:lpstr>'492'!OSRRefE21_16x_10</vt:lpstr>
      <vt:lpstr>'Div 2'!OSRRefE21_16x_10</vt:lpstr>
      <vt:lpstr>'Div 3'!OSRRefE21_16x_10</vt:lpstr>
      <vt:lpstr>'Div 4'!OSRRefE21_16x_10</vt:lpstr>
      <vt:lpstr>Summary!OSRRefE21_16x_10</vt:lpstr>
      <vt:lpstr>'300'!OSRRefE21_16x_2</vt:lpstr>
      <vt:lpstr>'300 &amp; 317'!OSRRefE21_16x_2</vt:lpstr>
      <vt:lpstr>'301'!OSRRefE21_16x_2</vt:lpstr>
      <vt:lpstr>'310'!OSRRefE21_16x_2</vt:lpstr>
      <vt:lpstr>'310 &amp; 491'!OSRRefE21_16x_2</vt:lpstr>
      <vt:lpstr>'326'!OSRRefE21_16x_2</vt:lpstr>
      <vt:lpstr>'331'!OSRRefE21_16x_2</vt:lpstr>
      <vt:lpstr>'415'!OSRRefE21_16x_2</vt:lpstr>
      <vt:lpstr>'444'!OSRRefE21_16x_2</vt:lpstr>
      <vt:lpstr>'491'!OSRRefE21_16x_2</vt:lpstr>
      <vt:lpstr>'492'!OSRRefE21_16x_2</vt:lpstr>
      <vt:lpstr>'Div 2'!OSRRefE21_16x_2</vt:lpstr>
      <vt:lpstr>'Div 3'!OSRRefE21_16x_2</vt:lpstr>
      <vt:lpstr>'Div 4'!OSRRefE21_16x_2</vt:lpstr>
      <vt:lpstr>Summary!OSRRefE21_16x_2</vt:lpstr>
      <vt:lpstr>'300'!OSRRefE21_16x_3</vt:lpstr>
      <vt:lpstr>'300 &amp; 317'!OSRRefE21_16x_3</vt:lpstr>
      <vt:lpstr>'301'!OSRRefE21_16x_3</vt:lpstr>
      <vt:lpstr>'310'!OSRRefE21_16x_3</vt:lpstr>
      <vt:lpstr>'310 &amp; 491'!OSRRefE21_16x_3</vt:lpstr>
      <vt:lpstr>'326'!OSRRefE21_16x_3</vt:lpstr>
      <vt:lpstr>'331'!OSRRefE21_16x_3</vt:lpstr>
      <vt:lpstr>'415'!OSRRefE21_16x_3</vt:lpstr>
      <vt:lpstr>'444'!OSRRefE21_16x_3</vt:lpstr>
      <vt:lpstr>'491'!OSRRefE21_16x_3</vt:lpstr>
      <vt:lpstr>'492'!OSRRefE21_16x_3</vt:lpstr>
      <vt:lpstr>'Div 2'!OSRRefE21_16x_3</vt:lpstr>
      <vt:lpstr>'Div 3'!OSRRefE21_16x_3</vt:lpstr>
      <vt:lpstr>'Div 4'!OSRRefE21_16x_3</vt:lpstr>
      <vt:lpstr>Summary!OSRRefE21_16x_3</vt:lpstr>
      <vt:lpstr>'300'!OSRRefE21_16x_4</vt:lpstr>
      <vt:lpstr>'300 &amp; 317'!OSRRefE21_16x_4</vt:lpstr>
      <vt:lpstr>'301'!OSRRefE21_16x_4</vt:lpstr>
      <vt:lpstr>'310'!OSRRefE21_16x_4</vt:lpstr>
      <vt:lpstr>'310 &amp; 491'!OSRRefE21_16x_4</vt:lpstr>
      <vt:lpstr>'326'!OSRRefE21_16x_4</vt:lpstr>
      <vt:lpstr>'331'!OSRRefE21_16x_4</vt:lpstr>
      <vt:lpstr>'415'!OSRRefE21_16x_4</vt:lpstr>
      <vt:lpstr>'444'!OSRRefE21_16x_4</vt:lpstr>
      <vt:lpstr>'491'!OSRRefE21_16x_4</vt:lpstr>
      <vt:lpstr>'492'!OSRRefE21_16x_4</vt:lpstr>
      <vt:lpstr>'Div 2'!OSRRefE21_16x_4</vt:lpstr>
      <vt:lpstr>'Div 3'!OSRRefE21_16x_4</vt:lpstr>
      <vt:lpstr>'Div 4'!OSRRefE21_16x_4</vt:lpstr>
      <vt:lpstr>Summary!OSRRefE21_16x_4</vt:lpstr>
      <vt:lpstr>'300'!OSRRefE21_16x_5</vt:lpstr>
      <vt:lpstr>'300 &amp; 317'!OSRRefE21_16x_5</vt:lpstr>
      <vt:lpstr>'301'!OSRRefE21_16x_5</vt:lpstr>
      <vt:lpstr>'310'!OSRRefE21_16x_5</vt:lpstr>
      <vt:lpstr>'310 &amp; 491'!OSRRefE21_16x_5</vt:lpstr>
      <vt:lpstr>'326'!OSRRefE21_16x_5</vt:lpstr>
      <vt:lpstr>'331'!OSRRefE21_16x_5</vt:lpstr>
      <vt:lpstr>'415'!OSRRefE21_16x_5</vt:lpstr>
      <vt:lpstr>'444'!OSRRefE21_16x_5</vt:lpstr>
      <vt:lpstr>'491'!OSRRefE21_16x_5</vt:lpstr>
      <vt:lpstr>'492'!OSRRefE21_16x_5</vt:lpstr>
      <vt:lpstr>'Div 2'!OSRRefE21_16x_5</vt:lpstr>
      <vt:lpstr>'Div 3'!OSRRefE21_16x_5</vt:lpstr>
      <vt:lpstr>'Div 4'!OSRRefE21_16x_5</vt:lpstr>
      <vt:lpstr>Summary!OSRRefE21_16x_5</vt:lpstr>
      <vt:lpstr>'300'!OSRRefE21_16x_6</vt:lpstr>
      <vt:lpstr>'300 &amp; 317'!OSRRefE21_16x_6</vt:lpstr>
      <vt:lpstr>'301'!OSRRefE21_16x_6</vt:lpstr>
      <vt:lpstr>'310'!OSRRefE21_16x_6</vt:lpstr>
      <vt:lpstr>'310 &amp; 491'!OSRRefE21_16x_6</vt:lpstr>
      <vt:lpstr>'326'!OSRRefE21_16x_6</vt:lpstr>
      <vt:lpstr>'331'!OSRRefE21_16x_6</vt:lpstr>
      <vt:lpstr>'415'!OSRRefE21_16x_6</vt:lpstr>
      <vt:lpstr>'444'!OSRRefE21_16x_6</vt:lpstr>
      <vt:lpstr>'491'!OSRRefE21_16x_6</vt:lpstr>
      <vt:lpstr>'492'!OSRRefE21_16x_6</vt:lpstr>
      <vt:lpstr>'Div 2'!OSRRefE21_16x_6</vt:lpstr>
      <vt:lpstr>'Div 3'!OSRRefE21_16x_6</vt:lpstr>
      <vt:lpstr>'Div 4'!OSRRefE21_16x_6</vt:lpstr>
      <vt:lpstr>Summary!OSRRefE21_16x_6</vt:lpstr>
      <vt:lpstr>'300'!OSRRefE21_16x_7</vt:lpstr>
      <vt:lpstr>'300 &amp; 317'!OSRRefE21_16x_7</vt:lpstr>
      <vt:lpstr>'301'!OSRRefE21_16x_7</vt:lpstr>
      <vt:lpstr>'310'!OSRRefE21_16x_7</vt:lpstr>
      <vt:lpstr>'310 &amp; 491'!OSRRefE21_16x_7</vt:lpstr>
      <vt:lpstr>'326'!OSRRefE21_16x_7</vt:lpstr>
      <vt:lpstr>'331'!OSRRefE21_16x_7</vt:lpstr>
      <vt:lpstr>'415'!OSRRefE21_16x_7</vt:lpstr>
      <vt:lpstr>'444'!OSRRefE21_16x_7</vt:lpstr>
      <vt:lpstr>'491'!OSRRefE21_16x_7</vt:lpstr>
      <vt:lpstr>'492'!OSRRefE21_16x_7</vt:lpstr>
      <vt:lpstr>'Div 2'!OSRRefE21_16x_7</vt:lpstr>
      <vt:lpstr>'Div 3'!OSRRefE21_16x_7</vt:lpstr>
      <vt:lpstr>'Div 4'!OSRRefE21_16x_7</vt:lpstr>
      <vt:lpstr>Summary!OSRRefE21_16x_7</vt:lpstr>
      <vt:lpstr>'300'!OSRRefE21_16x_8</vt:lpstr>
      <vt:lpstr>'300 &amp; 317'!OSRRefE21_16x_8</vt:lpstr>
      <vt:lpstr>'301'!OSRRefE21_16x_8</vt:lpstr>
      <vt:lpstr>'310'!OSRRefE21_16x_8</vt:lpstr>
      <vt:lpstr>'310 &amp; 491'!OSRRefE21_16x_8</vt:lpstr>
      <vt:lpstr>'326'!OSRRefE21_16x_8</vt:lpstr>
      <vt:lpstr>'331'!OSRRefE21_16x_8</vt:lpstr>
      <vt:lpstr>'415'!OSRRefE21_16x_8</vt:lpstr>
      <vt:lpstr>'444'!OSRRefE21_16x_8</vt:lpstr>
      <vt:lpstr>'491'!OSRRefE21_16x_8</vt:lpstr>
      <vt:lpstr>'492'!OSRRefE21_16x_8</vt:lpstr>
      <vt:lpstr>'Div 2'!OSRRefE21_16x_8</vt:lpstr>
      <vt:lpstr>'Div 3'!OSRRefE21_16x_8</vt:lpstr>
      <vt:lpstr>'Div 4'!OSRRefE21_16x_8</vt:lpstr>
      <vt:lpstr>Summary!OSRRefE21_16x_8</vt:lpstr>
      <vt:lpstr>'300'!OSRRefE21_16x_9</vt:lpstr>
      <vt:lpstr>'300 &amp; 317'!OSRRefE21_16x_9</vt:lpstr>
      <vt:lpstr>'301'!OSRRefE21_16x_9</vt:lpstr>
      <vt:lpstr>'310'!OSRRefE21_16x_9</vt:lpstr>
      <vt:lpstr>'310 &amp; 491'!OSRRefE21_16x_9</vt:lpstr>
      <vt:lpstr>'326'!OSRRefE21_16x_9</vt:lpstr>
      <vt:lpstr>'331'!OSRRefE21_16x_9</vt:lpstr>
      <vt:lpstr>'415'!OSRRefE21_16x_9</vt:lpstr>
      <vt:lpstr>'444'!OSRRefE21_16x_9</vt:lpstr>
      <vt:lpstr>'491'!OSRRefE21_16x_9</vt:lpstr>
      <vt:lpstr>'492'!OSRRefE21_16x_9</vt:lpstr>
      <vt:lpstr>'Div 2'!OSRRefE21_16x_9</vt:lpstr>
      <vt:lpstr>'Div 3'!OSRRefE21_16x_9</vt:lpstr>
      <vt:lpstr>'Div 4'!OSRRefE21_16x_9</vt:lpstr>
      <vt:lpstr>Summary!OSRRefE21_16x_9</vt:lpstr>
      <vt:lpstr>'300'!OSRRefE21_17_0x</vt:lpstr>
      <vt:lpstr>'300 &amp; 317'!OSRRefE21_17_0x</vt:lpstr>
      <vt:lpstr>'301'!OSRRefE21_17_0x</vt:lpstr>
      <vt:lpstr>'310'!OSRRefE21_17_0x</vt:lpstr>
      <vt:lpstr>'310 &amp; 491'!OSRRefE21_17_0x</vt:lpstr>
      <vt:lpstr>'331'!OSRRefE21_17_0x</vt:lpstr>
      <vt:lpstr>'415'!OSRRefE21_17_0x</vt:lpstr>
      <vt:lpstr>'491'!OSRRefE21_17_0x</vt:lpstr>
      <vt:lpstr>'492'!OSRRefE21_17_0x</vt:lpstr>
      <vt:lpstr>'Div 2'!OSRRefE21_17_0x</vt:lpstr>
      <vt:lpstr>'Div 3'!OSRRefE21_17_0x</vt:lpstr>
      <vt:lpstr>'Div 4'!OSRRefE21_17_0x</vt:lpstr>
      <vt:lpstr>Summary!OSRRefE21_17_0x</vt:lpstr>
      <vt:lpstr>'300'!OSRRefE21_17_1x</vt:lpstr>
      <vt:lpstr>'300 &amp; 317'!OSRRefE21_17_1x</vt:lpstr>
      <vt:lpstr>'310 &amp; 491'!OSRRefE21_17_1x</vt:lpstr>
      <vt:lpstr>'Div 2'!OSRRefE21_17_1x</vt:lpstr>
      <vt:lpstr>'Div 3'!OSRRefE21_17_1x</vt:lpstr>
      <vt:lpstr>'Div 4'!OSRRefE21_17_1x</vt:lpstr>
      <vt:lpstr>'300'!OSRRefE21_17_2x</vt:lpstr>
      <vt:lpstr>'300 &amp; 317'!OSRRefE21_17_2x</vt:lpstr>
      <vt:lpstr>'Div 3'!OSRRefE21_17_2x</vt:lpstr>
      <vt:lpstr>'Div 4'!OSRRefE21_17_2x</vt:lpstr>
      <vt:lpstr>'300'!OSRRefE21_17_3x</vt:lpstr>
      <vt:lpstr>'300 &amp; 317'!OSRRefE21_17_3x</vt:lpstr>
      <vt:lpstr>'Div 3'!OSRRefE21_17_3x</vt:lpstr>
      <vt:lpstr>'Div 4'!OSRRefE21_17_3x</vt:lpstr>
      <vt:lpstr>'Div 4'!OSRRefE21_17_4x</vt:lpstr>
      <vt:lpstr>'Div 4'!OSRRefE21_17_5x</vt:lpstr>
      <vt:lpstr>'Div 4'!OSRRefE21_17_6x</vt:lpstr>
      <vt:lpstr>'Div 4'!OSRRefE21_17_7x</vt:lpstr>
      <vt:lpstr>'Div 4'!OSRRefE21_17_8x</vt:lpstr>
      <vt:lpstr>'Div 4'!OSRRefE21_17_9x</vt:lpstr>
      <vt:lpstr>'300'!OSRRefE21_17x_0</vt:lpstr>
      <vt:lpstr>'300 &amp; 317'!OSRRefE21_17x_0</vt:lpstr>
      <vt:lpstr>'301'!OSRRefE21_17x_0</vt:lpstr>
      <vt:lpstr>'310'!OSRRefE21_17x_0</vt:lpstr>
      <vt:lpstr>'310 &amp; 491'!OSRRefE21_17x_0</vt:lpstr>
      <vt:lpstr>'331'!OSRRefE21_17x_0</vt:lpstr>
      <vt:lpstr>'415'!OSRRefE21_17x_0</vt:lpstr>
      <vt:lpstr>'491'!OSRRefE21_17x_0</vt:lpstr>
      <vt:lpstr>'492'!OSRRefE21_17x_0</vt:lpstr>
      <vt:lpstr>'Div 2'!OSRRefE21_17x_0</vt:lpstr>
      <vt:lpstr>'Div 3'!OSRRefE21_17x_0</vt:lpstr>
      <vt:lpstr>'Div 4'!OSRRefE21_17x_0</vt:lpstr>
      <vt:lpstr>Summary!OSRRefE21_17x_0</vt:lpstr>
      <vt:lpstr>'300'!OSRRefE21_17x_1</vt:lpstr>
      <vt:lpstr>'300 &amp; 317'!OSRRefE21_17x_1</vt:lpstr>
      <vt:lpstr>'301'!OSRRefE21_17x_1</vt:lpstr>
      <vt:lpstr>'310'!OSRRefE21_17x_1</vt:lpstr>
      <vt:lpstr>'310 &amp; 491'!OSRRefE21_17x_1</vt:lpstr>
      <vt:lpstr>'331'!OSRRefE21_17x_1</vt:lpstr>
      <vt:lpstr>'415'!OSRRefE21_17x_1</vt:lpstr>
      <vt:lpstr>'491'!OSRRefE21_17x_1</vt:lpstr>
      <vt:lpstr>'492'!OSRRefE21_17x_1</vt:lpstr>
      <vt:lpstr>'Div 2'!OSRRefE21_17x_1</vt:lpstr>
      <vt:lpstr>'Div 3'!OSRRefE21_17x_1</vt:lpstr>
      <vt:lpstr>'Div 4'!OSRRefE21_17x_1</vt:lpstr>
      <vt:lpstr>Summary!OSRRefE21_17x_1</vt:lpstr>
      <vt:lpstr>'300'!OSRRefE21_17x_10</vt:lpstr>
      <vt:lpstr>'300 &amp; 317'!OSRRefE21_17x_10</vt:lpstr>
      <vt:lpstr>'301'!OSRRefE21_17x_10</vt:lpstr>
      <vt:lpstr>'310'!OSRRefE21_17x_10</vt:lpstr>
      <vt:lpstr>'310 &amp; 491'!OSRRefE21_17x_10</vt:lpstr>
      <vt:lpstr>'331'!OSRRefE21_17x_10</vt:lpstr>
      <vt:lpstr>'415'!OSRRefE21_17x_10</vt:lpstr>
      <vt:lpstr>'491'!OSRRefE21_17x_10</vt:lpstr>
      <vt:lpstr>'492'!OSRRefE21_17x_10</vt:lpstr>
      <vt:lpstr>'Div 2'!OSRRefE21_17x_10</vt:lpstr>
      <vt:lpstr>'Div 3'!OSRRefE21_17x_10</vt:lpstr>
      <vt:lpstr>'Div 4'!OSRRefE21_17x_10</vt:lpstr>
      <vt:lpstr>Summary!OSRRefE21_17x_10</vt:lpstr>
      <vt:lpstr>'300'!OSRRefE21_17x_2</vt:lpstr>
      <vt:lpstr>'300 &amp; 317'!OSRRefE21_17x_2</vt:lpstr>
      <vt:lpstr>'301'!OSRRefE21_17x_2</vt:lpstr>
      <vt:lpstr>'310'!OSRRefE21_17x_2</vt:lpstr>
      <vt:lpstr>'310 &amp; 491'!OSRRefE21_17x_2</vt:lpstr>
      <vt:lpstr>'331'!OSRRefE21_17x_2</vt:lpstr>
      <vt:lpstr>'415'!OSRRefE21_17x_2</vt:lpstr>
      <vt:lpstr>'491'!OSRRefE21_17x_2</vt:lpstr>
      <vt:lpstr>'492'!OSRRefE21_17x_2</vt:lpstr>
      <vt:lpstr>'Div 2'!OSRRefE21_17x_2</vt:lpstr>
      <vt:lpstr>'Div 3'!OSRRefE21_17x_2</vt:lpstr>
      <vt:lpstr>'Div 4'!OSRRefE21_17x_2</vt:lpstr>
      <vt:lpstr>Summary!OSRRefE21_17x_2</vt:lpstr>
      <vt:lpstr>'300'!OSRRefE21_17x_3</vt:lpstr>
      <vt:lpstr>'300 &amp; 317'!OSRRefE21_17x_3</vt:lpstr>
      <vt:lpstr>'301'!OSRRefE21_17x_3</vt:lpstr>
      <vt:lpstr>'310'!OSRRefE21_17x_3</vt:lpstr>
      <vt:lpstr>'310 &amp; 491'!OSRRefE21_17x_3</vt:lpstr>
      <vt:lpstr>'331'!OSRRefE21_17x_3</vt:lpstr>
      <vt:lpstr>'415'!OSRRefE21_17x_3</vt:lpstr>
      <vt:lpstr>'491'!OSRRefE21_17x_3</vt:lpstr>
      <vt:lpstr>'492'!OSRRefE21_17x_3</vt:lpstr>
      <vt:lpstr>'Div 2'!OSRRefE21_17x_3</vt:lpstr>
      <vt:lpstr>'Div 3'!OSRRefE21_17x_3</vt:lpstr>
      <vt:lpstr>'Div 4'!OSRRefE21_17x_3</vt:lpstr>
      <vt:lpstr>Summary!OSRRefE21_17x_3</vt:lpstr>
      <vt:lpstr>'300'!OSRRefE21_17x_4</vt:lpstr>
      <vt:lpstr>'300 &amp; 317'!OSRRefE21_17x_4</vt:lpstr>
      <vt:lpstr>'301'!OSRRefE21_17x_4</vt:lpstr>
      <vt:lpstr>'310'!OSRRefE21_17x_4</vt:lpstr>
      <vt:lpstr>'310 &amp; 491'!OSRRefE21_17x_4</vt:lpstr>
      <vt:lpstr>'331'!OSRRefE21_17x_4</vt:lpstr>
      <vt:lpstr>'415'!OSRRefE21_17x_4</vt:lpstr>
      <vt:lpstr>'491'!OSRRefE21_17x_4</vt:lpstr>
      <vt:lpstr>'492'!OSRRefE21_17x_4</vt:lpstr>
      <vt:lpstr>'Div 2'!OSRRefE21_17x_4</vt:lpstr>
      <vt:lpstr>'Div 3'!OSRRefE21_17x_4</vt:lpstr>
      <vt:lpstr>'Div 4'!OSRRefE21_17x_4</vt:lpstr>
      <vt:lpstr>Summary!OSRRefE21_17x_4</vt:lpstr>
      <vt:lpstr>'300'!OSRRefE21_17x_5</vt:lpstr>
      <vt:lpstr>'300 &amp; 317'!OSRRefE21_17x_5</vt:lpstr>
      <vt:lpstr>'301'!OSRRefE21_17x_5</vt:lpstr>
      <vt:lpstr>'310'!OSRRefE21_17x_5</vt:lpstr>
      <vt:lpstr>'310 &amp; 491'!OSRRefE21_17x_5</vt:lpstr>
      <vt:lpstr>'331'!OSRRefE21_17x_5</vt:lpstr>
      <vt:lpstr>'415'!OSRRefE21_17x_5</vt:lpstr>
      <vt:lpstr>'491'!OSRRefE21_17x_5</vt:lpstr>
      <vt:lpstr>'492'!OSRRefE21_17x_5</vt:lpstr>
      <vt:lpstr>'Div 2'!OSRRefE21_17x_5</vt:lpstr>
      <vt:lpstr>'Div 3'!OSRRefE21_17x_5</vt:lpstr>
      <vt:lpstr>'Div 4'!OSRRefE21_17x_5</vt:lpstr>
      <vt:lpstr>Summary!OSRRefE21_17x_5</vt:lpstr>
      <vt:lpstr>'300'!OSRRefE21_17x_6</vt:lpstr>
      <vt:lpstr>'300 &amp; 317'!OSRRefE21_17x_6</vt:lpstr>
      <vt:lpstr>'301'!OSRRefE21_17x_6</vt:lpstr>
      <vt:lpstr>'310'!OSRRefE21_17x_6</vt:lpstr>
      <vt:lpstr>'310 &amp; 491'!OSRRefE21_17x_6</vt:lpstr>
      <vt:lpstr>'331'!OSRRefE21_17x_6</vt:lpstr>
      <vt:lpstr>'415'!OSRRefE21_17x_6</vt:lpstr>
      <vt:lpstr>'491'!OSRRefE21_17x_6</vt:lpstr>
      <vt:lpstr>'492'!OSRRefE21_17x_6</vt:lpstr>
      <vt:lpstr>'Div 2'!OSRRefE21_17x_6</vt:lpstr>
      <vt:lpstr>'Div 3'!OSRRefE21_17x_6</vt:lpstr>
      <vt:lpstr>'Div 4'!OSRRefE21_17x_6</vt:lpstr>
      <vt:lpstr>Summary!OSRRefE21_17x_6</vt:lpstr>
      <vt:lpstr>'300'!OSRRefE21_17x_7</vt:lpstr>
      <vt:lpstr>'300 &amp; 317'!OSRRefE21_17x_7</vt:lpstr>
      <vt:lpstr>'301'!OSRRefE21_17x_7</vt:lpstr>
      <vt:lpstr>'310'!OSRRefE21_17x_7</vt:lpstr>
      <vt:lpstr>'310 &amp; 491'!OSRRefE21_17x_7</vt:lpstr>
      <vt:lpstr>'331'!OSRRefE21_17x_7</vt:lpstr>
      <vt:lpstr>'415'!OSRRefE21_17x_7</vt:lpstr>
      <vt:lpstr>'491'!OSRRefE21_17x_7</vt:lpstr>
      <vt:lpstr>'492'!OSRRefE21_17x_7</vt:lpstr>
      <vt:lpstr>'Div 2'!OSRRefE21_17x_7</vt:lpstr>
      <vt:lpstr>'Div 3'!OSRRefE21_17x_7</vt:lpstr>
      <vt:lpstr>'Div 4'!OSRRefE21_17x_7</vt:lpstr>
      <vt:lpstr>Summary!OSRRefE21_17x_7</vt:lpstr>
      <vt:lpstr>'300'!OSRRefE21_17x_8</vt:lpstr>
      <vt:lpstr>'300 &amp; 317'!OSRRefE21_17x_8</vt:lpstr>
      <vt:lpstr>'301'!OSRRefE21_17x_8</vt:lpstr>
      <vt:lpstr>'310'!OSRRefE21_17x_8</vt:lpstr>
      <vt:lpstr>'310 &amp; 491'!OSRRefE21_17x_8</vt:lpstr>
      <vt:lpstr>'331'!OSRRefE21_17x_8</vt:lpstr>
      <vt:lpstr>'415'!OSRRefE21_17x_8</vt:lpstr>
      <vt:lpstr>'491'!OSRRefE21_17x_8</vt:lpstr>
      <vt:lpstr>'492'!OSRRefE21_17x_8</vt:lpstr>
      <vt:lpstr>'Div 2'!OSRRefE21_17x_8</vt:lpstr>
      <vt:lpstr>'Div 3'!OSRRefE21_17x_8</vt:lpstr>
      <vt:lpstr>'Div 4'!OSRRefE21_17x_8</vt:lpstr>
      <vt:lpstr>Summary!OSRRefE21_17x_8</vt:lpstr>
      <vt:lpstr>'300'!OSRRefE21_17x_9</vt:lpstr>
      <vt:lpstr>'300 &amp; 317'!OSRRefE21_17x_9</vt:lpstr>
      <vt:lpstr>'301'!OSRRefE21_17x_9</vt:lpstr>
      <vt:lpstr>'310'!OSRRefE21_17x_9</vt:lpstr>
      <vt:lpstr>'310 &amp; 491'!OSRRefE21_17x_9</vt:lpstr>
      <vt:lpstr>'331'!OSRRefE21_17x_9</vt:lpstr>
      <vt:lpstr>'415'!OSRRefE21_17x_9</vt:lpstr>
      <vt:lpstr>'491'!OSRRefE21_17x_9</vt:lpstr>
      <vt:lpstr>'492'!OSRRefE21_17x_9</vt:lpstr>
      <vt:lpstr>'Div 2'!OSRRefE21_17x_9</vt:lpstr>
      <vt:lpstr>'Div 3'!OSRRefE21_17x_9</vt:lpstr>
      <vt:lpstr>'Div 4'!OSRRefE21_17x_9</vt:lpstr>
      <vt:lpstr>Summary!OSRRefE21_17x_9</vt:lpstr>
      <vt:lpstr>'300'!OSRRefE21_18_0x</vt:lpstr>
      <vt:lpstr>'300 &amp; 317'!OSRRefE21_18_0x</vt:lpstr>
      <vt:lpstr>'301'!OSRRefE21_18_0x</vt:lpstr>
      <vt:lpstr>'310 &amp; 491'!OSRRefE21_18_0x</vt:lpstr>
      <vt:lpstr>'331'!OSRRefE21_18_0x</vt:lpstr>
      <vt:lpstr>'491'!OSRRefE21_18_0x</vt:lpstr>
      <vt:lpstr>'Div 2'!OSRRefE21_18_0x</vt:lpstr>
      <vt:lpstr>'Div 3'!OSRRefE21_18_0x</vt:lpstr>
      <vt:lpstr>'Div 4'!OSRRefE21_18_0x</vt:lpstr>
      <vt:lpstr>Summary!OSRRefE21_18_0x</vt:lpstr>
      <vt:lpstr>'300'!OSRRefE21_18_1x</vt:lpstr>
      <vt:lpstr>'300 &amp; 317'!OSRRefE21_18_1x</vt:lpstr>
      <vt:lpstr>'331'!OSRRefE21_18_1x</vt:lpstr>
      <vt:lpstr>'Div 3'!OSRRefE21_18_1x</vt:lpstr>
      <vt:lpstr>'Div 4'!OSRRefE21_18_1x</vt:lpstr>
      <vt:lpstr>Summary!OSRRefE21_18_1x</vt:lpstr>
      <vt:lpstr>'300'!OSRRefE21_18_2x</vt:lpstr>
      <vt:lpstr>'300 &amp; 317'!OSRRefE21_18_2x</vt:lpstr>
      <vt:lpstr>'Div 3'!OSRRefE21_18_2x</vt:lpstr>
      <vt:lpstr>Summary!OSRRefE21_18_2x</vt:lpstr>
      <vt:lpstr>'Div 3'!OSRRefE21_18_3x</vt:lpstr>
      <vt:lpstr>Summary!OSRRefE21_18_3x</vt:lpstr>
      <vt:lpstr>'300'!OSRRefE21_18x_0</vt:lpstr>
      <vt:lpstr>'300 &amp; 317'!OSRRefE21_18x_0</vt:lpstr>
      <vt:lpstr>'301'!OSRRefE21_18x_0</vt:lpstr>
      <vt:lpstr>'310 &amp; 491'!OSRRefE21_18x_0</vt:lpstr>
      <vt:lpstr>'331'!OSRRefE21_18x_0</vt:lpstr>
      <vt:lpstr>'491'!OSRRefE21_18x_0</vt:lpstr>
      <vt:lpstr>'Div 2'!OSRRefE21_18x_0</vt:lpstr>
      <vt:lpstr>'Div 3'!OSRRefE21_18x_0</vt:lpstr>
      <vt:lpstr>'Div 4'!OSRRefE21_18x_0</vt:lpstr>
      <vt:lpstr>Summary!OSRRefE21_18x_0</vt:lpstr>
      <vt:lpstr>'300'!OSRRefE21_18x_1</vt:lpstr>
      <vt:lpstr>'300 &amp; 317'!OSRRefE21_18x_1</vt:lpstr>
      <vt:lpstr>'301'!OSRRefE21_18x_1</vt:lpstr>
      <vt:lpstr>'310 &amp; 491'!OSRRefE21_18x_1</vt:lpstr>
      <vt:lpstr>'331'!OSRRefE21_18x_1</vt:lpstr>
      <vt:lpstr>'491'!OSRRefE21_18x_1</vt:lpstr>
      <vt:lpstr>'Div 2'!OSRRefE21_18x_1</vt:lpstr>
      <vt:lpstr>'Div 3'!OSRRefE21_18x_1</vt:lpstr>
      <vt:lpstr>'Div 4'!OSRRefE21_18x_1</vt:lpstr>
      <vt:lpstr>Summary!OSRRefE21_18x_1</vt:lpstr>
      <vt:lpstr>'300'!OSRRefE21_18x_10</vt:lpstr>
      <vt:lpstr>'300 &amp; 317'!OSRRefE21_18x_10</vt:lpstr>
      <vt:lpstr>'301'!OSRRefE21_18x_10</vt:lpstr>
      <vt:lpstr>'310 &amp; 491'!OSRRefE21_18x_10</vt:lpstr>
      <vt:lpstr>'331'!OSRRefE21_18x_10</vt:lpstr>
      <vt:lpstr>'491'!OSRRefE21_18x_10</vt:lpstr>
      <vt:lpstr>'Div 2'!OSRRefE21_18x_10</vt:lpstr>
      <vt:lpstr>'Div 3'!OSRRefE21_18x_10</vt:lpstr>
      <vt:lpstr>'Div 4'!OSRRefE21_18x_10</vt:lpstr>
      <vt:lpstr>Summary!OSRRefE21_18x_10</vt:lpstr>
      <vt:lpstr>'300'!OSRRefE21_18x_2</vt:lpstr>
      <vt:lpstr>'300 &amp; 317'!OSRRefE21_18x_2</vt:lpstr>
      <vt:lpstr>'301'!OSRRefE21_18x_2</vt:lpstr>
      <vt:lpstr>'310 &amp; 491'!OSRRefE21_18x_2</vt:lpstr>
      <vt:lpstr>'331'!OSRRefE21_18x_2</vt:lpstr>
      <vt:lpstr>'491'!OSRRefE21_18x_2</vt:lpstr>
      <vt:lpstr>'Div 2'!OSRRefE21_18x_2</vt:lpstr>
      <vt:lpstr>'Div 3'!OSRRefE21_18x_2</vt:lpstr>
      <vt:lpstr>'Div 4'!OSRRefE21_18x_2</vt:lpstr>
      <vt:lpstr>Summary!OSRRefE21_18x_2</vt:lpstr>
      <vt:lpstr>'300'!OSRRefE21_18x_3</vt:lpstr>
      <vt:lpstr>'300 &amp; 317'!OSRRefE21_18x_3</vt:lpstr>
      <vt:lpstr>'301'!OSRRefE21_18x_3</vt:lpstr>
      <vt:lpstr>'310 &amp; 491'!OSRRefE21_18x_3</vt:lpstr>
      <vt:lpstr>'331'!OSRRefE21_18x_3</vt:lpstr>
      <vt:lpstr>'491'!OSRRefE21_18x_3</vt:lpstr>
      <vt:lpstr>'Div 2'!OSRRefE21_18x_3</vt:lpstr>
      <vt:lpstr>'Div 3'!OSRRefE21_18x_3</vt:lpstr>
      <vt:lpstr>'Div 4'!OSRRefE21_18x_3</vt:lpstr>
      <vt:lpstr>Summary!OSRRefE21_18x_3</vt:lpstr>
      <vt:lpstr>'300'!OSRRefE21_18x_4</vt:lpstr>
      <vt:lpstr>'300 &amp; 317'!OSRRefE21_18x_4</vt:lpstr>
      <vt:lpstr>'301'!OSRRefE21_18x_4</vt:lpstr>
      <vt:lpstr>'310 &amp; 491'!OSRRefE21_18x_4</vt:lpstr>
      <vt:lpstr>'331'!OSRRefE21_18x_4</vt:lpstr>
      <vt:lpstr>'491'!OSRRefE21_18x_4</vt:lpstr>
      <vt:lpstr>'Div 2'!OSRRefE21_18x_4</vt:lpstr>
      <vt:lpstr>'Div 3'!OSRRefE21_18x_4</vt:lpstr>
      <vt:lpstr>'Div 4'!OSRRefE21_18x_4</vt:lpstr>
      <vt:lpstr>Summary!OSRRefE21_18x_4</vt:lpstr>
      <vt:lpstr>'300'!OSRRefE21_18x_5</vt:lpstr>
      <vt:lpstr>'300 &amp; 317'!OSRRefE21_18x_5</vt:lpstr>
      <vt:lpstr>'301'!OSRRefE21_18x_5</vt:lpstr>
      <vt:lpstr>'310 &amp; 491'!OSRRefE21_18x_5</vt:lpstr>
      <vt:lpstr>'331'!OSRRefE21_18x_5</vt:lpstr>
      <vt:lpstr>'491'!OSRRefE21_18x_5</vt:lpstr>
      <vt:lpstr>'Div 2'!OSRRefE21_18x_5</vt:lpstr>
      <vt:lpstr>'Div 3'!OSRRefE21_18x_5</vt:lpstr>
      <vt:lpstr>'Div 4'!OSRRefE21_18x_5</vt:lpstr>
      <vt:lpstr>Summary!OSRRefE21_18x_5</vt:lpstr>
      <vt:lpstr>'300'!OSRRefE21_18x_6</vt:lpstr>
      <vt:lpstr>'300 &amp; 317'!OSRRefE21_18x_6</vt:lpstr>
      <vt:lpstr>'301'!OSRRefE21_18x_6</vt:lpstr>
      <vt:lpstr>'310 &amp; 491'!OSRRefE21_18x_6</vt:lpstr>
      <vt:lpstr>'331'!OSRRefE21_18x_6</vt:lpstr>
      <vt:lpstr>'491'!OSRRefE21_18x_6</vt:lpstr>
      <vt:lpstr>'Div 2'!OSRRefE21_18x_6</vt:lpstr>
      <vt:lpstr>'Div 3'!OSRRefE21_18x_6</vt:lpstr>
      <vt:lpstr>'Div 4'!OSRRefE21_18x_6</vt:lpstr>
      <vt:lpstr>Summary!OSRRefE21_18x_6</vt:lpstr>
      <vt:lpstr>'300'!OSRRefE21_18x_7</vt:lpstr>
      <vt:lpstr>'300 &amp; 317'!OSRRefE21_18x_7</vt:lpstr>
      <vt:lpstr>'301'!OSRRefE21_18x_7</vt:lpstr>
      <vt:lpstr>'310 &amp; 491'!OSRRefE21_18x_7</vt:lpstr>
      <vt:lpstr>'331'!OSRRefE21_18x_7</vt:lpstr>
      <vt:lpstr>'491'!OSRRefE21_18x_7</vt:lpstr>
      <vt:lpstr>'Div 2'!OSRRefE21_18x_7</vt:lpstr>
      <vt:lpstr>'Div 3'!OSRRefE21_18x_7</vt:lpstr>
      <vt:lpstr>'Div 4'!OSRRefE21_18x_7</vt:lpstr>
      <vt:lpstr>Summary!OSRRefE21_18x_7</vt:lpstr>
      <vt:lpstr>'300'!OSRRefE21_18x_8</vt:lpstr>
      <vt:lpstr>'300 &amp; 317'!OSRRefE21_18x_8</vt:lpstr>
      <vt:lpstr>'301'!OSRRefE21_18x_8</vt:lpstr>
      <vt:lpstr>'310 &amp; 491'!OSRRefE21_18x_8</vt:lpstr>
      <vt:lpstr>'331'!OSRRefE21_18x_8</vt:lpstr>
      <vt:lpstr>'491'!OSRRefE21_18x_8</vt:lpstr>
      <vt:lpstr>'Div 2'!OSRRefE21_18x_8</vt:lpstr>
      <vt:lpstr>'Div 3'!OSRRefE21_18x_8</vt:lpstr>
      <vt:lpstr>'Div 4'!OSRRefE21_18x_8</vt:lpstr>
      <vt:lpstr>Summary!OSRRefE21_18x_8</vt:lpstr>
      <vt:lpstr>'300'!OSRRefE21_18x_9</vt:lpstr>
      <vt:lpstr>'300 &amp; 317'!OSRRefE21_18x_9</vt:lpstr>
      <vt:lpstr>'301'!OSRRefE21_18x_9</vt:lpstr>
      <vt:lpstr>'310 &amp; 491'!OSRRefE21_18x_9</vt:lpstr>
      <vt:lpstr>'331'!OSRRefE21_18x_9</vt:lpstr>
      <vt:lpstr>'491'!OSRRefE21_18x_9</vt:lpstr>
      <vt:lpstr>'Div 2'!OSRRefE21_18x_9</vt:lpstr>
      <vt:lpstr>'Div 3'!OSRRefE21_18x_9</vt:lpstr>
      <vt:lpstr>'Div 4'!OSRRefE21_18x_9</vt:lpstr>
      <vt:lpstr>Summary!OSRRefE21_18x_9</vt:lpstr>
      <vt:lpstr>'300'!OSRRefE21_19_0x</vt:lpstr>
      <vt:lpstr>'300 &amp; 317'!OSRRefE21_19_0x</vt:lpstr>
      <vt:lpstr>'301'!OSRRefE21_19_0x</vt:lpstr>
      <vt:lpstr>'310 &amp; 491'!OSRRefE21_19_0x</vt:lpstr>
      <vt:lpstr>'331'!OSRRefE21_19_0x</vt:lpstr>
      <vt:lpstr>'491'!OSRRefE21_19_0x</vt:lpstr>
      <vt:lpstr>'Div 2'!OSRRefE21_19_0x</vt:lpstr>
      <vt:lpstr>'Div 3'!OSRRefE21_19_0x</vt:lpstr>
      <vt:lpstr>'Div 4'!OSRRefE21_19_0x</vt:lpstr>
      <vt:lpstr>Summary!OSRRefE21_19_0x</vt:lpstr>
      <vt:lpstr>'300'!OSRRefE21_19_1x</vt:lpstr>
      <vt:lpstr>'300 &amp; 317'!OSRRefE21_19_1x</vt:lpstr>
      <vt:lpstr>'Div 2'!OSRRefE21_19_1x</vt:lpstr>
      <vt:lpstr>'Div 3'!OSRRefE21_19_1x</vt:lpstr>
      <vt:lpstr>Summary!OSRRefE21_19_1x</vt:lpstr>
      <vt:lpstr>'Div 3'!OSRRefE21_19_2x</vt:lpstr>
      <vt:lpstr>Summary!OSRRefE21_19_2x</vt:lpstr>
      <vt:lpstr>'Div 3'!OSRRefE21_19_3x</vt:lpstr>
      <vt:lpstr>Summary!OSRRefE21_19_3x</vt:lpstr>
      <vt:lpstr>'300'!OSRRefE21_19x_0</vt:lpstr>
      <vt:lpstr>'300 &amp; 317'!OSRRefE21_19x_0</vt:lpstr>
      <vt:lpstr>'301'!OSRRefE21_19x_0</vt:lpstr>
      <vt:lpstr>'310 &amp; 491'!OSRRefE21_19x_0</vt:lpstr>
      <vt:lpstr>'331'!OSRRefE21_19x_0</vt:lpstr>
      <vt:lpstr>'491'!OSRRefE21_19x_0</vt:lpstr>
      <vt:lpstr>'Div 2'!OSRRefE21_19x_0</vt:lpstr>
      <vt:lpstr>'Div 3'!OSRRefE21_19x_0</vt:lpstr>
      <vt:lpstr>'Div 4'!OSRRefE21_19x_0</vt:lpstr>
      <vt:lpstr>Summary!OSRRefE21_19x_0</vt:lpstr>
      <vt:lpstr>'300'!OSRRefE21_19x_1</vt:lpstr>
      <vt:lpstr>'300 &amp; 317'!OSRRefE21_19x_1</vt:lpstr>
      <vt:lpstr>'301'!OSRRefE21_19x_1</vt:lpstr>
      <vt:lpstr>'310 &amp; 491'!OSRRefE21_19x_1</vt:lpstr>
      <vt:lpstr>'331'!OSRRefE21_19x_1</vt:lpstr>
      <vt:lpstr>'491'!OSRRefE21_19x_1</vt:lpstr>
      <vt:lpstr>'Div 2'!OSRRefE21_19x_1</vt:lpstr>
      <vt:lpstr>'Div 3'!OSRRefE21_19x_1</vt:lpstr>
      <vt:lpstr>'Div 4'!OSRRefE21_19x_1</vt:lpstr>
      <vt:lpstr>Summary!OSRRefE21_19x_1</vt:lpstr>
      <vt:lpstr>'300'!OSRRefE21_19x_10</vt:lpstr>
      <vt:lpstr>'300 &amp; 317'!OSRRefE21_19x_10</vt:lpstr>
      <vt:lpstr>'301'!OSRRefE21_19x_10</vt:lpstr>
      <vt:lpstr>'310 &amp; 491'!OSRRefE21_19x_10</vt:lpstr>
      <vt:lpstr>'331'!OSRRefE21_19x_10</vt:lpstr>
      <vt:lpstr>'491'!OSRRefE21_19x_10</vt:lpstr>
      <vt:lpstr>'Div 2'!OSRRefE21_19x_10</vt:lpstr>
      <vt:lpstr>'Div 3'!OSRRefE21_19x_10</vt:lpstr>
      <vt:lpstr>'Div 4'!OSRRefE21_19x_10</vt:lpstr>
      <vt:lpstr>Summary!OSRRefE21_19x_10</vt:lpstr>
      <vt:lpstr>'300'!OSRRefE21_19x_2</vt:lpstr>
      <vt:lpstr>'300 &amp; 317'!OSRRefE21_19x_2</vt:lpstr>
      <vt:lpstr>'301'!OSRRefE21_19x_2</vt:lpstr>
      <vt:lpstr>'310 &amp; 491'!OSRRefE21_19x_2</vt:lpstr>
      <vt:lpstr>'331'!OSRRefE21_19x_2</vt:lpstr>
      <vt:lpstr>'491'!OSRRefE21_19x_2</vt:lpstr>
      <vt:lpstr>'Div 2'!OSRRefE21_19x_2</vt:lpstr>
      <vt:lpstr>'Div 3'!OSRRefE21_19x_2</vt:lpstr>
      <vt:lpstr>'Div 4'!OSRRefE21_19x_2</vt:lpstr>
      <vt:lpstr>Summary!OSRRefE21_19x_2</vt:lpstr>
      <vt:lpstr>'300'!OSRRefE21_19x_3</vt:lpstr>
      <vt:lpstr>'300 &amp; 317'!OSRRefE21_19x_3</vt:lpstr>
      <vt:lpstr>'301'!OSRRefE21_19x_3</vt:lpstr>
      <vt:lpstr>'310 &amp; 491'!OSRRefE21_19x_3</vt:lpstr>
      <vt:lpstr>'331'!OSRRefE21_19x_3</vt:lpstr>
      <vt:lpstr>'491'!OSRRefE21_19x_3</vt:lpstr>
      <vt:lpstr>'Div 2'!OSRRefE21_19x_3</vt:lpstr>
      <vt:lpstr>'Div 3'!OSRRefE21_19x_3</vt:lpstr>
      <vt:lpstr>'Div 4'!OSRRefE21_19x_3</vt:lpstr>
      <vt:lpstr>Summary!OSRRefE21_19x_3</vt:lpstr>
      <vt:lpstr>'300'!OSRRefE21_19x_4</vt:lpstr>
      <vt:lpstr>'300 &amp; 317'!OSRRefE21_19x_4</vt:lpstr>
      <vt:lpstr>'301'!OSRRefE21_19x_4</vt:lpstr>
      <vt:lpstr>'310 &amp; 491'!OSRRefE21_19x_4</vt:lpstr>
      <vt:lpstr>'331'!OSRRefE21_19x_4</vt:lpstr>
      <vt:lpstr>'491'!OSRRefE21_19x_4</vt:lpstr>
      <vt:lpstr>'Div 2'!OSRRefE21_19x_4</vt:lpstr>
      <vt:lpstr>'Div 3'!OSRRefE21_19x_4</vt:lpstr>
      <vt:lpstr>'Div 4'!OSRRefE21_19x_4</vt:lpstr>
      <vt:lpstr>Summary!OSRRefE21_19x_4</vt:lpstr>
      <vt:lpstr>'300'!OSRRefE21_19x_5</vt:lpstr>
      <vt:lpstr>'300 &amp; 317'!OSRRefE21_19x_5</vt:lpstr>
      <vt:lpstr>'301'!OSRRefE21_19x_5</vt:lpstr>
      <vt:lpstr>'310 &amp; 491'!OSRRefE21_19x_5</vt:lpstr>
      <vt:lpstr>'331'!OSRRefE21_19x_5</vt:lpstr>
      <vt:lpstr>'491'!OSRRefE21_19x_5</vt:lpstr>
      <vt:lpstr>'Div 2'!OSRRefE21_19x_5</vt:lpstr>
      <vt:lpstr>'Div 3'!OSRRefE21_19x_5</vt:lpstr>
      <vt:lpstr>'Div 4'!OSRRefE21_19x_5</vt:lpstr>
      <vt:lpstr>Summary!OSRRefE21_19x_5</vt:lpstr>
      <vt:lpstr>'300'!OSRRefE21_19x_6</vt:lpstr>
      <vt:lpstr>'300 &amp; 317'!OSRRefE21_19x_6</vt:lpstr>
      <vt:lpstr>'301'!OSRRefE21_19x_6</vt:lpstr>
      <vt:lpstr>'310 &amp; 491'!OSRRefE21_19x_6</vt:lpstr>
      <vt:lpstr>'331'!OSRRefE21_19x_6</vt:lpstr>
      <vt:lpstr>'491'!OSRRefE21_19x_6</vt:lpstr>
      <vt:lpstr>'Div 2'!OSRRefE21_19x_6</vt:lpstr>
      <vt:lpstr>'Div 3'!OSRRefE21_19x_6</vt:lpstr>
      <vt:lpstr>'Div 4'!OSRRefE21_19x_6</vt:lpstr>
      <vt:lpstr>Summary!OSRRefE21_19x_6</vt:lpstr>
      <vt:lpstr>'300'!OSRRefE21_19x_7</vt:lpstr>
      <vt:lpstr>'300 &amp; 317'!OSRRefE21_19x_7</vt:lpstr>
      <vt:lpstr>'301'!OSRRefE21_19x_7</vt:lpstr>
      <vt:lpstr>'310 &amp; 491'!OSRRefE21_19x_7</vt:lpstr>
      <vt:lpstr>'331'!OSRRefE21_19x_7</vt:lpstr>
      <vt:lpstr>'491'!OSRRefE21_19x_7</vt:lpstr>
      <vt:lpstr>'Div 2'!OSRRefE21_19x_7</vt:lpstr>
      <vt:lpstr>'Div 3'!OSRRefE21_19x_7</vt:lpstr>
      <vt:lpstr>'Div 4'!OSRRefE21_19x_7</vt:lpstr>
      <vt:lpstr>Summary!OSRRefE21_19x_7</vt:lpstr>
      <vt:lpstr>'300'!OSRRefE21_19x_8</vt:lpstr>
      <vt:lpstr>'300 &amp; 317'!OSRRefE21_19x_8</vt:lpstr>
      <vt:lpstr>'301'!OSRRefE21_19x_8</vt:lpstr>
      <vt:lpstr>'310 &amp; 491'!OSRRefE21_19x_8</vt:lpstr>
      <vt:lpstr>'331'!OSRRefE21_19x_8</vt:lpstr>
      <vt:lpstr>'491'!OSRRefE21_19x_8</vt:lpstr>
      <vt:lpstr>'Div 2'!OSRRefE21_19x_8</vt:lpstr>
      <vt:lpstr>'Div 3'!OSRRefE21_19x_8</vt:lpstr>
      <vt:lpstr>'Div 4'!OSRRefE21_19x_8</vt:lpstr>
      <vt:lpstr>Summary!OSRRefE21_19x_8</vt:lpstr>
      <vt:lpstr>'300'!OSRRefE21_19x_9</vt:lpstr>
      <vt:lpstr>'300 &amp; 317'!OSRRefE21_19x_9</vt:lpstr>
      <vt:lpstr>'301'!OSRRefE21_19x_9</vt:lpstr>
      <vt:lpstr>'310 &amp; 491'!OSRRefE21_19x_9</vt:lpstr>
      <vt:lpstr>'331'!OSRRefE21_19x_9</vt:lpstr>
      <vt:lpstr>'491'!OSRRefE21_19x_9</vt:lpstr>
      <vt:lpstr>'Div 2'!OSRRefE21_19x_9</vt:lpstr>
      <vt:lpstr>'Div 3'!OSRRefE21_19x_9</vt:lpstr>
      <vt:lpstr>'Div 4'!OSRRefE21_19x_9</vt:lpstr>
      <vt:lpstr>Summary!OSRRefE21_19x_9</vt:lpstr>
      <vt:lpstr>'200'!OSRRefE21_1x_0</vt:lpstr>
      <vt:lpstr>'201'!OSRRefE21_1x_0</vt:lpstr>
      <vt:lpstr>'202'!OSRRefE21_1x_0</vt:lpstr>
      <vt:lpstr>'203'!OSRRefE21_1x_0</vt:lpstr>
      <vt:lpstr>'204'!OSRRefE21_1x_0</vt:lpstr>
      <vt:lpstr>'205'!OSRRefE21_1x_0</vt:lpstr>
      <vt:lpstr>'206'!OSRRefE21_1x_0</vt:lpstr>
      <vt:lpstr>'300'!OSRRefE21_1x_0</vt:lpstr>
      <vt:lpstr>'300 &amp; 317'!OSRRefE21_1x_0</vt:lpstr>
      <vt:lpstr>'301'!OSRRefE21_1x_0</vt:lpstr>
      <vt:lpstr>'307'!OSRRefE21_1x_0</vt:lpstr>
      <vt:lpstr>'308'!OSRRefE21_1x_0</vt:lpstr>
      <vt:lpstr>'309'!OSRRefE21_1x_0</vt:lpstr>
      <vt:lpstr>'310'!OSRRefE21_1x_0</vt:lpstr>
      <vt:lpstr>'310 &amp; 491'!OSRRefE21_1x_0</vt:lpstr>
      <vt:lpstr>'311'!OSRRefE21_1x_0</vt:lpstr>
      <vt:lpstr>'315'!OSRRefE21_1x_0</vt:lpstr>
      <vt:lpstr>'316'!OSRRefE21_1x_0</vt:lpstr>
      <vt:lpstr>'317'!OSRRefE21_1x_0</vt:lpstr>
      <vt:lpstr>'321'!OSRRefE21_1x_0</vt:lpstr>
      <vt:lpstr>'325'!OSRRefE21_1x_0</vt:lpstr>
      <vt:lpstr>'326'!OSRRefE21_1x_0</vt:lpstr>
      <vt:lpstr>'330'!OSRRefE21_1x_0</vt:lpstr>
      <vt:lpstr>'331'!OSRRefE21_1x_0</vt:lpstr>
      <vt:lpstr>'332'!OSRRefE21_1x_0</vt:lpstr>
      <vt:lpstr>'405'!OSRRefE21_1x_0</vt:lpstr>
      <vt:lpstr>'411'!OSRRefE21_1x_0</vt:lpstr>
      <vt:lpstr>'412'!OSRRefE21_1x_0</vt:lpstr>
      <vt:lpstr>'415'!OSRRefE21_1x_0</vt:lpstr>
      <vt:lpstr>'418'!OSRRefE21_1x_0</vt:lpstr>
      <vt:lpstr>'423'!OSRRefE21_1x_0</vt:lpstr>
      <vt:lpstr>'430'!OSRRefE21_1x_0</vt:lpstr>
      <vt:lpstr>'433'!OSRRefE21_1x_0</vt:lpstr>
      <vt:lpstr>'444'!OSRRefE21_1x_0</vt:lpstr>
      <vt:lpstr>'450'!OSRRefE21_1x_0</vt:lpstr>
      <vt:lpstr>'491'!OSRRefE21_1x_0</vt:lpstr>
      <vt:lpstr>'492'!OSRRefE21_1x_0</vt:lpstr>
      <vt:lpstr>'501'!OSRRefE21_1x_0</vt:lpstr>
      <vt:lpstr>'Div 2'!OSRRefE21_1x_0</vt:lpstr>
      <vt:lpstr>'Div 3'!OSRRefE21_1x_0</vt:lpstr>
      <vt:lpstr>'Div 4'!OSRRefE21_1x_0</vt:lpstr>
      <vt:lpstr>'Div 5'!OSRRefE21_1x_0</vt:lpstr>
      <vt:lpstr>'Div 6'!OSRRefE21_1x_0</vt:lpstr>
      <vt:lpstr>Summary!OSRRefE21_1x_0</vt:lpstr>
      <vt:lpstr>'200'!OSRRefE21_1x_1</vt:lpstr>
      <vt:lpstr>'201'!OSRRefE21_1x_1</vt:lpstr>
      <vt:lpstr>'202'!OSRRefE21_1x_1</vt:lpstr>
      <vt:lpstr>'203'!OSRRefE21_1x_1</vt:lpstr>
      <vt:lpstr>'204'!OSRRefE21_1x_1</vt:lpstr>
      <vt:lpstr>'205'!OSRRefE21_1x_1</vt:lpstr>
      <vt:lpstr>'206'!OSRRefE21_1x_1</vt:lpstr>
      <vt:lpstr>'300'!OSRRefE21_1x_1</vt:lpstr>
      <vt:lpstr>'300 &amp; 317'!OSRRefE21_1x_1</vt:lpstr>
      <vt:lpstr>'301'!OSRRefE21_1x_1</vt:lpstr>
      <vt:lpstr>'307'!OSRRefE21_1x_1</vt:lpstr>
      <vt:lpstr>'308'!OSRRefE21_1x_1</vt:lpstr>
      <vt:lpstr>'309'!OSRRefE21_1x_1</vt:lpstr>
      <vt:lpstr>'310'!OSRRefE21_1x_1</vt:lpstr>
      <vt:lpstr>'310 &amp; 491'!OSRRefE21_1x_1</vt:lpstr>
      <vt:lpstr>'311'!OSRRefE21_1x_1</vt:lpstr>
      <vt:lpstr>'315'!OSRRefE21_1x_1</vt:lpstr>
      <vt:lpstr>'316'!OSRRefE21_1x_1</vt:lpstr>
      <vt:lpstr>'317'!OSRRefE21_1x_1</vt:lpstr>
      <vt:lpstr>'321'!OSRRefE21_1x_1</vt:lpstr>
      <vt:lpstr>'325'!OSRRefE21_1x_1</vt:lpstr>
      <vt:lpstr>'326'!OSRRefE21_1x_1</vt:lpstr>
      <vt:lpstr>'330'!OSRRefE21_1x_1</vt:lpstr>
      <vt:lpstr>'331'!OSRRefE21_1x_1</vt:lpstr>
      <vt:lpstr>'332'!OSRRefE21_1x_1</vt:lpstr>
      <vt:lpstr>'405'!OSRRefE21_1x_1</vt:lpstr>
      <vt:lpstr>'411'!OSRRefE21_1x_1</vt:lpstr>
      <vt:lpstr>'412'!OSRRefE21_1x_1</vt:lpstr>
      <vt:lpstr>'415'!OSRRefE21_1x_1</vt:lpstr>
      <vt:lpstr>'418'!OSRRefE21_1x_1</vt:lpstr>
      <vt:lpstr>'423'!OSRRefE21_1x_1</vt:lpstr>
      <vt:lpstr>'430'!OSRRefE21_1x_1</vt:lpstr>
      <vt:lpstr>'433'!OSRRefE21_1x_1</vt:lpstr>
      <vt:lpstr>'444'!OSRRefE21_1x_1</vt:lpstr>
      <vt:lpstr>'450'!OSRRefE21_1x_1</vt:lpstr>
      <vt:lpstr>'491'!OSRRefE21_1x_1</vt:lpstr>
      <vt:lpstr>'492'!OSRRefE21_1x_1</vt:lpstr>
      <vt:lpstr>'501'!OSRRefE21_1x_1</vt:lpstr>
      <vt:lpstr>'Div 2'!OSRRefE21_1x_1</vt:lpstr>
      <vt:lpstr>'Div 3'!OSRRefE21_1x_1</vt:lpstr>
      <vt:lpstr>'Div 4'!OSRRefE21_1x_1</vt:lpstr>
      <vt:lpstr>'Div 5'!OSRRefE21_1x_1</vt:lpstr>
      <vt:lpstr>'Div 6'!OSRRefE21_1x_1</vt:lpstr>
      <vt:lpstr>Summary!OSRRefE21_1x_1</vt:lpstr>
      <vt:lpstr>'200'!OSRRefE21_1x_10</vt:lpstr>
      <vt:lpstr>'201'!OSRRefE21_1x_10</vt:lpstr>
      <vt:lpstr>'202'!OSRRefE21_1x_10</vt:lpstr>
      <vt:lpstr>'203'!OSRRefE21_1x_10</vt:lpstr>
      <vt:lpstr>'204'!OSRRefE21_1x_10</vt:lpstr>
      <vt:lpstr>'205'!OSRRefE21_1x_10</vt:lpstr>
      <vt:lpstr>'206'!OSRRefE21_1x_10</vt:lpstr>
      <vt:lpstr>'300'!OSRRefE21_1x_10</vt:lpstr>
      <vt:lpstr>'300 &amp; 317'!OSRRefE21_1x_10</vt:lpstr>
      <vt:lpstr>'301'!OSRRefE21_1x_10</vt:lpstr>
      <vt:lpstr>'307'!OSRRefE21_1x_10</vt:lpstr>
      <vt:lpstr>'308'!OSRRefE21_1x_10</vt:lpstr>
      <vt:lpstr>'309'!OSRRefE21_1x_10</vt:lpstr>
      <vt:lpstr>'310'!OSRRefE21_1x_10</vt:lpstr>
      <vt:lpstr>'310 &amp; 491'!OSRRefE21_1x_10</vt:lpstr>
      <vt:lpstr>'311'!OSRRefE21_1x_10</vt:lpstr>
      <vt:lpstr>'315'!OSRRefE21_1x_10</vt:lpstr>
      <vt:lpstr>'316'!OSRRefE21_1x_10</vt:lpstr>
      <vt:lpstr>'317'!OSRRefE21_1x_10</vt:lpstr>
      <vt:lpstr>'321'!OSRRefE21_1x_10</vt:lpstr>
      <vt:lpstr>'325'!OSRRefE21_1x_10</vt:lpstr>
      <vt:lpstr>'326'!OSRRefE21_1x_10</vt:lpstr>
      <vt:lpstr>'330'!OSRRefE21_1x_10</vt:lpstr>
      <vt:lpstr>'331'!OSRRefE21_1x_10</vt:lpstr>
      <vt:lpstr>'332'!OSRRefE21_1x_10</vt:lpstr>
      <vt:lpstr>'405'!OSRRefE21_1x_10</vt:lpstr>
      <vt:lpstr>'411'!OSRRefE21_1x_10</vt:lpstr>
      <vt:lpstr>'412'!OSRRefE21_1x_10</vt:lpstr>
      <vt:lpstr>'415'!OSRRefE21_1x_10</vt:lpstr>
      <vt:lpstr>'418'!OSRRefE21_1x_10</vt:lpstr>
      <vt:lpstr>'423'!OSRRefE21_1x_10</vt:lpstr>
      <vt:lpstr>'430'!OSRRefE21_1x_10</vt:lpstr>
      <vt:lpstr>'433'!OSRRefE21_1x_10</vt:lpstr>
      <vt:lpstr>'444'!OSRRefE21_1x_10</vt:lpstr>
      <vt:lpstr>'450'!OSRRefE21_1x_10</vt:lpstr>
      <vt:lpstr>'491'!OSRRefE21_1x_10</vt:lpstr>
      <vt:lpstr>'492'!OSRRefE21_1x_10</vt:lpstr>
      <vt:lpstr>'501'!OSRRefE21_1x_10</vt:lpstr>
      <vt:lpstr>'Div 2'!OSRRefE21_1x_10</vt:lpstr>
      <vt:lpstr>'Div 3'!OSRRefE21_1x_10</vt:lpstr>
      <vt:lpstr>'Div 4'!OSRRefE21_1x_10</vt:lpstr>
      <vt:lpstr>'Div 5'!OSRRefE21_1x_10</vt:lpstr>
      <vt:lpstr>'Div 6'!OSRRefE21_1x_10</vt:lpstr>
      <vt:lpstr>Summary!OSRRefE21_1x_10</vt:lpstr>
      <vt:lpstr>'200'!OSRRefE21_1x_2</vt:lpstr>
      <vt:lpstr>'201'!OSRRefE21_1x_2</vt:lpstr>
      <vt:lpstr>'202'!OSRRefE21_1x_2</vt:lpstr>
      <vt:lpstr>'203'!OSRRefE21_1x_2</vt:lpstr>
      <vt:lpstr>'204'!OSRRefE21_1x_2</vt:lpstr>
      <vt:lpstr>'205'!OSRRefE21_1x_2</vt:lpstr>
      <vt:lpstr>'206'!OSRRefE21_1x_2</vt:lpstr>
      <vt:lpstr>'300'!OSRRefE21_1x_2</vt:lpstr>
      <vt:lpstr>'300 &amp; 317'!OSRRefE21_1x_2</vt:lpstr>
      <vt:lpstr>'301'!OSRRefE21_1x_2</vt:lpstr>
      <vt:lpstr>'307'!OSRRefE21_1x_2</vt:lpstr>
      <vt:lpstr>'308'!OSRRefE21_1x_2</vt:lpstr>
      <vt:lpstr>'309'!OSRRefE21_1x_2</vt:lpstr>
      <vt:lpstr>'310'!OSRRefE21_1x_2</vt:lpstr>
      <vt:lpstr>'310 &amp; 491'!OSRRefE21_1x_2</vt:lpstr>
      <vt:lpstr>'311'!OSRRefE21_1x_2</vt:lpstr>
      <vt:lpstr>'315'!OSRRefE21_1x_2</vt:lpstr>
      <vt:lpstr>'316'!OSRRefE21_1x_2</vt:lpstr>
      <vt:lpstr>'317'!OSRRefE21_1x_2</vt:lpstr>
      <vt:lpstr>'321'!OSRRefE21_1x_2</vt:lpstr>
      <vt:lpstr>'325'!OSRRefE21_1x_2</vt:lpstr>
      <vt:lpstr>'326'!OSRRefE21_1x_2</vt:lpstr>
      <vt:lpstr>'330'!OSRRefE21_1x_2</vt:lpstr>
      <vt:lpstr>'331'!OSRRefE21_1x_2</vt:lpstr>
      <vt:lpstr>'332'!OSRRefE21_1x_2</vt:lpstr>
      <vt:lpstr>'405'!OSRRefE21_1x_2</vt:lpstr>
      <vt:lpstr>'411'!OSRRefE21_1x_2</vt:lpstr>
      <vt:lpstr>'412'!OSRRefE21_1x_2</vt:lpstr>
      <vt:lpstr>'415'!OSRRefE21_1x_2</vt:lpstr>
      <vt:lpstr>'418'!OSRRefE21_1x_2</vt:lpstr>
      <vt:lpstr>'423'!OSRRefE21_1x_2</vt:lpstr>
      <vt:lpstr>'430'!OSRRefE21_1x_2</vt:lpstr>
      <vt:lpstr>'433'!OSRRefE21_1x_2</vt:lpstr>
      <vt:lpstr>'444'!OSRRefE21_1x_2</vt:lpstr>
      <vt:lpstr>'450'!OSRRefE21_1x_2</vt:lpstr>
      <vt:lpstr>'491'!OSRRefE21_1x_2</vt:lpstr>
      <vt:lpstr>'492'!OSRRefE21_1x_2</vt:lpstr>
      <vt:lpstr>'501'!OSRRefE21_1x_2</vt:lpstr>
      <vt:lpstr>'Div 2'!OSRRefE21_1x_2</vt:lpstr>
      <vt:lpstr>'Div 3'!OSRRefE21_1x_2</vt:lpstr>
      <vt:lpstr>'Div 4'!OSRRefE21_1x_2</vt:lpstr>
      <vt:lpstr>'Div 5'!OSRRefE21_1x_2</vt:lpstr>
      <vt:lpstr>'Div 6'!OSRRefE21_1x_2</vt:lpstr>
      <vt:lpstr>Summary!OSRRefE21_1x_2</vt:lpstr>
      <vt:lpstr>'200'!OSRRefE21_1x_3</vt:lpstr>
      <vt:lpstr>'201'!OSRRefE21_1x_3</vt:lpstr>
      <vt:lpstr>'202'!OSRRefE21_1x_3</vt:lpstr>
      <vt:lpstr>'203'!OSRRefE21_1x_3</vt:lpstr>
      <vt:lpstr>'204'!OSRRefE21_1x_3</vt:lpstr>
      <vt:lpstr>'205'!OSRRefE21_1x_3</vt:lpstr>
      <vt:lpstr>'206'!OSRRefE21_1x_3</vt:lpstr>
      <vt:lpstr>'300'!OSRRefE21_1x_3</vt:lpstr>
      <vt:lpstr>'300 &amp; 317'!OSRRefE21_1x_3</vt:lpstr>
      <vt:lpstr>'301'!OSRRefE21_1x_3</vt:lpstr>
      <vt:lpstr>'307'!OSRRefE21_1x_3</vt:lpstr>
      <vt:lpstr>'308'!OSRRefE21_1x_3</vt:lpstr>
      <vt:lpstr>'309'!OSRRefE21_1x_3</vt:lpstr>
      <vt:lpstr>'310'!OSRRefE21_1x_3</vt:lpstr>
      <vt:lpstr>'310 &amp; 491'!OSRRefE21_1x_3</vt:lpstr>
      <vt:lpstr>'311'!OSRRefE21_1x_3</vt:lpstr>
      <vt:lpstr>'315'!OSRRefE21_1x_3</vt:lpstr>
      <vt:lpstr>'316'!OSRRefE21_1x_3</vt:lpstr>
      <vt:lpstr>'317'!OSRRefE21_1x_3</vt:lpstr>
      <vt:lpstr>'321'!OSRRefE21_1x_3</vt:lpstr>
      <vt:lpstr>'325'!OSRRefE21_1x_3</vt:lpstr>
      <vt:lpstr>'326'!OSRRefE21_1x_3</vt:lpstr>
      <vt:lpstr>'330'!OSRRefE21_1x_3</vt:lpstr>
      <vt:lpstr>'331'!OSRRefE21_1x_3</vt:lpstr>
      <vt:lpstr>'332'!OSRRefE21_1x_3</vt:lpstr>
      <vt:lpstr>'405'!OSRRefE21_1x_3</vt:lpstr>
      <vt:lpstr>'411'!OSRRefE21_1x_3</vt:lpstr>
      <vt:lpstr>'412'!OSRRefE21_1x_3</vt:lpstr>
      <vt:lpstr>'415'!OSRRefE21_1x_3</vt:lpstr>
      <vt:lpstr>'418'!OSRRefE21_1x_3</vt:lpstr>
      <vt:lpstr>'423'!OSRRefE21_1x_3</vt:lpstr>
      <vt:lpstr>'430'!OSRRefE21_1x_3</vt:lpstr>
      <vt:lpstr>'433'!OSRRefE21_1x_3</vt:lpstr>
      <vt:lpstr>'444'!OSRRefE21_1x_3</vt:lpstr>
      <vt:lpstr>'450'!OSRRefE21_1x_3</vt:lpstr>
      <vt:lpstr>'491'!OSRRefE21_1x_3</vt:lpstr>
      <vt:lpstr>'492'!OSRRefE21_1x_3</vt:lpstr>
      <vt:lpstr>'501'!OSRRefE21_1x_3</vt:lpstr>
      <vt:lpstr>'Div 2'!OSRRefE21_1x_3</vt:lpstr>
      <vt:lpstr>'Div 3'!OSRRefE21_1x_3</vt:lpstr>
      <vt:lpstr>'Div 4'!OSRRefE21_1x_3</vt:lpstr>
      <vt:lpstr>'Div 5'!OSRRefE21_1x_3</vt:lpstr>
      <vt:lpstr>'Div 6'!OSRRefE21_1x_3</vt:lpstr>
      <vt:lpstr>Summary!OSRRefE21_1x_3</vt:lpstr>
      <vt:lpstr>'200'!OSRRefE21_1x_4</vt:lpstr>
      <vt:lpstr>'201'!OSRRefE21_1x_4</vt:lpstr>
      <vt:lpstr>'202'!OSRRefE21_1x_4</vt:lpstr>
      <vt:lpstr>'203'!OSRRefE21_1x_4</vt:lpstr>
      <vt:lpstr>'204'!OSRRefE21_1x_4</vt:lpstr>
      <vt:lpstr>'205'!OSRRefE21_1x_4</vt:lpstr>
      <vt:lpstr>'206'!OSRRefE21_1x_4</vt:lpstr>
      <vt:lpstr>'300'!OSRRefE21_1x_4</vt:lpstr>
      <vt:lpstr>'300 &amp; 317'!OSRRefE21_1x_4</vt:lpstr>
      <vt:lpstr>'301'!OSRRefE21_1x_4</vt:lpstr>
      <vt:lpstr>'307'!OSRRefE21_1x_4</vt:lpstr>
      <vt:lpstr>'308'!OSRRefE21_1x_4</vt:lpstr>
      <vt:lpstr>'309'!OSRRefE21_1x_4</vt:lpstr>
      <vt:lpstr>'310'!OSRRefE21_1x_4</vt:lpstr>
      <vt:lpstr>'310 &amp; 491'!OSRRefE21_1x_4</vt:lpstr>
      <vt:lpstr>'311'!OSRRefE21_1x_4</vt:lpstr>
      <vt:lpstr>'315'!OSRRefE21_1x_4</vt:lpstr>
      <vt:lpstr>'316'!OSRRefE21_1x_4</vt:lpstr>
      <vt:lpstr>'317'!OSRRefE21_1x_4</vt:lpstr>
      <vt:lpstr>'321'!OSRRefE21_1x_4</vt:lpstr>
      <vt:lpstr>'325'!OSRRefE21_1x_4</vt:lpstr>
      <vt:lpstr>'326'!OSRRefE21_1x_4</vt:lpstr>
      <vt:lpstr>'330'!OSRRefE21_1x_4</vt:lpstr>
      <vt:lpstr>'331'!OSRRefE21_1x_4</vt:lpstr>
      <vt:lpstr>'332'!OSRRefE21_1x_4</vt:lpstr>
      <vt:lpstr>'405'!OSRRefE21_1x_4</vt:lpstr>
      <vt:lpstr>'411'!OSRRefE21_1x_4</vt:lpstr>
      <vt:lpstr>'412'!OSRRefE21_1x_4</vt:lpstr>
      <vt:lpstr>'415'!OSRRefE21_1x_4</vt:lpstr>
      <vt:lpstr>'418'!OSRRefE21_1x_4</vt:lpstr>
      <vt:lpstr>'423'!OSRRefE21_1x_4</vt:lpstr>
      <vt:lpstr>'430'!OSRRefE21_1x_4</vt:lpstr>
      <vt:lpstr>'433'!OSRRefE21_1x_4</vt:lpstr>
      <vt:lpstr>'444'!OSRRefE21_1x_4</vt:lpstr>
      <vt:lpstr>'450'!OSRRefE21_1x_4</vt:lpstr>
      <vt:lpstr>'491'!OSRRefE21_1x_4</vt:lpstr>
      <vt:lpstr>'492'!OSRRefE21_1x_4</vt:lpstr>
      <vt:lpstr>'501'!OSRRefE21_1x_4</vt:lpstr>
      <vt:lpstr>'Div 2'!OSRRefE21_1x_4</vt:lpstr>
      <vt:lpstr>'Div 3'!OSRRefE21_1x_4</vt:lpstr>
      <vt:lpstr>'Div 4'!OSRRefE21_1x_4</vt:lpstr>
      <vt:lpstr>'Div 5'!OSRRefE21_1x_4</vt:lpstr>
      <vt:lpstr>'Div 6'!OSRRefE21_1x_4</vt:lpstr>
      <vt:lpstr>Summary!OSRRefE21_1x_4</vt:lpstr>
      <vt:lpstr>'200'!OSRRefE21_1x_5</vt:lpstr>
      <vt:lpstr>'201'!OSRRefE21_1x_5</vt:lpstr>
      <vt:lpstr>'202'!OSRRefE21_1x_5</vt:lpstr>
      <vt:lpstr>'203'!OSRRefE21_1x_5</vt:lpstr>
      <vt:lpstr>'204'!OSRRefE21_1x_5</vt:lpstr>
      <vt:lpstr>'205'!OSRRefE21_1x_5</vt:lpstr>
      <vt:lpstr>'206'!OSRRefE21_1x_5</vt:lpstr>
      <vt:lpstr>'300'!OSRRefE21_1x_5</vt:lpstr>
      <vt:lpstr>'300 &amp; 317'!OSRRefE21_1x_5</vt:lpstr>
      <vt:lpstr>'301'!OSRRefE21_1x_5</vt:lpstr>
      <vt:lpstr>'307'!OSRRefE21_1x_5</vt:lpstr>
      <vt:lpstr>'308'!OSRRefE21_1x_5</vt:lpstr>
      <vt:lpstr>'309'!OSRRefE21_1x_5</vt:lpstr>
      <vt:lpstr>'310'!OSRRefE21_1x_5</vt:lpstr>
      <vt:lpstr>'310 &amp; 491'!OSRRefE21_1x_5</vt:lpstr>
      <vt:lpstr>'311'!OSRRefE21_1x_5</vt:lpstr>
      <vt:lpstr>'315'!OSRRefE21_1x_5</vt:lpstr>
      <vt:lpstr>'316'!OSRRefE21_1x_5</vt:lpstr>
      <vt:lpstr>'317'!OSRRefE21_1x_5</vt:lpstr>
      <vt:lpstr>'321'!OSRRefE21_1x_5</vt:lpstr>
      <vt:lpstr>'325'!OSRRefE21_1x_5</vt:lpstr>
      <vt:lpstr>'326'!OSRRefE21_1x_5</vt:lpstr>
      <vt:lpstr>'330'!OSRRefE21_1x_5</vt:lpstr>
      <vt:lpstr>'331'!OSRRefE21_1x_5</vt:lpstr>
      <vt:lpstr>'332'!OSRRefE21_1x_5</vt:lpstr>
      <vt:lpstr>'405'!OSRRefE21_1x_5</vt:lpstr>
      <vt:lpstr>'411'!OSRRefE21_1x_5</vt:lpstr>
      <vt:lpstr>'412'!OSRRefE21_1x_5</vt:lpstr>
      <vt:lpstr>'415'!OSRRefE21_1x_5</vt:lpstr>
      <vt:lpstr>'418'!OSRRefE21_1x_5</vt:lpstr>
      <vt:lpstr>'423'!OSRRefE21_1x_5</vt:lpstr>
      <vt:lpstr>'430'!OSRRefE21_1x_5</vt:lpstr>
      <vt:lpstr>'433'!OSRRefE21_1x_5</vt:lpstr>
      <vt:lpstr>'444'!OSRRefE21_1x_5</vt:lpstr>
      <vt:lpstr>'450'!OSRRefE21_1x_5</vt:lpstr>
      <vt:lpstr>'491'!OSRRefE21_1x_5</vt:lpstr>
      <vt:lpstr>'492'!OSRRefE21_1x_5</vt:lpstr>
      <vt:lpstr>'501'!OSRRefE21_1x_5</vt:lpstr>
      <vt:lpstr>'Div 2'!OSRRefE21_1x_5</vt:lpstr>
      <vt:lpstr>'Div 3'!OSRRefE21_1x_5</vt:lpstr>
      <vt:lpstr>'Div 4'!OSRRefE21_1x_5</vt:lpstr>
      <vt:lpstr>'Div 5'!OSRRefE21_1x_5</vt:lpstr>
      <vt:lpstr>'Div 6'!OSRRefE21_1x_5</vt:lpstr>
      <vt:lpstr>Summary!OSRRefE21_1x_5</vt:lpstr>
      <vt:lpstr>'200'!OSRRefE21_1x_6</vt:lpstr>
      <vt:lpstr>'201'!OSRRefE21_1x_6</vt:lpstr>
      <vt:lpstr>'202'!OSRRefE21_1x_6</vt:lpstr>
      <vt:lpstr>'203'!OSRRefE21_1x_6</vt:lpstr>
      <vt:lpstr>'204'!OSRRefE21_1x_6</vt:lpstr>
      <vt:lpstr>'205'!OSRRefE21_1x_6</vt:lpstr>
      <vt:lpstr>'206'!OSRRefE21_1x_6</vt:lpstr>
      <vt:lpstr>'300'!OSRRefE21_1x_6</vt:lpstr>
      <vt:lpstr>'300 &amp; 317'!OSRRefE21_1x_6</vt:lpstr>
      <vt:lpstr>'301'!OSRRefE21_1x_6</vt:lpstr>
      <vt:lpstr>'307'!OSRRefE21_1x_6</vt:lpstr>
      <vt:lpstr>'308'!OSRRefE21_1x_6</vt:lpstr>
      <vt:lpstr>'309'!OSRRefE21_1x_6</vt:lpstr>
      <vt:lpstr>'310'!OSRRefE21_1x_6</vt:lpstr>
      <vt:lpstr>'310 &amp; 491'!OSRRefE21_1x_6</vt:lpstr>
      <vt:lpstr>'311'!OSRRefE21_1x_6</vt:lpstr>
      <vt:lpstr>'315'!OSRRefE21_1x_6</vt:lpstr>
      <vt:lpstr>'316'!OSRRefE21_1x_6</vt:lpstr>
      <vt:lpstr>'317'!OSRRefE21_1x_6</vt:lpstr>
      <vt:lpstr>'321'!OSRRefE21_1x_6</vt:lpstr>
      <vt:lpstr>'325'!OSRRefE21_1x_6</vt:lpstr>
      <vt:lpstr>'326'!OSRRefE21_1x_6</vt:lpstr>
      <vt:lpstr>'330'!OSRRefE21_1x_6</vt:lpstr>
      <vt:lpstr>'331'!OSRRefE21_1x_6</vt:lpstr>
      <vt:lpstr>'332'!OSRRefE21_1x_6</vt:lpstr>
      <vt:lpstr>'405'!OSRRefE21_1x_6</vt:lpstr>
      <vt:lpstr>'411'!OSRRefE21_1x_6</vt:lpstr>
      <vt:lpstr>'412'!OSRRefE21_1x_6</vt:lpstr>
      <vt:lpstr>'415'!OSRRefE21_1x_6</vt:lpstr>
      <vt:lpstr>'418'!OSRRefE21_1x_6</vt:lpstr>
      <vt:lpstr>'423'!OSRRefE21_1x_6</vt:lpstr>
      <vt:lpstr>'430'!OSRRefE21_1x_6</vt:lpstr>
      <vt:lpstr>'433'!OSRRefE21_1x_6</vt:lpstr>
      <vt:lpstr>'444'!OSRRefE21_1x_6</vt:lpstr>
      <vt:lpstr>'450'!OSRRefE21_1x_6</vt:lpstr>
      <vt:lpstr>'491'!OSRRefE21_1x_6</vt:lpstr>
      <vt:lpstr>'492'!OSRRefE21_1x_6</vt:lpstr>
      <vt:lpstr>'501'!OSRRefE21_1x_6</vt:lpstr>
      <vt:lpstr>'Div 2'!OSRRefE21_1x_6</vt:lpstr>
      <vt:lpstr>'Div 3'!OSRRefE21_1x_6</vt:lpstr>
      <vt:lpstr>'Div 4'!OSRRefE21_1x_6</vt:lpstr>
      <vt:lpstr>'Div 5'!OSRRefE21_1x_6</vt:lpstr>
      <vt:lpstr>'Div 6'!OSRRefE21_1x_6</vt:lpstr>
      <vt:lpstr>Summary!OSRRefE21_1x_6</vt:lpstr>
      <vt:lpstr>'200'!OSRRefE21_1x_7</vt:lpstr>
      <vt:lpstr>'201'!OSRRefE21_1x_7</vt:lpstr>
      <vt:lpstr>'202'!OSRRefE21_1x_7</vt:lpstr>
      <vt:lpstr>'203'!OSRRefE21_1x_7</vt:lpstr>
      <vt:lpstr>'204'!OSRRefE21_1x_7</vt:lpstr>
      <vt:lpstr>'205'!OSRRefE21_1x_7</vt:lpstr>
      <vt:lpstr>'206'!OSRRefE21_1x_7</vt:lpstr>
      <vt:lpstr>'300'!OSRRefE21_1x_7</vt:lpstr>
      <vt:lpstr>'300 &amp; 317'!OSRRefE21_1x_7</vt:lpstr>
      <vt:lpstr>'301'!OSRRefE21_1x_7</vt:lpstr>
      <vt:lpstr>'307'!OSRRefE21_1x_7</vt:lpstr>
      <vt:lpstr>'308'!OSRRefE21_1x_7</vt:lpstr>
      <vt:lpstr>'309'!OSRRefE21_1x_7</vt:lpstr>
      <vt:lpstr>'310'!OSRRefE21_1x_7</vt:lpstr>
      <vt:lpstr>'310 &amp; 491'!OSRRefE21_1x_7</vt:lpstr>
      <vt:lpstr>'311'!OSRRefE21_1x_7</vt:lpstr>
      <vt:lpstr>'315'!OSRRefE21_1x_7</vt:lpstr>
      <vt:lpstr>'316'!OSRRefE21_1x_7</vt:lpstr>
      <vt:lpstr>'317'!OSRRefE21_1x_7</vt:lpstr>
      <vt:lpstr>'321'!OSRRefE21_1x_7</vt:lpstr>
      <vt:lpstr>'325'!OSRRefE21_1x_7</vt:lpstr>
      <vt:lpstr>'326'!OSRRefE21_1x_7</vt:lpstr>
      <vt:lpstr>'330'!OSRRefE21_1x_7</vt:lpstr>
      <vt:lpstr>'331'!OSRRefE21_1x_7</vt:lpstr>
      <vt:lpstr>'332'!OSRRefE21_1x_7</vt:lpstr>
      <vt:lpstr>'405'!OSRRefE21_1x_7</vt:lpstr>
      <vt:lpstr>'411'!OSRRefE21_1x_7</vt:lpstr>
      <vt:lpstr>'412'!OSRRefE21_1x_7</vt:lpstr>
      <vt:lpstr>'415'!OSRRefE21_1x_7</vt:lpstr>
      <vt:lpstr>'418'!OSRRefE21_1x_7</vt:lpstr>
      <vt:lpstr>'423'!OSRRefE21_1x_7</vt:lpstr>
      <vt:lpstr>'430'!OSRRefE21_1x_7</vt:lpstr>
      <vt:lpstr>'433'!OSRRefE21_1x_7</vt:lpstr>
      <vt:lpstr>'444'!OSRRefE21_1x_7</vt:lpstr>
      <vt:lpstr>'450'!OSRRefE21_1x_7</vt:lpstr>
      <vt:lpstr>'491'!OSRRefE21_1x_7</vt:lpstr>
      <vt:lpstr>'492'!OSRRefE21_1x_7</vt:lpstr>
      <vt:lpstr>'501'!OSRRefE21_1x_7</vt:lpstr>
      <vt:lpstr>'Div 2'!OSRRefE21_1x_7</vt:lpstr>
      <vt:lpstr>'Div 3'!OSRRefE21_1x_7</vt:lpstr>
      <vt:lpstr>'Div 4'!OSRRefE21_1x_7</vt:lpstr>
      <vt:lpstr>'Div 5'!OSRRefE21_1x_7</vt:lpstr>
      <vt:lpstr>'Div 6'!OSRRefE21_1x_7</vt:lpstr>
      <vt:lpstr>Summary!OSRRefE21_1x_7</vt:lpstr>
      <vt:lpstr>'200'!OSRRefE21_1x_8</vt:lpstr>
      <vt:lpstr>'201'!OSRRefE21_1x_8</vt:lpstr>
      <vt:lpstr>'202'!OSRRefE21_1x_8</vt:lpstr>
      <vt:lpstr>'203'!OSRRefE21_1x_8</vt:lpstr>
      <vt:lpstr>'204'!OSRRefE21_1x_8</vt:lpstr>
      <vt:lpstr>'205'!OSRRefE21_1x_8</vt:lpstr>
      <vt:lpstr>'206'!OSRRefE21_1x_8</vt:lpstr>
      <vt:lpstr>'300'!OSRRefE21_1x_8</vt:lpstr>
      <vt:lpstr>'300 &amp; 317'!OSRRefE21_1x_8</vt:lpstr>
      <vt:lpstr>'301'!OSRRefE21_1x_8</vt:lpstr>
      <vt:lpstr>'307'!OSRRefE21_1x_8</vt:lpstr>
      <vt:lpstr>'308'!OSRRefE21_1x_8</vt:lpstr>
      <vt:lpstr>'309'!OSRRefE21_1x_8</vt:lpstr>
      <vt:lpstr>'310'!OSRRefE21_1x_8</vt:lpstr>
      <vt:lpstr>'310 &amp; 491'!OSRRefE21_1x_8</vt:lpstr>
      <vt:lpstr>'311'!OSRRefE21_1x_8</vt:lpstr>
      <vt:lpstr>'315'!OSRRefE21_1x_8</vt:lpstr>
      <vt:lpstr>'316'!OSRRefE21_1x_8</vt:lpstr>
      <vt:lpstr>'317'!OSRRefE21_1x_8</vt:lpstr>
      <vt:lpstr>'321'!OSRRefE21_1x_8</vt:lpstr>
      <vt:lpstr>'325'!OSRRefE21_1x_8</vt:lpstr>
      <vt:lpstr>'326'!OSRRefE21_1x_8</vt:lpstr>
      <vt:lpstr>'330'!OSRRefE21_1x_8</vt:lpstr>
      <vt:lpstr>'331'!OSRRefE21_1x_8</vt:lpstr>
      <vt:lpstr>'332'!OSRRefE21_1x_8</vt:lpstr>
      <vt:lpstr>'405'!OSRRefE21_1x_8</vt:lpstr>
      <vt:lpstr>'411'!OSRRefE21_1x_8</vt:lpstr>
      <vt:lpstr>'412'!OSRRefE21_1x_8</vt:lpstr>
      <vt:lpstr>'415'!OSRRefE21_1x_8</vt:lpstr>
      <vt:lpstr>'418'!OSRRefE21_1x_8</vt:lpstr>
      <vt:lpstr>'423'!OSRRefE21_1x_8</vt:lpstr>
      <vt:lpstr>'430'!OSRRefE21_1x_8</vt:lpstr>
      <vt:lpstr>'433'!OSRRefE21_1x_8</vt:lpstr>
      <vt:lpstr>'444'!OSRRefE21_1x_8</vt:lpstr>
      <vt:lpstr>'450'!OSRRefE21_1x_8</vt:lpstr>
      <vt:lpstr>'491'!OSRRefE21_1x_8</vt:lpstr>
      <vt:lpstr>'492'!OSRRefE21_1x_8</vt:lpstr>
      <vt:lpstr>'501'!OSRRefE21_1x_8</vt:lpstr>
      <vt:lpstr>'Div 2'!OSRRefE21_1x_8</vt:lpstr>
      <vt:lpstr>'Div 3'!OSRRefE21_1x_8</vt:lpstr>
      <vt:lpstr>'Div 4'!OSRRefE21_1x_8</vt:lpstr>
      <vt:lpstr>'Div 5'!OSRRefE21_1x_8</vt:lpstr>
      <vt:lpstr>'Div 6'!OSRRefE21_1x_8</vt:lpstr>
      <vt:lpstr>Summary!OSRRefE21_1x_8</vt:lpstr>
      <vt:lpstr>'200'!OSRRefE21_1x_9</vt:lpstr>
      <vt:lpstr>'201'!OSRRefE21_1x_9</vt:lpstr>
      <vt:lpstr>'202'!OSRRefE21_1x_9</vt:lpstr>
      <vt:lpstr>'203'!OSRRefE21_1x_9</vt:lpstr>
      <vt:lpstr>'204'!OSRRefE21_1x_9</vt:lpstr>
      <vt:lpstr>'205'!OSRRefE21_1x_9</vt:lpstr>
      <vt:lpstr>'206'!OSRRefE21_1x_9</vt:lpstr>
      <vt:lpstr>'300'!OSRRefE21_1x_9</vt:lpstr>
      <vt:lpstr>'300 &amp; 317'!OSRRefE21_1x_9</vt:lpstr>
      <vt:lpstr>'301'!OSRRefE21_1x_9</vt:lpstr>
      <vt:lpstr>'307'!OSRRefE21_1x_9</vt:lpstr>
      <vt:lpstr>'308'!OSRRefE21_1x_9</vt:lpstr>
      <vt:lpstr>'309'!OSRRefE21_1x_9</vt:lpstr>
      <vt:lpstr>'310'!OSRRefE21_1x_9</vt:lpstr>
      <vt:lpstr>'310 &amp; 491'!OSRRefE21_1x_9</vt:lpstr>
      <vt:lpstr>'311'!OSRRefE21_1x_9</vt:lpstr>
      <vt:lpstr>'315'!OSRRefE21_1x_9</vt:lpstr>
      <vt:lpstr>'316'!OSRRefE21_1x_9</vt:lpstr>
      <vt:lpstr>'317'!OSRRefE21_1x_9</vt:lpstr>
      <vt:lpstr>'321'!OSRRefE21_1x_9</vt:lpstr>
      <vt:lpstr>'325'!OSRRefE21_1x_9</vt:lpstr>
      <vt:lpstr>'326'!OSRRefE21_1x_9</vt:lpstr>
      <vt:lpstr>'330'!OSRRefE21_1x_9</vt:lpstr>
      <vt:lpstr>'331'!OSRRefE21_1x_9</vt:lpstr>
      <vt:lpstr>'332'!OSRRefE21_1x_9</vt:lpstr>
      <vt:lpstr>'405'!OSRRefE21_1x_9</vt:lpstr>
      <vt:lpstr>'411'!OSRRefE21_1x_9</vt:lpstr>
      <vt:lpstr>'412'!OSRRefE21_1x_9</vt:lpstr>
      <vt:lpstr>'415'!OSRRefE21_1x_9</vt:lpstr>
      <vt:lpstr>'418'!OSRRefE21_1x_9</vt:lpstr>
      <vt:lpstr>'423'!OSRRefE21_1x_9</vt:lpstr>
      <vt:lpstr>'430'!OSRRefE21_1x_9</vt:lpstr>
      <vt:lpstr>'433'!OSRRefE21_1x_9</vt:lpstr>
      <vt:lpstr>'444'!OSRRefE21_1x_9</vt:lpstr>
      <vt:lpstr>'450'!OSRRefE21_1x_9</vt:lpstr>
      <vt:lpstr>'491'!OSRRefE21_1x_9</vt:lpstr>
      <vt:lpstr>'492'!OSRRefE21_1x_9</vt:lpstr>
      <vt:lpstr>'501'!OSRRefE21_1x_9</vt:lpstr>
      <vt:lpstr>'Div 2'!OSRRefE21_1x_9</vt:lpstr>
      <vt:lpstr>'Div 3'!OSRRefE21_1x_9</vt:lpstr>
      <vt:lpstr>'Div 4'!OSRRefE21_1x_9</vt:lpstr>
      <vt:lpstr>'Div 5'!OSRRefE21_1x_9</vt:lpstr>
      <vt:lpstr>'Div 6'!OSRRefE21_1x_9</vt:lpstr>
      <vt:lpstr>Summary!OSRRefE21_1x_9</vt:lpstr>
      <vt:lpstr>'200'!OSRRefE21_2_0x</vt:lpstr>
      <vt:lpstr>'201'!OSRRefE21_2_0x</vt:lpstr>
      <vt:lpstr>'202'!OSRRefE21_2_0x</vt:lpstr>
      <vt:lpstr>'203'!OSRRefE21_2_0x</vt:lpstr>
      <vt:lpstr>'204'!OSRRefE21_2_0x</vt:lpstr>
      <vt:lpstr>'205'!OSRRefE21_2_0x</vt:lpstr>
      <vt:lpstr>'206'!OSRRefE21_2_0x</vt:lpstr>
      <vt:lpstr>'300'!OSRRefE21_2_0x</vt:lpstr>
      <vt:lpstr>'300 &amp; 317'!OSRRefE21_2_0x</vt:lpstr>
      <vt:lpstr>'301'!OSRRefE21_2_0x</vt:lpstr>
      <vt:lpstr>'307'!OSRRefE21_2_0x</vt:lpstr>
      <vt:lpstr>'308'!OSRRefE21_2_0x</vt:lpstr>
      <vt:lpstr>'309'!OSRRefE21_2_0x</vt:lpstr>
      <vt:lpstr>'310'!OSRRefE21_2_0x</vt:lpstr>
      <vt:lpstr>'310 &amp; 491'!OSRRefE21_2_0x</vt:lpstr>
      <vt:lpstr>'311'!OSRRefE21_2_0x</vt:lpstr>
      <vt:lpstr>'315'!OSRRefE21_2_0x</vt:lpstr>
      <vt:lpstr>'316'!OSRRefE21_2_0x</vt:lpstr>
      <vt:lpstr>'317'!OSRRefE21_2_0x</vt:lpstr>
      <vt:lpstr>'321'!OSRRefE21_2_0x</vt:lpstr>
      <vt:lpstr>'325'!OSRRefE21_2_0x</vt:lpstr>
      <vt:lpstr>'326'!OSRRefE21_2_0x</vt:lpstr>
      <vt:lpstr>'330'!OSRRefE21_2_0x</vt:lpstr>
      <vt:lpstr>'331'!OSRRefE21_2_0x</vt:lpstr>
      <vt:lpstr>'332'!OSRRefE21_2_0x</vt:lpstr>
      <vt:lpstr>'405'!OSRRefE21_2_0x</vt:lpstr>
      <vt:lpstr>'411'!OSRRefE21_2_0x</vt:lpstr>
      <vt:lpstr>'415'!OSRRefE21_2_0x</vt:lpstr>
      <vt:lpstr>'418'!OSRRefE21_2_0x</vt:lpstr>
      <vt:lpstr>'423'!OSRRefE21_2_0x</vt:lpstr>
      <vt:lpstr>'430'!OSRRefE21_2_0x</vt:lpstr>
      <vt:lpstr>'433'!OSRRefE21_2_0x</vt:lpstr>
      <vt:lpstr>'444'!OSRRefE21_2_0x</vt:lpstr>
      <vt:lpstr>'450'!OSRRefE21_2_0x</vt:lpstr>
      <vt:lpstr>'491'!OSRRefE21_2_0x</vt:lpstr>
      <vt:lpstr>'492'!OSRRefE21_2_0x</vt:lpstr>
      <vt:lpstr>'501'!OSRRefE21_2_0x</vt:lpstr>
      <vt:lpstr>'Div 2'!OSRRefE21_2_0x</vt:lpstr>
      <vt:lpstr>'Div 3'!OSRRefE21_2_0x</vt:lpstr>
      <vt:lpstr>'Div 4'!OSRRefE21_2_0x</vt:lpstr>
      <vt:lpstr>'Div 5'!OSRRefE21_2_0x</vt:lpstr>
      <vt:lpstr>'Div 6'!OSRRefE21_2_0x</vt:lpstr>
      <vt:lpstr>Summary!OSRRefE21_2_0x</vt:lpstr>
      <vt:lpstr>'204'!OSRRefE21_2_1x</vt:lpstr>
      <vt:lpstr>'300'!OSRRefE21_20_0x</vt:lpstr>
      <vt:lpstr>'300 &amp; 317'!OSRRefE21_20_0x</vt:lpstr>
      <vt:lpstr>'301'!OSRRefE21_20_0x</vt:lpstr>
      <vt:lpstr>'310 &amp; 491'!OSRRefE21_20_0x</vt:lpstr>
      <vt:lpstr>'Div 3'!OSRRefE21_20_0x</vt:lpstr>
      <vt:lpstr>'Div 4'!OSRRefE21_20_0x</vt:lpstr>
      <vt:lpstr>Summary!OSRRefE21_20_0x</vt:lpstr>
      <vt:lpstr>'300'!OSRRefE21_20_1x</vt:lpstr>
      <vt:lpstr>'300 &amp; 317'!OSRRefE21_20_1x</vt:lpstr>
      <vt:lpstr>'Div 3'!OSRRefE21_20_1x</vt:lpstr>
      <vt:lpstr>Summary!OSRRefE21_20_1x</vt:lpstr>
      <vt:lpstr>'300'!OSRRefE21_20_2x</vt:lpstr>
      <vt:lpstr>'300 &amp; 317'!OSRRefE21_20_2x</vt:lpstr>
      <vt:lpstr>Summary!OSRRefE21_20_2x</vt:lpstr>
      <vt:lpstr>'300'!OSRRefE21_20_3x</vt:lpstr>
      <vt:lpstr>'300 &amp; 317'!OSRRefE21_20_3x</vt:lpstr>
      <vt:lpstr>Summary!OSRRefE21_20_3x</vt:lpstr>
      <vt:lpstr>'300'!OSRRefE21_20_4x</vt:lpstr>
      <vt:lpstr>'300 &amp; 317'!OSRRefE21_20_4x</vt:lpstr>
      <vt:lpstr>Summary!OSRRefE21_20_4x</vt:lpstr>
      <vt:lpstr>'300'!OSRRefE21_20_5x</vt:lpstr>
      <vt:lpstr>'300 &amp; 317'!OSRRefE21_20_5x</vt:lpstr>
      <vt:lpstr>'300'!OSRRefE21_20_6x</vt:lpstr>
      <vt:lpstr>'300 &amp; 317'!OSRRefE21_20_6x</vt:lpstr>
      <vt:lpstr>'300'!OSRRefE21_20x_0</vt:lpstr>
      <vt:lpstr>'300 &amp; 317'!OSRRefE21_20x_0</vt:lpstr>
      <vt:lpstr>'301'!OSRRefE21_20x_0</vt:lpstr>
      <vt:lpstr>'310 &amp; 491'!OSRRefE21_20x_0</vt:lpstr>
      <vt:lpstr>'Div 3'!OSRRefE21_20x_0</vt:lpstr>
      <vt:lpstr>'Div 4'!OSRRefE21_20x_0</vt:lpstr>
      <vt:lpstr>Summary!OSRRefE21_20x_0</vt:lpstr>
      <vt:lpstr>'300'!OSRRefE21_20x_1</vt:lpstr>
      <vt:lpstr>'300 &amp; 317'!OSRRefE21_20x_1</vt:lpstr>
      <vt:lpstr>'301'!OSRRefE21_20x_1</vt:lpstr>
      <vt:lpstr>'310 &amp; 491'!OSRRefE21_20x_1</vt:lpstr>
      <vt:lpstr>'Div 3'!OSRRefE21_20x_1</vt:lpstr>
      <vt:lpstr>'Div 4'!OSRRefE21_20x_1</vt:lpstr>
      <vt:lpstr>Summary!OSRRefE21_20x_1</vt:lpstr>
      <vt:lpstr>'300'!OSRRefE21_20x_10</vt:lpstr>
      <vt:lpstr>'300 &amp; 317'!OSRRefE21_20x_10</vt:lpstr>
      <vt:lpstr>'301'!OSRRefE21_20x_10</vt:lpstr>
      <vt:lpstr>'310 &amp; 491'!OSRRefE21_20x_10</vt:lpstr>
      <vt:lpstr>'Div 3'!OSRRefE21_20x_10</vt:lpstr>
      <vt:lpstr>'Div 4'!OSRRefE21_20x_10</vt:lpstr>
      <vt:lpstr>Summary!OSRRefE21_20x_10</vt:lpstr>
      <vt:lpstr>'300'!OSRRefE21_20x_2</vt:lpstr>
      <vt:lpstr>'300 &amp; 317'!OSRRefE21_20x_2</vt:lpstr>
      <vt:lpstr>'301'!OSRRefE21_20x_2</vt:lpstr>
      <vt:lpstr>'310 &amp; 491'!OSRRefE21_20x_2</vt:lpstr>
      <vt:lpstr>'Div 3'!OSRRefE21_20x_2</vt:lpstr>
      <vt:lpstr>'Div 4'!OSRRefE21_20x_2</vt:lpstr>
      <vt:lpstr>Summary!OSRRefE21_20x_2</vt:lpstr>
      <vt:lpstr>'300'!OSRRefE21_20x_3</vt:lpstr>
      <vt:lpstr>'300 &amp; 317'!OSRRefE21_20x_3</vt:lpstr>
      <vt:lpstr>'301'!OSRRefE21_20x_3</vt:lpstr>
      <vt:lpstr>'310 &amp; 491'!OSRRefE21_20x_3</vt:lpstr>
      <vt:lpstr>'Div 3'!OSRRefE21_20x_3</vt:lpstr>
      <vt:lpstr>'Div 4'!OSRRefE21_20x_3</vt:lpstr>
      <vt:lpstr>Summary!OSRRefE21_20x_3</vt:lpstr>
      <vt:lpstr>'300'!OSRRefE21_20x_4</vt:lpstr>
      <vt:lpstr>'300 &amp; 317'!OSRRefE21_20x_4</vt:lpstr>
      <vt:lpstr>'301'!OSRRefE21_20x_4</vt:lpstr>
      <vt:lpstr>'310 &amp; 491'!OSRRefE21_20x_4</vt:lpstr>
      <vt:lpstr>'Div 3'!OSRRefE21_20x_4</vt:lpstr>
      <vt:lpstr>'Div 4'!OSRRefE21_20x_4</vt:lpstr>
      <vt:lpstr>Summary!OSRRefE21_20x_4</vt:lpstr>
      <vt:lpstr>'300'!OSRRefE21_20x_5</vt:lpstr>
      <vt:lpstr>'300 &amp; 317'!OSRRefE21_20x_5</vt:lpstr>
      <vt:lpstr>'301'!OSRRefE21_20x_5</vt:lpstr>
      <vt:lpstr>'310 &amp; 491'!OSRRefE21_20x_5</vt:lpstr>
      <vt:lpstr>'Div 3'!OSRRefE21_20x_5</vt:lpstr>
      <vt:lpstr>'Div 4'!OSRRefE21_20x_5</vt:lpstr>
      <vt:lpstr>Summary!OSRRefE21_20x_5</vt:lpstr>
      <vt:lpstr>'300'!OSRRefE21_20x_6</vt:lpstr>
      <vt:lpstr>'300 &amp; 317'!OSRRefE21_20x_6</vt:lpstr>
      <vt:lpstr>'301'!OSRRefE21_20x_6</vt:lpstr>
      <vt:lpstr>'310 &amp; 491'!OSRRefE21_20x_6</vt:lpstr>
      <vt:lpstr>'Div 3'!OSRRefE21_20x_6</vt:lpstr>
      <vt:lpstr>'Div 4'!OSRRefE21_20x_6</vt:lpstr>
      <vt:lpstr>Summary!OSRRefE21_20x_6</vt:lpstr>
      <vt:lpstr>'300'!OSRRefE21_20x_7</vt:lpstr>
      <vt:lpstr>'300 &amp; 317'!OSRRefE21_20x_7</vt:lpstr>
      <vt:lpstr>'301'!OSRRefE21_20x_7</vt:lpstr>
      <vt:lpstr>'310 &amp; 491'!OSRRefE21_20x_7</vt:lpstr>
      <vt:lpstr>'Div 3'!OSRRefE21_20x_7</vt:lpstr>
      <vt:lpstr>'Div 4'!OSRRefE21_20x_7</vt:lpstr>
      <vt:lpstr>Summary!OSRRefE21_20x_7</vt:lpstr>
      <vt:lpstr>'300'!OSRRefE21_20x_8</vt:lpstr>
      <vt:lpstr>'300 &amp; 317'!OSRRefE21_20x_8</vt:lpstr>
      <vt:lpstr>'301'!OSRRefE21_20x_8</vt:lpstr>
      <vt:lpstr>'310 &amp; 491'!OSRRefE21_20x_8</vt:lpstr>
      <vt:lpstr>'Div 3'!OSRRefE21_20x_8</vt:lpstr>
      <vt:lpstr>'Div 4'!OSRRefE21_20x_8</vt:lpstr>
      <vt:lpstr>Summary!OSRRefE21_20x_8</vt:lpstr>
      <vt:lpstr>'300'!OSRRefE21_20x_9</vt:lpstr>
      <vt:lpstr>'300 &amp; 317'!OSRRefE21_20x_9</vt:lpstr>
      <vt:lpstr>'301'!OSRRefE21_20x_9</vt:lpstr>
      <vt:lpstr>'310 &amp; 491'!OSRRefE21_20x_9</vt:lpstr>
      <vt:lpstr>'Div 3'!OSRRefE21_20x_9</vt:lpstr>
      <vt:lpstr>'Div 4'!OSRRefE21_20x_9</vt:lpstr>
      <vt:lpstr>Summary!OSRRefE21_20x_9</vt:lpstr>
      <vt:lpstr>'300'!OSRRefE21_21_0x</vt:lpstr>
      <vt:lpstr>'300 &amp; 317'!OSRRefE21_21_0x</vt:lpstr>
      <vt:lpstr>'Div 3'!OSRRefE21_21_0x</vt:lpstr>
      <vt:lpstr>'Div 4'!OSRRefE21_21_0x</vt:lpstr>
      <vt:lpstr>Summary!OSRRefE21_21_0x</vt:lpstr>
      <vt:lpstr>'300'!OSRRefE21_21_1x</vt:lpstr>
      <vt:lpstr>'300 &amp; 317'!OSRRefE21_21_1x</vt:lpstr>
      <vt:lpstr>'Div 3'!OSRRefE21_21_1x</vt:lpstr>
      <vt:lpstr>Summary!OSRRefE21_21_1x</vt:lpstr>
      <vt:lpstr>'Div 3'!OSRRefE21_21_2x</vt:lpstr>
      <vt:lpstr>'Div 3'!OSRRefE21_21_3x</vt:lpstr>
      <vt:lpstr>'Div 3'!OSRRefE21_21_4x</vt:lpstr>
      <vt:lpstr>'Div 3'!OSRRefE21_21_5x</vt:lpstr>
      <vt:lpstr>'Div 3'!OSRRefE21_21_6x</vt:lpstr>
      <vt:lpstr>'300'!OSRRefE21_21x_0</vt:lpstr>
      <vt:lpstr>'300 &amp; 317'!OSRRefE21_21x_0</vt:lpstr>
      <vt:lpstr>'Div 3'!OSRRefE21_21x_0</vt:lpstr>
      <vt:lpstr>'Div 4'!OSRRefE21_21x_0</vt:lpstr>
      <vt:lpstr>Summary!OSRRefE21_21x_0</vt:lpstr>
      <vt:lpstr>'300'!OSRRefE21_21x_1</vt:lpstr>
      <vt:lpstr>'300 &amp; 317'!OSRRefE21_21x_1</vt:lpstr>
      <vt:lpstr>'Div 3'!OSRRefE21_21x_1</vt:lpstr>
      <vt:lpstr>'Div 4'!OSRRefE21_21x_1</vt:lpstr>
      <vt:lpstr>Summary!OSRRefE21_21x_1</vt:lpstr>
      <vt:lpstr>'300'!OSRRefE21_21x_10</vt:lpstr>
      <vt:lpstr>'300 &amp; 317'!OSRRefE21_21x_10</vt:lpstr>
      <vt:lpstr>'Div 3'!OSRRefE21_21x_10</vt:lpstr>
      <vt:lpstr>'Div 4'!OSRRefE21_21x_10</vt:lpstr>
      <vt:lpstr>Summary!OSRRefE21_21x_10</vt:lpstr>
      <vt:lpstr>'300'!OSRRefE21_21x_2</vt:lpstr>
      <vt:lpstr>'300 &amp; 317'!OSRRefE21_21x_2</vt:lpstr>
      <vt:lpstr>'Div 3'!OSRRefE21_21x_2</vt:lpstr>
      <vt:lpstr>'Div 4'!OSRRefE21_21x_2</vt:lpstr>
      <vt:lpstr>Summary!OSRRefE21_21x_2</vt:lpstr>
      <vt:lpstr>'300'!OSRRefE21_21x_3</vt:lpstr>
      <vt:lpstr>'300 &amp; 317'!OSRRefE21_21x_3</vt:lpstr>
      <vt:lpstr>'Div 3'!OSRRefE21_21x_3</vt:lpstr>
      <vt:lpstr>'Div 4'!OSRRefE21_21x_3</vt:lpstr>
      <vt:lpstr>Summary!OSRRefE21_21x_3</vt:lpstr>
      <vt:lpstr>'300'!OSRRefE21_21x_4</vt:lpstr>
      <vt:lpstr>'300 &amp; 317'!OSRRefE21_21x_4</vt:lpstr>
      <vt:lpstr>'Div 3'!OSRRefE21_21x_4</vt:lpstr>
      <vt:lpstr>'Div 4'!OSRRefE21_21x_4</vt:lpstr>
      <vt:lpstr>Summary!OSRRefE21_21x_4</vt:lpstr>
      <vt:lpstr>'300'!OSRRefE21_21x_5</vt:lpstr>
      <vt:lpstr>'300 &amp; 317'!OSRRefE21_21x_5</vt:lpstr>
      <vt:lpstr>'Div 3'!OSRRefE21_21x_5</vt:lpstr>
      <vt:lpstr>'Div 4'!OSRRefE21_21x_5</vt:lpstr>
      <vt:lpstr>Summary!OSRRefE21_21x_5</vt:lpstr>
      <vt:lpstr>'300'!OSRRefE21_21x_6</vt:lpstr>
      <vt:lpstr>'300 &amp; 317'!OSRRefE21_21x_6</vt:lpstr>
      <vt:lpstr>'Div 3'!OSRRefE21_21x_6</vt:lpstr>
      <vt:lpstr>'Div 4'!OSRRefE21_21x_6</vt:lpstr>
      <vt:lpstr>Summary!OSRRefE21_21x_6</vt:lpstr>
      <vt:lpstr>'300'!OSRRefE21_21x_7</vt:lpstr>
      <vt:lpstr>'300 &amp; 317'!OSRRefE21_21x_7</vt:lpstr>
      <vt:lpstr>'Div 3'!OSRRefE21_21x_7</vt:lpstr>
      <vt:lpstr>'Div 4'!OSRRefE21_21x_7</vt:lpstr>
      <vt:lpstr>Summary!OSRRefE21_21x_7</vt:lpstr>
      <vt:lpstr>'300'!OSRRefE21_21x_8</vt:lpstr>
      <vt:lpstr>'300 &amp; 317'!OSRRefE21_21x_8</vt:lpstr>
      <vt:lpstr>'Div 3'!OSRRefE21_21x_8</vt:lpstr>
      <vt:lpstr>'Div 4'!OSRRefE21_21x_8</vt:lpstr>
      <vt:lpstr>Summary!OSRRefE21_21x_8</vt:lpstr>
      <vt:lpstr>'300'!OSRRefE21_21x_9</vt:lpstr>
      <vt:lpstr>'300 &amp; 317'!OSRRefE21_21x_9</vt:lpstr>
      <vt:lpstr>'Div 3'!OSRRefE21_21x_9</vt:lpstr>
      <vt:lpstr>'Div 4'!OSRRefE21_21x_9</vt:lpstr>
      <vt:lpstr>Summary!OSRRefE21_21x_9</vt:lpstr>
      <vt:lpstr>'300'!OSRRefE21_22_0x</vt:lpstr>
      <vt:lpstr>'300 &amp; 317'!OSRRefE21_22_0x</vt:lpstr>
      <vt:lpstr>'Div 3'!OSRRefE21_22_0x</vt:lpstr>
      <vt:lpstr>Summary!OSRRefE21_22_0x</vt:lpstr>
      <vt:lpstr>'Div 3'!OSRRefE21_22_1x</vt:lpstr>
      <vt:lpstr>Summary!OSRRefE21_22_1x</vt:lpstr>
      <vt:lpstr>Summary!OSRRefE21_22_2x</vt:lpstr>
      <vt:lpstr>Summary!OSRRefE21_22_3x</vt:lpstr>
      <vt:lpstr>Summary!OSRRefE21_22_4x</vt:lpstr>
      <vt:lpstr>Summary!OSRRefE21_22_5x</vt:lpstr>
      <vt:lpstr>Summary!OSRRefE21_22_6x</vt:lpstr>
      <vt:lpstr>Summary!OSRRefE21_22_7x</vt:lpstr>
      <vt:lpstr>Summary!OSRRefE21_22_8x</vt:lpstr>
      <vt:lpstr>Summary!OSRRefE21_22_9x</vt:lpstr>
      <vt:lpstr>'300'!OSRRefE21_22x_0</vt:lpstr>
      <vt:lpstr>'300 &amp; 317'!OSRRefE21_22x_0</vt:lpstr>
      <vt:lpstr>'Div 3'!OSRRefE21_22x_0</vt:lpstr>
      <vt:lpstr>Summary!OSRRefE21_22x_0</vt:lpstr>
      <vt:lpstr>'300'!OSRRefE21_22x_1</vt:lpstr>
      <vt:lpstr>'300 &amp; 317'!OSRRefE21_22x_1</vt:lpstr>
      <vt:lpstr>'Div 3'!OSRRefE21_22x_1</vt:lpstr>
      <vt:lpstr>Summary!OSRRefE21_22x_1</vt:lpstr>
      <vt:lpstr>'300'!OSRRefE21_22x_10</vt:lpstr>
      <vt:lpstr>'300 &amp; 317'!OSRRefE21_22x_10</vt:lpstr>
      <vt:lpstr>'Div 3'!OSRRefE21_22x_10</vt:lpstr>
      <vt:lpstr>Summary!OSRRefE21_22x_10</vt:lpstr>
      <vt:lpstr>'300'!OSRRefE21_22x_2</vt:lpstr>
      <vt:lpstr>'300 &amp; 317'!OSRRefE21_22x_2</vt:lpstr>
      <vt:lpstr>'Div 3'!OSRRefE21_22x_2</vt:lpstr>
      <vt:lpstr>Summary!OSRRefE21_22x_2</vt:lpstr>
      <vt:lpstr>'300'!OSRRefE21_22x_3</vt:lpstr>
      <vt:lpstr>'300 &amp; 317'!OSRRefE21_22x_3</vt:lpstr>
      <vt:lpstr>'Div 3'!OSRRefE21_22x_3</vt:lpstr>
      <vt:lpstr>Summary!OSRRefE21_22x_3</vt:lpstr>
      <vt:lpstr>'300'!OSRRefE21_22x_4</vt:lpstr>
      <vt:lpstr>'300 &amp; 317'!OSRRefE21_22x_4</vt:lpstr>
      <vt:lpstr>'Div 3'!OSRRefE21_22x_4</vt:lpstr>
      <vt:lpstr>Summary!OSRRefE21_22x_4</vt:lpstr>
      <vt:lpstr>'300'!OSRRefE21_22x_5</vt:lpstr>
      <vt:lpstr>'300 &amp; 317'!OSRRefE21_22x_5</vt:lpstr>
      <vt:lpstr>'Div 3'!OSRRefE21_22x_5</vt:lpstr>
      <vt:lpstr>Summary!OSRRefE21_22x_5</vt:lpstr>
      <vt:lpstr>'300'!OSRRefE21_22x_6</vt:lpstr>
      <vt:lpstr>'300 &amp; 317'!OSRRefE21_22x_6</vt:lpstr>
      <vt:lpstr>'Div 3'!OSRRefE21_22x_6</vt:lpstr>
      <vt:lpstr>Summary!OSRRefE21_22x_6</vt:lpstr>
      <vt:lpstr>'300'!OSRRefE21_22x_7</vt:lpstr>
      <vt:lpstr>'300 &amp; 317'!OSRRefE21_22x_7</vt:lpstr>
      <vt:lpstr>'Div 3'!OSRRefE21_22x_7</vt:lpstr>
      <vt:lpstr>Summary!OSRRefE21_22x_7</vt:lpstr>
      <vt:lpstr>'300'!OSRRefE21_22x_8</vt:lpstr>
      <vt:lpstr>'300 &amp; 317'!OSRRefE21_22x_8</vt:lpstr>
      <vt:lpstr>'Div 3'!OSRRefE21_22x_8</vt:lpstr>
      <vt:lpstr>Summary!OSRRefE21_22x_8</vt:lpstr>
      <vt:lpstr>'300'!OSRRefE21_22x_9</vt:lpstr>
      <vt:lpstr>'300 &amp; 317'!OSRRefE21_22x_9</vt:lpstr>
      <vt:lpstr>'Div 3'!OSRRefE21_22x_9</vt:lpstr>
      <vt:lpstr>Summary!OSRRefE21_22x_9</vt:lpstr>
      <vt:lpstr>'300'!OSRRefE21_23_0x</vt:lpstr>
      <vt:lpstr>'300 &amp; 317'!OSRRefE21_23_0x</vt:lpstr>
      <vt:lpstr>'Div 3'!OSRRefE21_23_0x</vt:lpstr>
      <vt:lpstr>Summary!OSRRefE21_23_0x</vt:lpstr>
      <vt:lpstr>'300'!OSRRefE21_23_1x</vt:lpstr>
      <vt:lpstr>'300 &amp; 317'!OSRRefE21_23_1x</vt:lpstr>
      <vt:lpstr>Summary!OSRRefE21_23_1x</vt:lpstr>
      <vt:lpstr>'300'!OSRRefE21_23_2x</vt:lpstr>
      <vt:lpstr>'300 &amp; 317'!OSRRefE21_23_2x</vt:lpstr>
      <vt:lpstr>'300'!OSRRefE21_23x_0</vt:lpstr>
      <vt:lpstr>'300 &amp; 317'!OSRRefE21_23x_0</vt:lpstr>
      <vt:lpstr>'Div 3'!OSRRefE21_23x_0</vt:lpstr>
      <vt:lpstr>Summary!OSRRefE21_23x_0</vt:lpstr>
      <vt:lpstr>'300'!OSRRefE21_23x_1</vt:lpstr>
      <vt:lpstr>'300 &amp; 317'!OSRRefE21_23x_1</vt:lpstr>
      <vt:lpstr>'Div 3'!OSRRefE21_23x_1</vt:lpstr>
      <vt:lpstr>Summary!OSRRefE21_23x_1</vt:lpstr>
      <vt:lpstr>'300'!OSRRefE21_23x_10</vt:lpstr>
      <vt:lpstr>'300 &amp; 317'!OSRRefE21_23x_10</vt:lpstr>
      <vt:lpstr>'Div 3'!OSRRefE21_23x_10</vt:lpstr>
      <vt:lpstr>Summary!OSRRefE21_23x_10</vt:lpstr>
      <vt:lpstr>'300'!OSRRefE21_23x_2</vt:lpstr>
      <vt:lpstr>'300 &amp; 317'!OSRRefE21_23x_2</vt:lpstr>
      <vt:lpstr>'Div 3'!OSRRefE21_23x_2</vt:lpstr>
      <vt:lpstr>Summary!OSRRefE21_23x_2</vt:lpstr>
      <vt:lpstr>'300'!OSRRefE21_23x_3</vt:lpstr>
      <vt:lpstr>'300 &amp; 317'!OSRRefE21_23x_3</vt:lpstr>
      <vt:lpstr>'Div 3'!OSRRefE21_23x_3</vt:lpstr>
      <vt:lpstr>Summary!OSRRefE21_23x_3</vt:lpstr>
      <vt:lpstr>'300'!OSRRefE21_23x_4</vt:lpstr>
      <vt:lpstr>'300 &amp; 317'!OSRRefE21_23x_4</vt:lpstr>
      <vt:lpstr>'Div 3'!OSRRefE21_23x_4</vt:lpstr>
      <vt:lpstr>Summary!OSRRefE21_23x_4</vt:lpstr>
      <vt:lpstr>'300'!OSRRefE21_23x_5</vt:lpstr>
      <vt:lpstr>'300 &amp; 317'!OSRRefE21_23x_5</vt:lpstr>
      <vt:lpstr>'Div 3'!OSRRefE21_23x_5</vt:lpstr>
      <vt:lpstr>Summary!OSRRefE21_23x_5</vt:lpstr>
      <vt:lpstr>'300'!OSRRefE21_23x_6</vt:lpstr>
      <vt:lpstr>'300 &amp; 317'!OSRRefE21_23x_6</vt:lpstr>
      <vt:lpstr>'Div 3'!OSRRefE21_23x_6</vt:lpstr>
      <vt:lpstr>Summary!OSRRefE21_23x_6</vt:lpstr>
      <vt:lpstr>'300'!OSRRefE21_23x_7</vt:lpstr>
      <vt:lpstr>'300 &amp; 317'!OSRRefE21_23x_7</vt:lpstr>
      <vt:lpstr>'Div 3'!OSRRefE21_23x_7</vt:lpstr>
      <vt:lpstr>Summary!OSRRefE21_23x_7</vt:lpstr>
      <vt:lpstr>'300'!OSRRefE21_23x_8</vt:lpstr>
      <vt:lpstr>'300 &amp; 317'!OSRRefE21_23x_8</vt:lpstr>
      <vt:lpstr>'Div 3'!OSRRefE21_23x_8</vt:lpstr>
      <vt:lpstr>Summary!OSRRefE21_23x_8</vt:lpstr>
      <vt:lpstr>'300'!OSRRefE21_23x_9</vt:lpstr>
      <vt:lpstr>'300 &amp; 317'!OSRRefE21_23x_9</vt:lpstr>
      <vt:lpstr>'Div 3'!OSRRefE21_23x_9</vt:lpstr>
      <vt:lpstr>Summary!OSRRefE21_23x_9</vt:lpstr>
      <vt:lpstr>'300'!OSRRefE21_24_0x</vt:lpstr>
      <vt:lpstr>'300 &amp; 317'!OSRRefE21_24_0x</vt:lpstr>
      <vt:lpstr>'Div 3'!OSRRefE21_24_0x</vt:lpstr>
      <vt:lpstr>Summary!OSRRefE21_24_0x</vt:lpstr>
      <vt:lpstr>'Div 3'!OSRRefE21_24_1x</vt:lpstr>
      <vt:lpstr>'Div 3'!OSRRefE21_24_2x</vt:lpstr>
      <vt:lpstr>'300'!OSRRefE21_24x_0</vt:lpstr>
      <vt:lpstr>'300 &amp; 317'!OSRRefE21_24x_0</vt:lpstr>
      <vt:lpstr>'Div 3'!OSRRefE21_24x_0</vt:lpstr>
      <vt:lpstr>Summary!OSRRefE21_24x_0</vt:lpstr>
      <vt:lpstr>'300'!OSRRefE21_24x_1</vt:lpstr>
      <vt:lpstr>'300 &amp; 317'!OSRRefE21_24x_1</vt:lpstr>
      <vt:lpstr>'Div 3'!OSRRefE21_24x_1</vt:lpstr>
      <vt:lpstr>Summary!OSRRefE21_24x_1</vt:lpstr>
      <vt:lpstr>'300'!OSRRefE21_24x_10</vt:lpstr>
      <vt:lpstr>'300 &amp; 317'!OSRRefE21_24x_10</vt:lpstr>
      <vt:lpstr>'Div 3'!OSRRefE21_24x_10</vt:lpstr>
      <vt:lpstr>Summary!OSRRefE21_24x_10</vt:lpstr>
      <vt:lpstr>'300'!OSRRefE21_24x_2</vt:lpstr>
      <vt:lpstr>'300 &amp; 317'!OSRRefE21_24x_2</vt:lpstr>
      <vt:lpstr>'Div 3'!OSRRefE21_24x_2</vt:lpstr>
      <vt:lpstr>Summary!OSRRefE21_24x_2</vt:lpstr>
      <vt:lpstr>'300'!OSRRefE21_24x_3</vt:lpstr>
      <vt:lpstr>'300 &amp; 317'!OSRRefE21_24x_3</vt:lpstr>
      <vt:lpstr>'Div 3'!OSRRefE21_24x_3</vt:lpstr>
      <vt:lpstr>Summary!OSRRefE21_24x_3</vt:lpstr>
      <vt:lpstr>'300'!OSRRefE21_24x_4</vt:lpstr>
      <vt:lpstr>'300 &amp; 317'!OSRRefE21_24x_4</vt:lpstr>
      <vt:lpstr>'Div 3'!OSRRefE21_24x_4</vt:lpstr>
      <vt:lpstr>Summary!OSRRefE21_24x_4</vt:lpstr>
      <vt:lpstr>'300'!OSRRefE21_24x_5</vt:lpstr>
      <vt:lpstr>'300 &amp; 317'!OSRRefE21_24x_5</vt:lpstr>
      <vt:lpstr>'Div 3'!OSRRefE21_24x_5</vt:lpstr>
      <vt:lpstr>Summary!OSRRefE21_24x_5</vt:lpstr>
      <vt:lpstr>'300'!OSRRefE21_24x_6</vt:lpstr>
      <vt:lpstr>'300 &amp; 317'!OSRRefE21_24x_6</vt:lpstr>
      <vt:lpstr>'Div 3'!OSRRefE21_24x_6</vt:lpstr>
      <vt:lpstr>Summary!OSRRefE21_24x_6</vt:lpstr>
      <vt:lpstr>'300'!OSRRefE21_24x_7</vt:lpstr>
      <vt:lpstr>'300 &amp; 317'!OSRRefE21_24x_7</vt:lpstr>
      <vt:lpstr>'Div 3'!OSRRefE21_24x_7</vt:lpstr>
      <vt:lpstr>Summary!OSRRefE21_24x_7</vt:lpstr>
      <vt:lpstr>'300'!OSRRefE21_24x_8</vt:lpstr>
      <vt:lpstr>'300 &amp; 317'!OSRRefE21_24x_8</vt:lpstr>
      <vt:lpstr>'Div 3'!OSRRefE21_24x_8</vt:lpstr>
      <vt:lpstr>Summary!OSRRefE21_24x_8</vt:lpstr>
      <vt:lpstr>'300'!OSRRefE21_24x_9</vt:lpstr>
      <vt:lpstr>'300 &amp; 317'!OSRRefE21_24x_9</vt:lpstr>
      <vt:lpstr>'Div 3'!OSRRefE21_24x_9</vt:lpstr>
      <vt:lpstr>Summary!OSRRefE21_24x_9</vt:lpstr>
      <vt:lpstr>'Div 3'!OSRRefE21_25_0x</vt:lpstr>
      <vt:lpstr>Summary!OSRRefE21_25_0x</vt:lpstr>
      <vt:lpstr>Summary!OSRRefE21_25_1x</vt:lpstr>
      <vt:lpstr>Summary!OSRRefE21_25_2x</vt:lpstr>
      <vt:lpstr>'Div 3'!OSRRefE21_25x_0</vt:lpstr>
      <vt:lpstr>Summary!OSRRefE21_25x_0</vt:lpstr>
      <vt:lpstr>'Div 3'!OSRRefE21_25x_1</vt:lpstr>
      <vt:lpstr>Summary!OSRRefE21_25x_1</vt:lpstr>
      <vt:lpstr>'Div 3'!OSRRefE21_25x_10</vt:lpstr>
      <vt:lpstr>Summary!OSRRefE21_25x_10</vt:lpstr>
      <vt:lpstr>'Div 3'!OSRRefE21_25x_2</vt:lpstr>
      <vt:lpstr>Summary!OSRRefE21_25x_2</vt:lpstr>
      <vt:lpstr>'Div 3'!OSRRefE21_25x_3</vt:lpstr>
      <vt:lpstr>Summary!OSRRefE21_25x_3</vt:lpstr>
      <vt:lpstr>'Div 3'!OSRRefE21_25x_4</vt:lpstr>
      <vt:lpstr>Summary!OSRRefE21_25x_4</vt:lpstr>
      <vt:lpstr>'Div 3'!OSRRefE21_25x_5</vt:lpstr>
      <vt:lpstr>Summary!OSRRefE21_25x_5</vt:lpstr>
      <vt:lpstr>'Div 3'!OSRRefE21_25x_6</vt:lpstr>
      <vt:lpstr>Summary!OSRRefE21_25x_6</vt:lpstr>
      <vt:lpstr>'Div 3'!OSRRefE21_25x_7</vt:lpstr>
      <vt:lpstr>Summary!OSRRefE21_25x_7</vt:lpstr>
      <vt:lpstr>'Div 3'!OSRRefE21_25x_8</vt:lpstr>
      <vt:lpstr>Summary!OSRRefE21_25x_8</vt:lpstr>
      <vt:lpstr>'Div 3'!OSRRefE21_25x_9</vt:lpstr>
      <vt:lpstr>Summary!OSRRefE21_25x_9</vt:lpstr>
      <vt:lpstr>Summary!OSRRefE21_26_0x</vt:lpstr>
      <vt:lpstr>Summary!OSRRefE21_26x_0</vt:lpstr>
      <vt:lpstr>Summary!OSRRefE21_26x_1</vt:lpstr>
      <vt:lpstr>Summary!OSRRefE21_26x_10</vt:lpstr>
      <vt:lpstr>Summary!OSRRefE21_26x_2</vt:lpstr>
      <vt:lpstr>Summary!OSRRefE21_26x_3</vt:lpstr>
      <vt:lpstr>Summary!OSRRefE21_26x_4</vt:lpstr>
      <vt:lpstr>Summary!OSRRefE21_26x_5</vt:lpstr>
      <vt:lpstr>Summary!OSRRefE21_26x_6</vt:lpstr>
      <vt:lpstr>Summary!OSRRefE21_26x_7</vt:lpstr>
      <vt:lpstr>Summary!OSRRefE21_26x_8</vt:lpstr>
      <vt:lpstr>Summary!OSRRefE21_26x_9</vt:lpstr>
      <vt:lpstr>'200'!OSRRefE21_2x_0</vt:lpstr>
      <vt:lpstr>'201'!OSRRefE21_2x_0</vt:lpstr>
      <vt:lpstr>'202'!OSRRefE21_2x_0</vt:lpstr>
      <vt:lpstr>'203'!OSRRefE21_2x_0</vt:lpstr>
      <vt:lpstr>'204'!OSRRefE21_2x_0</vt:lpstr>
      <vt:lpstr>'205'!OSRRefE21_2x_0</vt:lpstr>
      <vt:lpstr>'206'!OSRRefE21_2x_0</vt:lpstr>
      <vt:lpstr>'300'!OSRRefE21_2x_0</vt:lpstr>
      <vt:lpstr>'300 &amp; 317'!OSRRefE21_2x_0</vt:lpstr>
      <vt:lpstr>'301'!OSRRefE21_2x_0</vt:lpstr>
      <vt:lpstr>'307'!OSRRefE21_2x_0</vt:lpstr>
      <vt:lpstr>'308'!OSRRefE21_2x_0</vt:lpstr>
      <vt:lpstr>'309'!OSRRefE21_2x_0</vt:lpstr>
      <vt:lpstr>'310'!OSRRefE21_2x_0</vt:lpstr>
      <vt:lpstr>'310 &amp; 491'!OSRRefE21_2x_0</vt:lpstr>
      <vt:lpstr>'311'!OSRRefE21_2x_0</vt:lpstr>
      <vt:lpstr>'315'!OSRRefE21_2x_0</vt:lpstr>
      <vt:lpstr>'316'!OSRRefE21_2x_0</vt:lpstr>
      <vt:lpstr>'317'!OSRRefE21_2x_0</vt:lpstr>
      <vt:lpstr>'321'!OSRRefE21_2x_0</vt:lpstr>
      <vt:lpstr>'325'!OSRRefE21_2x_0</vt:lpstr>
      <vt:lpstr>'326'!OSRRefE21_2x_0</vt:lpstr>
      <vt:lpstr>'330'!OSRRefE21_2x_0</vt:lpstr>
      <vt:lpstr>'331'!OSRRefE21_2x_0</vt:lpstr>
      <vt:lpstr>'332'!OSRRefE21_2x_0</vt:lpstr>
      <vt:lpstr>'405'!OSRRefE21_2x_0</vt:lpstr>
      <vt:lpstr>'411'!OSRRefE21_2x_0</vt:lpstr>
      <vt:lpstr>'415'!OSRRefE21_2x_0</vt:lpstr>
      <vt:lpstr>'418'!OSRRefE21_2x_0</vt:lpstr>
      <vt:lpstr>'423'!OSRRefE21_2x_0</vt:lpstr>
      <vt:lpstr>'430'!OSRRefE21_2x_0</vt:lpstr>
      <vt:lpstr>'433'!OSRRefE21_2x_0</vt:lpstr>
      <vt:lpstr>'444'!OSRRefE21_2x_0</vt:lpstr>
      <vt:lpstr>'450'!OSRRefE21_2x_0</vt:lpstr>
      <vt:lpstr>'491'!OSRRefE21_2x_0</vt:lpstr>
      <vt:lpstr>'492'!OSRRefE21_2x_0</vt:lpstr>
      <vt:lpstr>'501'!OSRRefE21_2x_0</vt:lpstr>
      <vt:lpstr>'Div 2'!OSRRefE21_2x_0</vt:lpstr>
      <vt:lpstr>'Div 3'!OSRRefE21_2x_0</vt:lpstr>
      <vt:lpstr>'Div 4'!OSRRefE21_2x_0</vt:lpstr>
      <vt:lpstr>'Div 5'!OSRRefE21_2x_0</vt:lpstr>
      <vt:lpstr>'Div 6'!OSRRefE21_2x_0</vt:lpstr>
      <vt:lpstr>Summary!OSRRefE21_2x_0</vt:lpstr>
      <vt:lpstr>'200'!OSRRefE21_2x_1</vt:lpstr>
      <vt:lpstr>'201'!OSRRefE21_2x_1</vt:lpstr>
      <vt:lpstr>'202'!OSRRefE21_2x_1</vt:lpstr>
      <vt:lpstr>'203'!OSRRefE21_2x_1</vt:lpstr>
      <vt:lpstr>'204'!OSRRefE21_2x_1</vt:lpstr>
      <vt:lpstr>'205'!OSRRefE21_2x_1</vt:lpstr>
      <vt:lpstr>'206'!OSRRefE21_2x_1</vt:lpstr>
      <vt:lpstr>'300'!OSRRefE21_2x_1</vt:lpstr>
      <vt:lpstr>'300 &amp; 317'!OSRRefE21_2x_1</vt:lpstr>
      <vt:lpstr>'301'!OSRRefE21_2x_1</vt:lpstr>
      <vt:lpstr>'307'!OSRRefE21_2x_1</vt:lpstr>
      <vt:lpstr>'308'!OSRRefE21_2x_1</vt:lpstr>
      <vt:lpstr>'309'!OSRRefE21_2x_1</vt:lpstr>
      <vt:lpstr>'310'!OSRRefE21_2x_1</vt:lpstr>
      <vt:lpstr>'310 &amp; 491'!OSRRefE21_2x_1</vt:lpstr>
      <vt:lpstr>'311'!OSRRefE21_2x_1</vt:lpstr>
      <vt:lpstr>'315'!OSRRefE21_2x_1</vt:lpstr>
      <vt:lpstr>'316'!OSRRefE21_2x_1</vt:lpstr>
      <vt:lpstr>'317'!OSRRefE21_2x_1</vt:lpstr>
      <vt:lpstr>'321'!OSRRefE21_2x_1</vt:lpstr>
      <vt:lpstr>'325'!OSRRefE21_2x_1</vt:lpstr>
      <vt:lpstr>'326'!OSRRefE21_2x_1</vt:lpstr>
      <vt:lpstr>'330'!OSRRefE21_2x_1</vt:lpstr>
      <vt:lpstr>'331'!OSRRefE21_2x_1</vt:lpstr>
      <vt:lpstr>'332'!OSRRefE21_2x_1</vt:lpstr>
      <vt:lpstr>'405'!OSRRefE21_2x_1</vt:lpstr>
      <vt:lpstr>'411'!OSRRefE21_2x_1</vt:lpstr>
      <vt:lpstr>'415'!OSRRefE21_2x_1</vt:lpstr>
      <vt:lpstr>'418'!OSRRefE21_2x_1</vt:lpstr>
      <vt:lpstr>'423'!OSRRefE21_2x_1</vt:lpstr>
      <vt:lpstr>'430'!OSRRefE21_2x_1</vt:lpstr>
      <vt:lpstr>'433'!OSRRefE21_2x_1</vt:lpstr>
      <vt:lpstr>'444'!OSRRefE21_2x_1</vt:lpstr>
      <vt:lpstr>'450'!OSRRefE21_2x_1</vt:lpstr>
      <vt:lpstr>'491'!OSRRefE21_2x_1</vt:lpstr>
      <vt:lpstr>'492'!OSRRefE21_2x_1</vt:lpstr>
      <vt:lpstr>'501'!OSRRefE21_2x_1</vt:lpstr>
      <vt:lpstr>'Div 2'!OSRRefE21_2x_1</vt:lpstr>
      <vt:lpstr>'Div 3'!OSRRefE21_2x_1</vt:lpstr>
      <vt:lpstr>'Div 4'!OSRRefE21_2x_1</vt:lpstr>
      <vt:lpstr>'Div 5'!OSRRefE21_2x_1</vt:lpstr>
      <vt:lpstr>'Div 6'!OSRRefE21_2x_1</vt:lpstr>
      <vt:lpstr>Summary!OSRRefE21_2x_1</vt:lpstr>
      <vt:lpstr>'200'!OSRRefE21_2x_10</vt:lpstr>
      <vt:lpstr>'201'!OSRRefE21_2x_10</vt:lpstr>
      <vt:lpstr>'202'!OSRRefE21_2x_10</vt:lpstr>
      <vt:lpstr>'203'!OSRRefE21_2x_10</vt:lpstr>
      <vt:lpstr>'204'!OSRRefE21_2x_10</vt:lpstr>
      <vt:lpstr>'205'!OSRRefE21_2x_10</vt:lpstr>
      <vt:lpstr>'206'!OSRRefE21_2x_10</vt:lpstr>
      <vt:lpstr>'300'!OSRRefE21_2x_10</vt:lpstr>
      <vt:lpstr>'300 &amp; 317'!OSRRefE21_2x_10</vt:lpstr>
      <vt:lpstr>'301'!OSRRefE21_2x_10</vt:lpstr>
      <vt:lpstr>'307'!OSRRefE21_2x_10</vt:lpstr>
      <vt:lpstr>'308'!OSRRefE21_2x_10</vt:lpstr>
      <vt:lpstr>'309'!OSRRefE21_2x_10</vt:lpstr>
      <vt:lpstr>'310'!OSRRefE21_2x_10</vt:lpstr>
      <vt:lpstr>'310 &amp; 491'!OSRRefE21_2x_10</vt:lpstr>
      <vt:lpstr>'311'!OSRRefE21_2x_10</vt:lpstr>
      <vt:lpstr>'315'!OSRRefE21_2x_10</vt:lpstr>
      <vt:lpstr>'316'!OSRRefE21_2x_10</vt:lpstr>
      <vt:lpstr>'317'!OSRRefE21_2x_10</vt:lpstr>
      <vt:lpstr>'321'!OSRRefE21_2x_10</vt:lpstr>
      <vt:lpstr>'325'!OSRRefE21_2x_10</vt:lpstr>
      <vt:lpstr>'326'!OSRRefE21_2x_10</vt:lpstr>
      <vt:lpstr>'330'!OSRRefE21_2x_10</vt:lpstr>
      <vt:lpstr>'331'!OSRRefE21_2x_10</vt:lpstr>
      <vt:lpstr>'332'!OSRRefE21_2x_10</vt:lpstr>
      <vt:lpstr>'405'!OSRRefE21_2x_10</vt:lpstr>
      <vt:lpstr>'411'!OSRRefE21_2x_10</vt:lpstr>
      <vt:lpstr>'415'!OSRRefE21_2x_10</vt:lpstr>
      <vt:lpstr>'418'!OSRRefE21_2x_10</vt:lpstr>
      <vt:lpstr>'423'!OSRRefE21_2x_10</vt:lpstr>
      <vt:lpstr>'430'!OSRRefE21_2x_10</vt:lpstr>
      <vt:lpstr>'433'!OSRRefE21_2x_10</vt:lpstr>
      <vt:lpstr>'444'!OSRRefE21_2x_10</vt:lpstr>
      <vt:lpstr>'450'!OSRRefE21_2x_10</vt:lpstr>
      <vt:lpstr>'491'!OSRRefE21_2x_10</vt:lpstr>
      <vt:lpstr>'492'!OSRRefE21_2x_10</vt:lpstr>
      <vt:lpstr>'501'!OSRRefE21_2x_10</vt:lpstr>
      <vt:lpstr>'Div 2'!OSRRefE21_2x_10</vt:lpstr>
      <vt:lpstr>'Div 3'!OSRRefE21_2x_10</vt:lpstr>
      <vt:lpstr>'Div 4'!OSRRefE21_2x_10</vt:lpstr>
      <vt:lpstr>'Div 5'!OSRRefE21_2x_10</vt:lpstr>
      <vt:lpstr>'Div 6'!OSRRefE21_2x_10</vt:lpstr>
      <vt:lpstr>Summary!OSRRefE21_2x_10</vt:lpstr>
      <vt:lpstr>'200'!OSRRefE21_2x_2</vt:lpstr>
      <vt:lpstr>'201'!OSRRefE21_2x_2</vt:lpstr>
      <vt:lpstr>'202'!OSRRefE21_2x_2</vt:lpstr>
      <vt:lpstr>'203'!OSRRefE21_2x_2</vt:lpstr>
      <vt:lpstr>'204'!OSRRefE21_2x_2</vt:lpstr>
      <vt:lpstr>'205'!OSRRefE21_2x_2</vt:lpstr>
      <vt:lpstr>'206'!OSRRefE21_2x_2</vt:lpstr>
      <vt:lpstr>'300'!OSRRefE21_2x_2</vt:lpstr>
      <vt:lpstr>'300 &amp; 317'!OSRRefE21_2x_2</vt:lpstr>
      <vt:lpstr>'301'!OSRRefE21_2x_2</vt:lpstr>
      <vt:lpstr>'307'!OSRRefE21_2x_2</vt:lpstr>
      <vt:lpstr>'308'!OSRRefE21_2x_2</vt:lpstr>
      <vt:lpstr>'309'!OSRRefE21_2x_2</vt:lpstr>
      <vt:lpstr>'310'!OSRRefE21_2x_2</vt:lpstr>
      <vt:lpstr>'310 &amp; 491'!OSRRefE21_2x_2</vt:lpstr>
      <vt:lpstr>'311'!OSRRefE21_2x_2</vt:lpstr>
      <vt:lpstr>'315'!OSRRefE21_2x_2</vt:lpstr>
      <vt:lpstr>'316'!OSRRefE21_2x_2</vt:lpstr>
      <vt:lpstr>'317'!OSRRefE21_2x_2</vt:lpstr>
      <vt:lpstr>'321'!OSRRefE21_2x_2</vt:lpstr>
      <vt:lpstr>'325'!OSRRefE21_2x_2</vt:lpstr>
      <vt:lpstr>'326'!OSRRefE21_2x_2</vt:lpstr>
      <vt:lpstr>'330'!OSRRefE21_2x_2</vt:lpstr>
      <vt:lpstr>'331'!OSRRefE21_2x_2</vt:lpstr>
      <vt:lpstr>'332'!OSRRefE21_2x_2</vt:lpstr>
      <vt:lpstr>'405'!OSRRefE21_2x_2</vt:lpstr>
      <vt:lpstr>'411'!OSRRefE21_2x_2</vt:lpstr>
      <vt:lpstr>'415'!OSRRefE21_2x_2</vt:lpstr>
      <vt:lpstr>'418'!OSRRefE21_2x_2</vt:lpstr>
      <vt:lpstr>'423'!OSRRefE21_2x_2</vt:lpstr>
      <vt:lpstr>'430'!OSRRefE21_2x_2</vt:lpstr>
      <vt:lpstr>'433'!OSRRefE21_2x_2</vt:lpstr>
      <vt:lpstr>'444'!OSRRefE21_2x_2</vt:lpstr>
      <vt:lpstr>'450'!OSRRefE21_2x_2</vt:lpstr>
      <vt:lpstr>'491'!OSRRefE21_2x_2</vt:lpstr>
      <vt:lpstr>'492'!OSRRefE21_2x_2</vt:lpstr>
      <vt:lpstr>'501'!OSRRefE21_2x_2</vt:lpstr>
      <vt:lpstr>'Div 2'!OSRRefE21_2x_2</vt:lpstr>
      <vt:lpstr>'Div 3'!OSRRefE21_2x_2</vt:lpstr>
      <vt:lpstr>'Div 4'!OSRRefE21_2x_2</vt:lpstr>
      <vt:lpstr>'Div 5'!OSRRefE21_2x_2</vt:lpstr>
      <vt:lpstr>'Div 6'!OSRRefE21_2x_2</vt:lpstr>
      <vt:lpstr>Summary!OSRRefE21_2x_2</vt:lpstr>
      <vt:lpstr>'200'!OSRRefE21_2x_3</vt:lpstr>
      <vt:lpstr>'201'!OSRRefE21_2x_3</vt:lpstr>
      <vt:lpstr>'202'!OSRRefE21_2x_3</vt:lpstr>
      <vt:lpstr>'203'!OSRRefE21_2x_3</vt:lpstr>
      <vt:lpstr>'204'!OSRRefE21_2x_3</vt:lpstr>
      <vt:lpstr>'205'!OSRRefE21_2x_3</vt:lpstr>
      <vt:lpstr>'206'!OSRRefE21_2x_3</vt:lpstr>
      <vt:lpstr>'300'!OSRRefE21_2x_3</vt:lpstr>
      <vt:lpstr>'300 &amp; 317'!OSRRefE21_2x_3</vt:lpstr>
      <vt:lpstr>'301'!OSRRefE21_2x_3</vt:lpstr>
      <vt:lpstr>'307'!OSRRefE21_2x_3</vt:lpstr>
      <vt:lpstr>'308'!OSRRefE21_2x_3</vt:lpstr>
      <vt:lpstr>'309'!OSRRefE21_2x_3</vt:lpstr>
      <vt:lpstr>'310'!OSRRefE21_2x_3</vt:lpstr>
      <vt:lpstr>'310 &amp; 491'!OSRRefE21_2x_3</vt:lpstr>
      <vt:lpstr>'311'!OSRRefE21_2x_3</vt:lpstr>
      <vt:lpstr>'315'!OSRRefE21_2x_3</vt:lpstr>
      <vt:lpstr>'316'!OSRRefE21_2x_3</vt:lpstr>
      <vt:lpstr>'317'!OSRRefE21_2x_3</vt:lpstr>
      <vt:lpstr>'321'!OSRRefE21_2x_3</vt:lpstr>
      <vt:lpstr>'325'!OSRRefE21_2x_3</vt:lpstr>
      <vt:lpstr>'326'!OSRRefE21_2x_3</vt:lpstr>
      <vt:lpstr>'330'!OSRRefE21_2x_3</vt:lpstr>
      <vt:lpstr>'331'!OSRRefE21_2x_3</vt:lpstr>
      <vt:lpstr>'332'!OSRRefE21_2x_3</vt:lpstr>
      <vt:lpstr>'405'!OSRRefE21_2x_3</vt:lpstr>
      <vt:lpstr>'411'!OSRRefE21_2x_3</vt:lpstr>
      <vt:lpstr>'415'!OSRRefE21_2x_3</vt:lpstr>
      <vt:lpstr>'418'!OSRRefE21_2x_3</vt:lpstr>
      <vt:lpstr>'423'!OSRRefE21_2x_3</vt:lpstr>
      <vt:lpstr>'430'!OSRRefE21_2x_3</vt:lpstr>
      <vt:lpstr>'433'!OSRRefE21_2x_3</vt:lpstr>
      <vt:lpstr>'444'!OSRRefE21_2x_3</vt:lpstr>
      <vt:lpstr>'450'!OSRRefE21_2x_3</vt:lpstr>
      <vt:lpstr>'491'!OSRRefE21_2x_3</vt:lpstr>
      <vt:lpstr>'492'!OSRRefE21_2x_3</vt:lpstr>
      <vt:lpstr>'501'!OSRRefE21_2x_3</vt:lpstr>
      <vt:lpstr>'Div 2'!OSRRefE21_2x_3</vt:lpstr>
      <vt:lpstr>'Div 3'!OSRRefE21_2x_3</vt:lpstr>
      <vt:lpstr>'Div 4'!OSRRefE21_2x_3</vt:lpstr>
      <vt:lpstr>'Div 5'!OSRRefE21_2x_3</vt:lpstr>
      <vt:lpstr>'Div 6'!OSRRefE21_2x_3</vt:lpstr>
      <vt:lpstr>Summary!OSRRefE21_2x_3</vt:lpstr>
      <vt:lpstr>'200'!OSRRefE21_2x_4</vt:lpstr>
      <vt:lpstr>'201'!OSRRefE21_2x_4</vt:lpstr>
      <vt:lpstr>'202'!OSRRefE21_2x_4</vt:lpstr>
      <vt:lpstr>'203'!OSRRefE21_2x_4</vt:lpstr>
      <vt:lpstr>'204'!OSRRefE21_2x_4</vt:lpstr>
      <vt:lpstr>'205'!OSRRefE21_2x_4</vt:lpstr>
      <vt:lpstr>'206'!OSRRefE21_2x_4</vt:lpstr>
      <vt:lpstr>'300'!OSRRefE21_2x_4</vt:lpstr>
      <vt:lpstr>'300 &amp; 317'!OSRRefE21_2x_4</vt:lpstr>
      <vt:lpstr>'301'!OSRRefE21_2x_4</vt:lpstr>
      <vt:lpstr>'307'!OSRRefE21_2x_4</vt:lpstr>
      <vt:lpstr>'308'!OSRRefE21_2x_4</vt:lpstr>
      <vt:lpstr>'309'!OSRRefE21_2x_4</vt:lpstr>
      <vt:lpstr>'310'!OSRRefE21_2x_4</vt:lpstr>
      <vt:lpstr>'310 &amp; 491'!OSRRefE21_2x_4</vt:lpstr>
      <vt:lpstr>'311'!OSRRefE21_2x_4</vt:lpstr>
      <vt:lpstr>'315'!OSRRefE21_2x_4</vt:lpstr>
      <vt:lpstr>'316'!OSRRefE21_2x_4</vt:lpstr>
      <vt:lpstr>'317'!OSRRefE21_2x_4</vt:lpstr>
      <vt:lpstr>'321'!OSRRefE21_2x_4</vt:lpstr>
      <vt:lpstr>'325'!OSRRefE21_2x_4</vt:lpstr>
      <vt:lpstr>'326'!OSRRefE21_2x_4</vt:lpstr>
      <vt:lpstr>'330'!OSRRefE21_2x_4</vt:lpstr>
      <vt:lpstr>'331'!OSRRefE21_2x_4</vt:lpstr>
      <vt:lpstr>'332'!OSRRefE21_2x_4</vt:lpstr>
      <vt:lpstr>'405'!OSRRefE21_2x_4</vt:lpstr>
      <vt:lpstr>'411'!OSRRefE21_2x_4</vt:lpstr>
      <vt:lpstr>'415'!OSRRefE21_2x_4</vt:lpstr>
      <vt:lpstr>'418'!OSRRefE21_2x_4</vt:lpstr>
      <vt:lpstr>'423'!OSRRefE21_2x_4</vt:lpstr>
      <vt:lpstr>'430'!OSRRefE21_2x_4</vt:lpstr>
      <vt:lpstr>'433'!OSRRefE21_2x_4</vt:lpstr>
      <vt:lpstr>'444'!OSRRefE21_2x_4</vt:lpstr>
      <vt:lpstr>'450'!OSRRefE21_2x_4</vt:lpstr>
      <vt:lpstr>'491'!OSRRefE21_2x_4</vt:lpstr>
      <vt:lpstr>'492'!OSRRefE21_2x_4</vt:lpstr>
      <vt:lpstr>'501'!OSRRefE21_2x_4</vt:lpstr>
      <vt:lpstr>'Div 2'!OSRRefE21_2x_4</vt:lpstr>
      <vt:lpstr>'Div 3'!OSRRefE21_2x_4</vt:lpstr>
      <vt:lpstr>'Div 4'!OSRRefE21_2x_4</vt:lpstr>
      <vt:lpstr>'Div 5'!OSRRefE21_2x_4</vt:lpstr>
      <vt:lpstr>'Div 6'!OSRRefE21_2x_4</vt:lpstr>
      <vt:lpstr>Summary!OSRRefE21_2x_4</vt:lpstr>
      <vt:lpstr>'200'!OSRRefE21_2x_5</vt:lpstr>
      <vt:lpstr>'201'!OSRRefE21_2x_5</vt:lpstr>
      <vt:lpstr>'202'!OSRRefE21_2x_5</vt:lpstr>
      <vt:lpstr>'203'!OSRRefE21_2x_5</vt:lpstr>
      <vt:lpstr>'204'!OSRRefE21_2x_5</vt:lpstr>
      <vt:lpstr>'205'!OSRRefE21_2x_5</vt:lpstr>
      <vt:lpstr>'206'!OSRRefE21_2x_5</vt:lpstr>
      <vt:lpstr>'300'!OSRRefE21_2x_5</vt:lpstr>
      <vt:lpstr>'300 &amp; 317'!OSRRefE21_2x_5</vt:lpstr>
      <vt:lpstr>'301'!OSRRefE21_2x_5</vt:lpstr>
      <vt:lpstr>'307'!OSRRefE21_2x_5</vt:lpstr>
      <vt:lpstr>'308'!OSRRefE21_2x_5</vt:lpstr>
      <vt:lpstr>'309'!OSRRefE21_2x_5</vt:lpstr>
      <vt:lpstr>'310'!OSRRefE21_2x_5</vt:lpstr>
      <vt:lpstr>'310 &amp; 491'!OSRRefE21_2x_5</vt:lpstr>
      <vt:lpstr>'311'!OSRRefE21_2x_5</vt:lpstr>
      <vt:lpstr>'315'!OSRRefE21_2x_5</vt:lpstr>
      <vt:lpstr>'316'!OSRRefE21_2x_5</vt:lpstr>
      <vt:lpstr>'317'!OSRRefE21_2x_5</vt:lpstr>
      <vt:lpstr>'321'!OSRRefE21_2x_5</vt:lpstr>
      <vt:lpstr>'325'!OSRRefE21_2x_5</vt:lpstr>
      <vt:lpstr>'326'!OSRRefE21_2x_5</vt:lpstr>
      <vt:lpstr>'330'!OSRRefE21_2x_5</vt:lpstr>
      <vt:lpstr>'331'!OSRRefE21_2x_5</vt:lpstr>
      <vt:lpstr>'332'!OSRRefE21_2x_5</vt:lpstr>
      <vt:lpstr>'405'!OSRRefE21_2x_5</vt:lpstr>
      <vt:lpstr>'411'!OSRRefE21_2x_5</vt:lpstr>
      <vt:lpstr>'415'!OSRRefE21_2x_5</vt:lpstr>
      <vt:lpstr>'418'!OSRRefE21_2x_5</vt:lpstr>
      <vt:lpstr>'423'!OSRRefE21_2x_5</vt:lpstr>
      <vt:lpstr>'430'!OSRRefE21_2x_5</vt:lpstr>
      <vt:lpstr>'433'!OSRRefE21_2x_5</vt:lpstr>
      <vt:lpstr>'444'!OSRRefE21_2x_5</vt:lpstr>
      <vt:lpstr>'450'!OSRRefE21_2x_5</vt:lpstr>
      <vt:lpstr>'491'!OSRRefE21_2x_5</vt:lpstr>
      <vt:lpstr>'492'!OSRRefE21_2x_5</vt:lpstr>
      <vt:lpstr>'501'!OSRRefE21_2x_5</vt:lpstr>
      <vt:lpstr>'Div 2'!OSRRefE21_2x_5</vt:lpstr>
      <vt:lpstr>'Div 3'!OSRRefE21_2x_5</vt:lpstr>
      <vt:lpstr>'Div 4'!OSRRefE21_2x_5</vt:lpstr>
      <vt:lpstr>'Div 5'!OSRRefE21_2x_5</vt:lpstr>
      <vt:lpstr>'Div 6'!OSRRefE21_2x_5</vt:lpstr>
      <vt:lpstr>Summary!OSRRefE21_2x_5</vt:lpstr>
      <vt:lpstr>'200'!OSRRefE21_2x_6</vt:lpstr>
      <vt:lpstr>'201'!OSRRefE21_2x_6</vt:lpstr>
      <vt:lpstr>'202'!OSRRefE21_2x_6</vt:lpstr>
      <vt:lpstr>'203'!OSRRefE21_2x_6</vt:lpstr>
      <vt:lpstr>'204'!OSRRefE21_2x_6</vt:lpstr>
      <vt:lpstr>'205'!OSRRefE21_2x_6</vt:lpstr>
      <vt:lpstr>'206'!OSRRefE21_2x_6</vt:lpstr>
      <vt:lpstr>'300'!OSRRefE21_2x_6</vt:lpstr>
      <vt:lpstr>'300 &amp; 317'!OSRRefE21_2x_6</vt:lpstr>
      <vt:lpstr>'301'!OSRRefE21_2x_6</vt:lpstr>
      <vt:lpstr>'307'!OSRRefE21_2x_6</vt:lpstr>
      <vt:lpstr>'308'!OSRRefE21_2x_6</vt:lpstr>
      <vt:lpstr>'309'!OSRRefE21_2x_6</vt:lpstr>
      <vt:lpstr>'310'!OSRRefE21_2x_6</vt:lpstr>
      <vt:lpstr>'310 &amp; 491'!OSRRefE21_2x_6</vt:lpstr>
      <vt:lpstr>'311'!OSRRefE21_2x_6</vt:lpstr>
      <vt:lpstr>'315'!OSRRefE21_2x_6</vt:lpstr>
      <vt:lpstr>'316'!OSRRefE21_2x_6</vt:lpstr>
      <vt:lpstr>'317'!OSRRefE21_2x_6</vt:lpstr>
      <vt:lpstr>'321'!OSRRefE21_2x_6</vt:lpstr>
      <vt:lpstr>'325'!OSRRefE21_2x_6</vt:lpstr>
      <vt:lpstr>'326'!OSRRefE21_2x_6</vt:lpstr>
      <vt:lpstr>'330'!OSRRefE21_2x_6</vt:lpstr>
      <vt:lpstr>'331'!OSRRefE21_2x_6</vt:lpstr>
      <vt:lpstr>'332'!OSRRefE21_2x_6</vt:lpstr>
      <vt:lpstr>'405'!OSRRefE21_2x_6</vt:lpstr>
      <vt:lpstr>'411'!OSRRefE21_2x_6</vt:lpstr>
      <vt:lpstr>'415'!OSRRefE21_2x_6</vt:lpstr>
      <vt:lpstr>'418'!OSRRefE21_2x_6</vt:lpstr>
      <vt:lpstr>'423'!OSRRefE21_2x_6</vt:lpstr>
      <vt:lpstr>'430'!OSRRefE21_2x_6</vt:lpstr>
      <vt:lpstr>'433'!OSRRefE21_2x_6</vt:lpstr>
      <vt:lpstr>'444'!OSRRefE21_2x_6</vt:lpstr>
      <vt:lpstr>'450'!OSRRefE21_2x_6</vt:lpstr>
      <vt:lpstr>'491'!OSRRefE21_2x_6</vt:lpstr>
      <vt:lpstr>'492'!OSRRefE21_2x_6</vt:lpstr>
      <vt:lpstr>'501'!OSRRefE21_2x_6</vt:lpstr>
      <vt:lpstr>'Div 2'!OSRRefE21_2x_6</vt:lpstr>
      <vt:lpstr>'Div 3'!OSRRefE21_2x_6</vt:lpstr>
      <vt:lpstr>'Div 4'!OSRRefE21_2x_6</vt:lpstr>
      <vt:lpstr>'Div 5'!OSRRefE21_2x_6</vt:lpstr>
      <vt:lpstr>'Div 6'!OSRRefE21_2x_6</vt:lpstr>
      <vt:lpstr>Summary!OSRRefE21_2x_6</vt:lpstr>
      <vt:lpstr>'200'!OSRRefE21_2x_7</vt:lpstr>
      <vt:lpstr>'201'!OSRRefE21_2x_7</vt:lpstr>
      <vt:lpstr>'202'!OSRRefE21_2x_7</vt:lpstr>
      <vt:lpstr>'203'!OSRRefE21_2x_7</vt:lpstr>
      <vt:lpstr>'204'!OSRRefE21_2x_7</vt:lpstr>
      <vt:lpstr>'205'!OSRRefE21_2x_7</vt:lpstr>
      <vt:lpstr>'206'!OSRRefE21_2x_7</vt:lpstr>
      <vt:lpstr>'300'!OSRRefE21_2x_7</vt:lpstr>
      <vt:lpstr>'300 &amp; 317'!OSRRefE21_2x_7</vt:lpstr>
      <vt:lpstr>'301'!OSRRefE21_2x_7</vt:lpstr>
      <vt:lpstr>'307'!OSRRefE21_2x_7</vt:lpstr>
      <vt:lpstr>'308'!OSRRefE21_2x_7</vt:lpstr>
      <vt:lpstr>'309'!OSRRefE21_2x_7</vt:lpstr>
      <vt:lpstr>'310'!OSRRefE21_2x_7</vt:lpstr>
      <vt:lpstr>'310 &amp; 491'!OSRRefE21_2x_7</vt:lpstr>
      <vt:lpstr>'311'!OSRRefE21_2x_7</vt:lpstr>
      <vt:lpstr>'315'!OSRRefE21_2x_7</vt:lpstr>
      <vt:lpstr>'316'!OSRRefE21_2x_7</vt:lpstr>
      <vt:lpstr>'317'!OSRRefE21_2x_7</vt:lpstr>
      <vt:lpstr>'321'!OSRRefE21_2x_7</vt:lpstr>
      <vt:lpstr>'325'!OSRRefE21_2x_7</vt:lpstr>
      <vt:lpstr>'326'!OSRRefE21_2x_7</vt:lpstr>
      <vt:lpstr>'330'!OSRRefE21_2x_7</vt:lpstr>
      <vt:lpstr>'331'!OSRRefE21_2x_7</vt:lpstr>
      <vt:lpstr>'332'!OSRRefE21_2x_7</vt:lpstr>
      <vt:lpstr>'405'!OSRRefE21_2x_7</vt:lpstr>
      <vt:lpstr>'411'!OSRRefE21_2x_7</vt:lpstr>
      <vt:lpstr>'415'!OSRRefE21_2x_7</vt:lpstr>
      <vt:lpstr>'418'!OSRRefE21_2x_7</vt:lpstr>
      <vt:lpstr>'423'!OSRRefE21_2x_7</vt:lpstr>
      <vt:lpstr>'430'!OSRRefE21_2x_7</vt:lpstr>
      <vt:lpstr>'433'!OSRRefE21_2x_7</vt:lpstr>
      <vt:lpstr>'444'!OSRRefE21_2x_7</vt:lpstr>
      <vt:lpstr>'450'!OSRRefE21_2x_7</vt:lpstr>
      <vt:lpstr>'491'!OSRRefE21_2x_7</vt:lpstr>
      <vt:lpstr>'492'!OSRRefE21_2x_7</vt:lpstr>
      <vt:lpstr>'501'!OSRRefE21_2x_7</vt:lpstr>
      <vt:lpstr>'Div 2'!OSRRefE21_2x_7</vt:lpstr>
      <vt:lpstr>'Div 3'!OSRRefE21_2x_7</vt:lpstr>
      <vt:lpstr>'Div 4'!OSRRefE21_2x_7</vt:lpstr>
      <vt:lpstr>'Div 5'!OSRRefE21_2x_7</vt:lpstr>
      <vt:lpstr>'Div 6'!OSRRefE21_2x_7</vt:lpstr>
      <vt:lpstr>Summary!OSRRefE21_2x_7</vt:lpstr>
      <vt:lpstr>'200'!OSRRefE21_2x_8</vt:lpstr>
      <vt:lpstr>'201'!OSRRefE21_2x_8</vt:lpstr>
      <vt:lpstr>'202'!OSRRefE21_2x_8</vt:lpstr>
      <vt:lpstr>'203'!OSRRefE21_2x_8</vt:lpstr>
      <vt:lpstr>'204'!OSRRefE21_2x_8</vt:lpstr>
      <vt:lpstr>'205'!OSRRefE21_2x_8</vt:lpstr>
      <vt:lpstr>'206'!OSRRefE21_2x_8</vt:lpstr>
      <vt:lpstr>'300'!OSRRefE21_2x_8</vt:lpstr>
      <vt:lpstr>'300 &amp; 317'!OSRRefE21_2x_8</vt:lpstr>
      <vt:lpstr>'301'!OSRRefE21_2x_8</vt:lpstr>
      <vt:lpstr>'307'!OSRRefE21_2x_8</vt:lpstr>
      <vt:lpstr>'308'!OSRRefE21_2x_8</vt:lpstr>
      <vt:lpstr>'309'!OSRRefE21_2x_8</vt:lpstr>
      <vt:lpstr>'310'!OSRRefE21_2x_8</vt:lpstr>
      <vt:lpstr>'310 &amp; 491'!OSRRefE21_2x_8</vt:lpstr>
      <vt:lpstr>'311'!OSRRefE21_2x_8</vt:lpstr>
      <vt:lpstr>'315'!OSRRefE21_2x_8</vt:lpstr>
      <vt:lpstr>'316'!OSRRefE21_2x_8</vt:lpstr>
      <vt:lpstr>'317'!OSRRefE21_2x_8</vt:lpstr>
      <vt:lpstr>'321'!OSRRefE21_2x_8</vt:lpstr>
      <vt:lpstr>'325'!OSRRefE21_2x_8</vt:lpstr>
      <vt:lpstr>'326'!OSRRefE21_2x_8</vt:lpstr>
      <vt:lpstr>'330'!OSRRefE21_2x_8</vt:lpstr>
      <vt:lpstr>'331'!OSRRefE21_2x_8</vt:lpstr>
      <vt:lpstr>'332'!OSRRefE21_2x_8</vt:lpstr>
      <vt:lpstr>'405'!OSRRefE21_2x_8</vt:lpstr>
      <vt:lpstr>'411'!OSRRefE21_2x_8</vt:lpstr>
      <vt:lpstr>'415'!OSRRefE21_2x_8</vt:lpstr>
      <vt:lpstr>'418'!OSRRefE21_2x_8</vt:lpstr>
      <vt:lpstr>'423'!OSRRefE21_2x_8</vt:lpstr>
      <vt:lpstr>'430'!OSRRefE21_2x_8</vt:lpstr>
      <vt:lpstr>'433'!OSRRefE21_2x_8</vt:lpstr>
      <vt:lpstr>'444'!OSRRefE21_2x_8</vt:lpstr>
      <vt:lpstr>'450'!OSRRefE21_2x_8</vt:lpstr>
      <vt:lpstr>'491'!OSRRefE21_2x_8</vt:lpstr>
      <vt:lpstr>'492'!OSRRefE21_2x_8</vt:lpstr>
      <vt:lpstr>'501'!OSRRefE21_2x_8</vt:lpstr>
      <vt:lpstr>'Div 2'!OSRRefE21_2x_8</vt:lpstr>
      <vt:lpstr>'Div 3'!OSRRefE21_2x_8</vt:lpstr>
      <vt:lpstr>'Div 4'!OSRRefE21_2x_8</vt:lpstr>
      <vt:lpstr>'Div 5'!OSRRefE21_2x_8</vt:lpstr>
      <vt:lpstr>'Div 6'!OSRRefE21_2x_8</vt:lpstr>
      <vt:lpstr>Summary!OSRRefE21_2x_8</vt:lpstr>
      <vt:lpstr>'200'!OSRRefE21_2x_9</vt:lpstr>
      <vt:lpstr>'201'!OSRRefE21_2x_9</vt:lpstr>
      <vt:lpstr>'202'!OSRRefE21_2x_9</vt:lpstr>
      <vt:lpstr>'203'!OSRRefE21_2x_9</vt:lpstr>
      <vt:lpstr>'204'!OSRRefE21_2x_9</vt:lpstr>
      <vt:lpstr>'205'!OSRRefE21_2x_9</vt:lpstr>
      <vt:lpstr>'206'!OSRRefE21_2x_9</vt:lpstr>
      <vt:lpstr>'300'!OSRRefE21_2x_9</vt:lpstr>
      <vt:lpstr>'300 &amp; 317'!OSRRefE21_2x_9</vt:lpstr>
      <vt:lpstr>'301'!OSRRefE21_2x_9</vt:lpstr>
      <vt:lpstr>'307'!OSRRefE21_2x_9</vt:lpstr>
      <vt:lpstr>'308'!OSRRefE21_2x_9</vt:lpstr>
      <vt:lpstr>'309'!OSRRefE21_2x_9</vt:lpstr>
      <vt:lpstr>'310'!OSRRefE21_2x_9</vt:lpstr>
      <vt:lpstr>'310 &amp; 491'!OSRRefE21_2x_9</vt:lpstr>
      <vt:lpstr>'311'!OSRRefE21_2x_9</vt:lpstr>
      <vt:lpstr>'315'!OSRRefE21_2x_9</vt:lpstr>
      <vt:lpstr>'316'!OSRRefE21_2x_9</vt:lpstr>
      <vt:lpstr>'317'!OSRRefE21_2x_9</vt:lpstr>
      <vt:lpstr>'321'!OSRRefE21_2x_9</vt:lpstr>
      <vt:lpstr>'325'!OSRRefE21_2x_9</vt:lpstr>
      <vt:lpstr>'326'!OSRRefE21_2x_9</vt:lpstr>
      <vt:lpstr>'330'!OSRRefE21_2x_9</vt:lpstr>
      <vt:lpstr>'331'!OSRRefE21_2x_9</vt:lpstr>
      <vt:lpstr>'332'!OSRRefE21_2x_9</vt:lpstr>
      <vt:lpstr>'405'!OSRRefE21_2x_9</vt:lpstr>
      <vt:lpstr>'411'!OSRRefE21_2x_9</vt:lpstr>
      <vt:lpstr>'415'!OSRRefE21_2x_9</vt:lpstr>
      <vt:lpstr>'418'!OSRRefE21_2x_9</vt:lpstr>
      <vt:lpstr>'423'!OSRRefE21_2x_9</vt:lpstr>
      <vt:lpstr>'430'!OSRRefE21_2x_9</vt:lpstr>
      <vt:lpstr>'433'!OSRRefE21_2x_9</vt:lpstr>
      <vt:lpstr>'444'!OSRRefE21_2x_9</vt:lpstr>
      <vt:lpstr>'450'!OSRRefE21_2x_9</vt:lpstr>
      <vt:lpstr>'491'!OSRRefE21_2x_9</vt:lpstr>
      <vt:lpstr>'492'!OSRRefE21_2x_9</vt:lpstr>
      <vt:lpstr>'501'!OSRRefE21_2x_9</vt:lpstr>
      <vt:lpstr>'Div 2'!OSRRefE21_2x_9</vt:lpstr>
      <vt:lpstr>'Div 3'!OSRRefE21_2x_9</vt:lpstr>
      <vt:lpstr>'Div 4'!OSRRefE21_2x_9</vt:lpstr>
      <vt:lpstr>'Div 5'!OSRRefE21_2x_9</vt:lpstr>
      <vt:lpstr>'Div 6'!OSRRefE21_2x_9</vt:lpstr>
      <vt:lpstr>Summary!OSRRefE21_2x_9</vt:lpstr>
      <vt:lpstr>'200'!OSRRefE21_3_0x</vt:lpstr>
      <vt:lpstr>'201'!OSRRefE21_3_0x</vt:lpstr>
      <vt:lpstr>'202'!OSRRefE21_3_0x</vt:lpstr>
      <vt:lpstr>'203'!OSRRefE21_3_0x</vt:lpstr>
      <vt:lpstr>'204'!OSRRefE21_3_0x</vt:lpstr>
      <vt:lpstr>'205'!OSRRefE21_3_0x</vt:lpstr>
      <vt:lpstr>'206'!OSRRefE21_3_0x</vt:lpstr>
      <vt:lpstr>'300'!OSRRefE21_3_0x</vt:lpstr>
      <vt:lpstr>'300 &amp; 317'!OSRRefE21_3_0x</vt:lpstr>
      <vt:lpstr>'301'!OSRRefE21_3_0x</vt:lpstr>
      <vt:lpstr>'307'!OSRRefE21_3_0x</vt:lpstr>
      <vt:lpstr>'308'!OSRRefE21_3_0x</vt:lpstr>
      <vt:lpstr>'310'!OSRRefE21_3_0x</vt:lpstr>
      <vt:lpstr>'310 &amp; 491'!OSRRefE21_3_0x</vt:lpstr>
      <vt:lpstr>'311'!OSRRefE21_3_0x</vt:lpstr>
      <vt:lpstr>'315'!OSRRefE21_3_0x</vt:lpstr>
      <vt:lpstr>'316'!OSRRefE21_3_0x</vt:lpstr>
      <vt:lpstr>'317'!OSRRefE21_3_0x</vt:lpstr>
      <vt:lpstr>'321'!OSRRefE21_3_0x</vt:lpstr>
      <vt:lpstr>'325'!OSRRefE21_3_0x</vt:lpstr>
      <vt:lpstr>'326'!OSRRefE21_3_0x</vt:lpstr>
      <vt:lpstr>'330'!OSRRefE21_3_0x</vt:lpstr>
      <vt:lpstr>'331'!OSRRefE21_3_0x</vt:lpstr>
      <vt:lpstr>'332'!OSRRefE21_3_0x</vt:lpstr>
      <vt:lpstr>'405'!OSRRefE21_3_0x</vt:lpstr>
      <vt:lpstr>'411'!OSRRefE21_3_0x</vt:lpstr>
      <vt:lpstr>'415'!OSRRefE21_3_0x</vt:lpstr>
      <vt:lpstr>'418'!OSRRefE21_3_0x</vt:lpstr>
      <vt:lpstr>'423'!OSRRefE21_3_0x</vt:lpstr>
      <vt:lpstr>'430'!OSRRefE21_3_0x</vt:lpstr>
      <vt:lpstr>'433'!OSRRefE21_3_0x</vt:lpstr>
      <vt:lpstr>'444'!OSRRefE21_3_0x</vt:lpstr>
      <vt:lpstr>'450'!OSRRefE21_3_0x</vt:lpstr>
      <vt:lpstr>'491'!OSRRefE21_3_0x</vt:lpstr>
      <vt:lpstr>'492'!OSRRefE21_3_0x</vt:lpstr>
      <vt:lpstr>'501'!OSRRefE21_3_0x</vt:lpstr>
      <vt:lpstr>'Div 2'!OSRRefE21_3_0x</vt:lpstr>
      <vt:lpstr>'Div 3'!OSRRefE21_3_0x</vt:lpstr>
      <vt:lpstr>'Div 4'!OSRRefE21_3_0x</vt:lpstr>
      <vt:lpstr>'Div 5'!OSRRefE21_3_0x</vt:lpstr>
      <vt:lpstr>'Div 6'!OSRRefE21_3_0x</vt:lpstr>
      <vt:lpstr>Summary!OSRRefE21_3_0x</vt:lpstr>
      <vt:lpstr>'200'!OSRRefE21_3_1x</vt:lpstr>
      <vt:lpstr>'411'!OSRRefE21_3_1x</vt:lpstr>
      <vt:lpstr>'200'!OSRRefE21_3x_0</vt:lpstr>
      <vt:lpstr>'201'!OSRRefE21_3x_0</vt:lpstr>
      <vt:lpstr>'202'!OSRRefE21_3x_0</vt:lpstr>
      <vt:lpstr>'203'!OSRRefE21_3x_0</vt:lpstr>
      <vt:lpstr>'204'!OSRRefE21_3x_0</vt:lpstr>
      <vt:lpstr>'205'!OSRRefE21_3x_0</vt:lpstr>
      <vt:lpstr>'206'!OSRRefE21_3x_0</vt:lpstr>
      <vt:lpstr>'300'!OSRRefE21_3x_0</vt:lpstr>
      <vt:lpstr>'300 &amp; 317'!OSRRefE21_3x_0</vt:lpstr>
      <vt:lpstr>'301'!OSRRefE21_3x_0</vt:lpstr>
      <vt:lpstr>'307'!OSRRefE21_3x_0</vt:lpstr>
      <vt:lpstr>'308'!OSRRefE21_3x_0</vt:lpstr>
      <vt:lpstr>'310'!OSRRefE21_3x_0</vt:lpstr>
      <vt:lpstr>'310 &amp; 491'!OSRRefE21_3x_0</vt:lpstr>
      <vt:lpstr>'311'!OSRRefE21_3x_0</vt:lpstr>
      <vt:lpstr>'315'!OSRRefE21_3x_0</vt:lpstr>
      <vt:lpstr>'316'!OSRRefE21_3x_0</vt:lpstr>
      <vt:lpstr>'317'!OSRRefE21_3x_0</vt:lpstr>
      <vt:lpstr>'321'!OSRRefE21_3x_0</vt:lpstr>
      <vt:lpstr>'325'!OSRRefE21_3x_0</vt:lpstr>
      <vt:lpstr>'326'!OSRRefE21_3x_0</vt:lpstr>
      <vt:lpstr>'330'!OSRRefE21_3x_0</vt:lpstr>
      <vt:lpstr>'331'!OSRRefE21_3x_0</vt:lpstr>
      <vt:lpstr>'332'!OSRRefE21_3x_0</vt:lpstr>
      <vt:lpstr>'405'!OSRRefE21_3x_0</vt:lpstr>
      <vt:lpstr>'411'!OSRRefE21_3x_0</vt:lpstr>
      <vt:lpstr>'415'!OSRRefE21_3x_0</vt:lpstr>
      <vt:lpstr>'418'!OSRRefE21_3x_0</vt:lpstr>
      <vt:lpstr>'423'!OSRRefE21_3x_0</vt:lpstr>
      <vt:lpstr>'430'!OSRRefE21_3x_0</vt:lpstr>
      <vt:lpstr>'433'!OSRRefE21_3x_0</vt:lpstr>
      <vt:lpstr>'444'!OSRRefE21_3x_0</vt:lpstr>
      <vt:lpstr>'450'!OSRRefE21_3x_0</vt:lpstr>
      <vt:lpstr>'491'!OSRRefE21_3x_0</vt:lpstr>
      <vt:lpstr>'492'!OSRRefE21_3x_0</vt:lpstr>
      <vt:lpstr>'501'!OSRRefE21_3x_0</vt:lpstr>
      <vt:lpstr>'Div 2'!OSRRefE21_3x_0</vt:lpstr>
      <vt:lpstr>'Div 3'!OSRRefE21_3x_0</vt:lpstr>
      <vt:lpstr>'Div 4'!OSRRefE21_3x_0</vt:lpstr>
      <vt:lpstr>'Div 5'!OSRRefE21_3x_0</vt:lpstr>
      <vt:lpstr>'Div 6'!OSRRefE21_3x_0</vt:lpstr>
      <vt:lpstr>Summary!OSRRefE21_3x_0</vt:lpstr>
      <vt:lpstr>'200'!OSRRefE21_3x_1</vt:lpstr>
      <vt:lpstr>'201'!OSRRefE21_3x_1</vt:lpstr>
      <vt:lpstr>'202'!OSRRefE21_3x_1</vt:lpstr>
      <vt:lpstr>'203'!OSRRefE21_3x_1</vt:lpstr>
      <vt:lpstr>'204'!OSRRefE21_3x_1</vt:lpstr>
      <vt:lpstr>'205'!OSRRefE21_3x_1</vt:lpstr>
      <vt:lpstr>'206'!OSRRefE21_3x_1</vt:lpstr>
      <vt:lpstr>'300'!OSRRefE21_3x_1</vt:lpstr>
      <vt:lpstr>'300 &amp; 317'!OSRRefE21_3x_1</vt:lpstr>
      <vt:lpstr>'301'!OSRRefE21_3x_1</vt:lpstr>
      <vt:lpstr>'307'!OSRRefE21_3x_1</vt:lpstr>
      <vt:lpstr>'308'!OSRRefE21_3x_1</vt:lpstr>
      <vt:lpstr>'310'!OSRRefE21_3x_1</vt:lpstr>
      <vt:lpstr>'310 &amp; 491'!OSRRefE21_3x_1</vt:lpstr>
      <vt:lpstr>'311'!OSRRefE21_3x_1</vt:lpstr>
      <vt:lpstr>'315'!OSRRefE21_3x_1</vt:lpstr>
      <vt:lpstr>'316'!OSRRefE21_3x_1</vt:lpstr>
      <vt:lpstr>'317'!OSRRefE21_3x_1</vt:lpstr>
      <vt:lpstr>'321'!OSRRefE21_3x_1</vt:lpstr>
      <vt:lpstr>'325'!OSRRefE21_3x_1</vt:lpstr>
      <vt:lpstr>'326'!OSRRefE21_3x_1</vt:lpstr>
      <vt:lpstr>'330'!OSRRefE21_3x_1</vt:lpstr>
      <vt:lpstr>'331'!OSRRefE21_3x_1</vt:lpstr>
      <vt:lpstr>'332'!OSRRefE21_3x_1</vt:lpstr>
      <vt:lpstr>'405'!OSRRefE21_3x_1</vt:lpstr>
      <vt:lpstr>'411'!OSRRefE21_3x_1</vt:lpstr>
      <vt:lpstr>'415'!OSRRefE21_3x_1</vt:lpstr>
      <vt:lpstr>'418'!OSRRefE21_3x_1</vt:lpstr>
      <vt:lpstr>'423'!OSRRefE21_3x_1</vt:lpstr>
      <vt:lpstr>'430'!OSRRefE21_3x_1</vt:lpstr>
      <vt:lpstr>'433'!OSRRefE21_3x_1</vt:lpstr>
      <vt:lpstr>'444'!OSRRefE21_3x_1</vt:lpstr>
      <vt:lpstr>'450'!OSRRefE21_3x_1</vt:lpstr>
      <vt:lpstr>'491'!OSRRefE21_3x_1</vt:lpstr>
      <vt:lpstr>'492'!OSRRefE21_3x_1</vt:lpstr>
      <vt:lpstr>'501'!OSRRefE21_3x_1</vt:lpstr>
      <vt:lpstr>'Div 2'!OSRRefE21_3x_1</vt:lpstr>
      <vt:lpstr>'Div 3'!OSRRefE21_3x_1</vt:lpstr>
      <vt:lpstr>'Div 4'!OSRRefE21_3x_1</vt:lpstr>
      <vt:lpstr>'Div 5'!OSRRefE21_3x_1</vt:lpstr>
      <vt:lpstr>'Div 6'!OSRRefE21_3x_1</vt:lpstr>
      <vt:lpstr>Summary!OSRRefE21_3x_1</vt:lpstr>
      <vt:lpstr>'200'!OSRRefE21_3x_10</vt:lpstr>
      <vt:lpstr>'201'!OSRRefE21_3x_10</vt:lpstr>
      <vt:lpstr>'202'!OSRRefE21_3x_10</vt:lpstr>
      <vt:lpstr>'203'!OSRRefE21_3x_10</vt:lpstr>
      <vt:lpstr>'204'!OSRRefE21_3x_10</vt:lpstr>
      <vt:lpstr>'205'!OSRRefE21_3x_10</vt:lpstr>
      <vt:lpstr>'206'!OSRRefE21_3x_10</vt:lpstr>
      <vt:lpstr>'300'!OSRRefE21_3x_10</vt:lpstr>
      <vt:lpstr>'300 &amp; 317'!OSRRefE21_3x_10</vt:lpstr>
      <vt:lpstr>'301'!OSRRefE21_3x_10</vt:lpstr>
      <vt:lpstr>'307'!OSRRefE21_3x_10</vt:lpstr>
      <vt:lpstr>'308'!OSRRefE21_3x_10</vt:lpstr>
      <vt:lpstr>'310'!OSRRefE21_3x_10</vt:lpstr>
      <vt:lpstr>'310 &amp; 491'!OSRRefE21_3x_10</vt:lpstr>
      <vt:lpstr>'311'!OSRRefE21_3x_10</vt:lpstr>
      <vt:lpstr>'315'!OSRRefE21_3x_10</vt:lpstr>
      <vt:lpstr>'316'!OSRRefE21_3x_10</vt:lpstr>
      <vt:lpstr>'317'!OSRRefE21_3x_10</vt:lpstr>
      <vt:lpstr>'321'!OSRRefE21_3x_10</vt:lpstr>
      <vt:lpstr>'325'!OSRRefE21_3x_10</vt:lpstr>
      <vt:lpstr>'326'!OSRRefE21_3x_10</vt:lpstr>
      <vt:lpstr>'330'!OSRRefE21_3x_10</vt:lpstr>
      <vt:lpstr>'331'!OSRRefE21_3x_10</vt:lpstr>
      <vt:lpstr>'332'!OSRRefE21_3x_10</vt:lpstr>
      <vt:lpstr>'405'!OSRRefE21_3x_10</vt:lpstr>
      <vt:lpstr>'411'!OSRRefE21_3x_10</vt:lpstr>
      <vt:lpstr>'415'!OSRRefE21_3x_10</vt:lpstr>
      <vt:lpstr>'418'!OSRRefE21_3x_10</vt:lpstr>
      <vt:lpstr>'423'!OSRRefE21_3x_10</vt:lpstr>
      <vt:lpstr>'430'!OSRRefE21_3x_10</vt:lpstr>
      <vt:lpstr>'433'!OSRRefE21_3x_10</vt:lpstr>
      <vt:lpstr>'444'!OSRRefE21_3x_10</vt:lpstr>
      <vt:lpstr>'450'!OSRRefE21_3x_10</vt:lpstr>
      <vt:lpstr>'491'!OSRRefE21_3x_10</vt:lpstr>
      <vt:lpstr>'492'!OSRRefE21_3x_10</vt:lpstr>
      <vt:lpstr>'501'!OSRRefE21_3x_10</vt:lpstr>
      <vt:lpstr>'Div 2'!OSRRefE21_3x_10</vt:lpstr>
      <vt:lpstr>'Div 3'!OSRRefE21_3x_10</vt:lpstr>
      <vt:lpstr>'Div 4'!OSRRefE21_3x_10</vt:lpstr>
      <vt:lpstr>'Div 5'!OSRRefE21_3x_10</vt:lpstr>
      <vt:lpstr>'Div 6'!OSRRefE21_3x_10</vt:lpstr>
      <vt:lpstr>Summary!OSRRefE21_3x_10</vt:lpstr>
      <vt:lpstr>'200'!OSRRefE21_3x_2</vt:lpstr>
      <vt:lpstr>'201'!OSRRefE21_3x_2</vt:lpstr>
      <vt:lpstr>'202'!OSRRefE21_3x_2</vt:lpstr>
      <vt:lpstr>'203'!OSRRefE21_3x_2</vt:lpstr>
      <vt:lpstr>'204'!OSRRefE21_3x_2</vt:lpstr>
      <vt:lpstr>'205'!OSRRefE21_3x_2</vt:lpstr>
      <vt:lpstr>'206'!OSRRefE21_3x_2</vt:lpstr>
      <vt:lpstr>'300'!OSRRefE21_3x_2</vt:lpstr>
      <vt:lpstr>'300 &amp; 317'!OSRRefE21_3x_2</vt:lpstr>
      <vt:lpstr>'301'!OSRRefE21_3x_2</vt:lpstr>
      <vt:lpstr>'307'!OSRRefE21_3x_2</vt:lpstr>
      <vt:lpstr>'308'!OSRRefE21_3x_2</vt:lpstr>
      <vt:lpstr>'310'!OSRRefE21_3x_2</vt:lpstr>
      <vt:lpstr>'310 &amp; 491'!OSRRefE21_3x_2</vt:lpstr>
      <vt:lpstr>'311'!OSRRefE21_3x_2</vt:lpstr>
      <vt:lpstr>'315'!OSRRefE21_3x_2</vt:lpstr>
      <vt:lpstr>'316'!OSRRefE21_3x_2</vt:lpstr>
      <vt:lpstr>'317'!OSRRefE21_3x_2</vt:lpstr>
      <vt:lpstr>'321'!OSRRefE21_3x_2</vt:lpstr>
      <vt:lpstr>'325'!OSRRefE21_3x_2</vt:lpstr>
      <vt:lpstr>'326'!OSRRefE21_3x_2</vt:lpstr>
      <vt:lpstr>'330'!OSRRefE21_3x_2</vt:lpstr>
      <vt:lpstr>'331'!OSRRefE21_3x_2</vt:lpstr>
      <vt:lpstr>'332'!OSRRefE21_3x_2</vt:lpstr>
      <vt:lpstr>'405'!OSRRefE21_3x_2</vt:lpstr>
      <vt:lpstr>'411'!OSRRefE21_3x_2</vt:lpstr>
      <vt:lpstr>'415'!OSRRefE21_3x_2</vt:lpstr>
      <vt:lpstr>'418'!OSRRefE21_3x_2</vt:lpstr>
      <vt:lpstr>'423'!OSRRefE21_3x_2</vt:lpstr>
      <vt:lpstr>'430'!OSRRefE21_3x_2</vt:lpstr>
      <vt:lpstr>'433'!OSRRefE21_3x_2</vt:lpstr>
      <vt:lpstr>'444'!OSRRefE21_3x_2</vt:lpstr>
      <vt:lpstr>'450'!OSRRefE21_3x_2</vt:lpstr>
      <vt:lpstr>'491'!OSRRefE21_3x_2</vt:lpstr>
      <vt:lpstr>'492'!OSRRefE21_3x_2</vt:lpstr>
      <vt:lpstr>'501'!OSRRefE21_3x_2</vt:lpstr>
      <vt:lpstr>'Div 2'!OSRRefE21_3x_2</vt:lpstr>
      <vt:lpstr>'Div 3'!OSRRefE21_3x_2</vt:lpstr>
      <vt:lpstr>'Div 4'!OSRRefE21_3x_2</vt:lpstr>
      <vt:lpstr>'Div 5'!OSRRefE21_3x_2</vt:lpstr>
      <vt:lpstr>'Div 6'!OSRRefE21_3x_2</vt:lpstr>
      <vt:lpstr>Summary!OSRRefE21_3x_2</vt:lpstr>
      <vt:lpstr>'200'!OSRRefE21_3x_3</vt:lpstr>
      <vt:lpstr>'201'!OSRRefE21_3x_3</vt:lpstr>
      <vt:lpstr>'202'!OSRRefE21_3x_3</vt:lpstr>
      <vt:lpstr>'203'!OSRRefE21_3x_3</vt:lpstr>
      <vt:lpstr>'204'!OSRRefE21_3x_3</vt:lpstr>
      <vt:lpstr>'205'!OSRRefE21_3x_3</vt:lpstr>
      <vt:lpstr>'206'!OSRRefE21_3x_3</vt:lpstr>
      <vt:lpstr>'300'!OSRRefE21_3x_3</vt:lpstr>
      <vt:lpstr>'300 &amp; 317'!OSRRefE21_3x_3</vt:lpstr>
      <vt:lpstr>'301'!OSRRefE21_3x_3</vt:lpstr>
      <vt:lpstr>'307'!OSRRefE21_3x_3</vt:lpstr>
      <vt:lpstr>'308'!OSRRefE21_3x_3</vt:lpstr>
      <vt:lpstr>'310'!OSRRefE21_3x_3</vt:lpstr>
      <vt:lpstr>'310 &amp; 491'!OSRRefE21_3x_3</vt:lpstr>
      <vt:lpstr>'311'!OSRRefE21_3x_3</vt:lpstr>
      <vt:lpstr>'315'!OSRRefE21_3x_3</vt:lpstr>
      <vt:lpstr>'316'!OSRRefE21_3x_3</vt:lpstr>
      <vt:lpstr>'317'!OSRRefE21_3x_3</vt:lpstr>
      <vt:lpstr>'321'!OSRRefE21_3x_3</vt:lpstr>
      <vt:lpstr>'325'!OSRRefE21_3x_3</vt:lpstr>
      <vt:lpstr>'326'!OSRRefE21_3x_3</vt:lpstr>
      <vt:lpstr>'330'!OSRRefE21_3x_3</vt:lpstr>
      <vt:lpstr>'331'!OSRRefE21_3x_3</vt:lpstr>
      <vt:lpstr>'332'!OSRRefE21_3x_3</vt:lpstr>
      <vt:lpstr>'405'!OSRRefE21_3x_3</vt:lpstr>
      <vt:lpstr>'411'!OSRRefE21_3x_3</vt:lpstr>
      <vt:lpstr>'415'!OSRRefE21_3x_3</vt:lpstr>
      <vt:lpstr>'418'!OSRRefE21_3x_3</vt:lpstr>
      <vt:lpstr>'423'!OSRRefE21_3x_3</vt:lpstr>
      <vt:lpstr>'430'!OSRRefE21_3x_3</vt:lpstr>
      <vt:lpstr>'433'!OSRRefE21_3x_3</vt:lpstr>
      <vt:lpstr>'444'!OSRRefE21_3x_3</vt:lpstr>
      <vt:lpstr>'450'!OSRRefE21_3x_3</vt:lpstr>
      <vt:lpstr>'491'!OSRRefE21_3x_3</vt:lpstr>
      <vt:lpstr>'492'!OSRRefE21_3x_3</vt:lpstr>
      <vt:lpstr>'501'!OSRRefE21_3x_3</vt:lpstr>
      <vt:lpstr>'Div 2'!OSRRefE21_3x_3</vt:lpstr>
      <vt:lpstr>'Div 3'!OSRRefE21_3x_3</vt:lpstr>
      <vt:lpstr>'Div 4'!OSRRefE21_3x_3</vt:lpstr>
      <vt:lpstr>'Div 5'!OSRRefE21_3x_3</vt:lpstr>
      <vt:lpstr>'Div 6'!OSRRefE21_3x_3</vt:lpstr>
      <vt:lpstr>Summary!OSRRefE21_3x_3</vt:lpstr>
      <vt:lpstr>'200'!OSRRefE21_3x_4</vt:lpstr>
      <vt:lpstr>'201'!OSRRefE21_3x_4</vt:lpstr>
      <vt:lpstr>'202'!OSRRefE21_3x_4</vt:lpstr>
      <vt:lpstr>'203'!OSRRefE21_3x_4</vt:lpstr>
      <vt:lpstr>'204'!OSRRefE21_3x_4</vt:lpstr>
      <vt:lpstr>'205'!OSRRefE21_3x_4</vt:lpstr>
      <vt:lpstr>'206'!OSRRefE21_3x_4</vt:lpstr>
      <vt:lpstr>'300'!OSRRefE21_3x_4</vt:lpstr>
      <vt:lpstr>'300 &amp; 317'!OSRRefE21_3x_4</vt:lpstr>
      <vt:lpstr>'301'!OSRRefE21_3x_4</vt:lpstr>
      <vt:lpstr>'307'!OSRRefE21_3x_4</vt:lpstr>
      <vt:lpstr>'308'!OSRRefE21_3x_4</vt:lpstr>
      <vt:lpstr>'310'!OSRRefE21_3x_4</vt:lpstr>
      <vt:lpstr>'310 &amp; 491'!OSRRefE21_3x_4</vt:lpstr>
      <vt:lpstr>'311'!OSRRefE21_3x_4</vt:lpstr>
      <vt:lpstr>'315'!OSRRefE21_3x_4</vt:lpstr>
      <vt:lpstr>'316'!OSRRefE21_3x_4</vt:lpstr>
      <vt:lpstr>'317'!OSRRefE21_3x_4</vt:lpstr>
      <vt:lpstr>'321'!OSRRefE21_3x_4</vt:lpstr>
      <vt:lpstr>'325'!OSRRefE21_3x_4</vt:lpstr>
      <vt:lpstr>'326'!OSRRefE21_3x_4</vt:lpstr>
      <vt:lpstr>'330'!OSRRefE21_3x_4</vt:lpstr>
      <vt:lpstr>'331'!OSRRefE21_3x_4</vt:lpstr>
      <vt:lpstr>'332'!OSRRefE21_3x_4</vt:lpstr>
      <vt:lpstr>'405'!OSRRefE21_3x_4</vt:lpstr>
      <vt:lpstr>'411'!OSRRefE21_3x_4</vt:lpstr>
      <vt:lpstr>'415'!OSRRefE21_3x_4</vt:lpstr>
      <vt:lpstr>'418'!OSRRefE21_3x_4</vt:lpstr>
      <vt:lpstr>'423'!OSRRefE21_3x_4</vt:lpstr>
      <vt:lpstr>'430'!OSRRefE21_3x_4</vt:lpstr>
      <vt:lpstr>'433'!OSRRefE21_3x_4</vt:lpstr>
      <vt:lpstr>'444'!OSRRefE21_3x_4</vt:lpstr>
      <vt:lpstr>'450'!OSRRefE21_3x_4</vt:lpstr>
      <vt:lpstr>'491'!OSRRefE21_3x_4</vt:lpstr>
      <vt:lpstr>'492'!OSRRefE21_3x_4</vt:lpstr>
      <vt:lpstr>'501'!OSRRefE21_3x_4</vt:lpstr>
      <vt:lpstr>'Div 2'!OSRRefE21_3x_4</vt:lpstr>
      <vt:lpstr>'Div 3'!OSRRefE21_3x_4</vt:lpstr>
      <vt:lpstr>'Div 4'!OSRRefE21_3x_4</vt:lpstr>
      <vt:lpstr>'Div 5'!OSRRefE21_3x_4</vt:lpstr>
      <vt:lpstr>'Div 6'!OSRRefE21_3x_4</vt:lpstr>
      <vt:lpstr>Summary!OSRRefE21_3x_4</vt:lpstr>
      <vt:lpstr>'200'!OSRRefE21_3x_5</vt:lpstr>
      <vt:lpstr>'201'!OSRRefE21_3x_5</vt:lpstr>
      <vt:lpstr>'202'!OSRRefE21_3x_5</vt:lpstr>
      <vt:lpstr>'203'!OSRRefE21_3x_5</vt:lpstr>
      <vt:lpstr>'204'!OSRRefE21_3x_5</vt:lpstr>
      <vt:lpstr>'205'!OSRRefE21_3x_5</vt:lpstr>
      <vt:lpstr>'206'!OSRRefE21_3x_5</vt:lpstr>
      <vt:lpstr>'300'!OSRRefE21_3x_5</vt:lpstr>
      <vt:lpstr>'300 &amp; 317'!OSRRefE21_3x_5</vt:lpstr>
      <vt:lpstr>'301'!OSRRefE21_3x_5</vt:lpstr>
      <vt:lpstr>'307'!OSRRefE21_3x_5</vt:lpstr>
      <vt:lpstr>'308'!OSRRefE21_3x_5</vt:lpstr>
      <vt:lpstr>'310'!OSRRefE21_3x_5</vt:lpstr>
      <vt:lpstr>'310 &amp; 491'!OSRRefE21_3x_5</vt:lpstr>
      <vt:lpstr>'311'!OSRRefE21_3x_5</vt:lpstr>
      <vt:lpstr>'315'!OSRRefE21_3x_5</vt:lpstr>
      <vt:lpstr>'316'!OSRRefE21_3x_5</vt:lpstr>
      <vt:lpstr>'317'!OSRRefE21_3x_5</vt:lpstr>
      <vt:lpstr>'321'!OSRRefE21_3x_5</vt:lpstr>
      <vt:lpstr>'325'!OSRRefE21_3x_5</vt:lpstr>
      <vt:lpstr>'326'!OSRRefE21_3x_5</vt:lpstr>
      <vt:lpstr>'330'!OSRRefE21_3x_5</vt:lpstr>
      <vt:lpstr>'331'!OSRRefE21_3x_5</vt:lpstr>
      <vt:lpstr>'332'!OSRRefE21_3x_5</vt:lpstr>
      <vt:lpstr>'405'!OSRRefE21_3x_5</vt:lpstr>
      <vt:lpstr>'411'!OSRRefE21_3x_5</vt:lpstr>
      <vt:lpstr>'415'!OSRRefE21_3x_5</vt:lpstr>
      <vt:lpstr>'418'!OSRRefE21_3x_5</vt:lpstr>
      <vt:lpstr>'423'!OSRRefE21_3x_5</vt:lpstr>
      <vt:lpstr>'430'!OSRRefE21_3x_5</vt:lpstr>
      <vt:lpstr>'433'!OSRRefE21_3x_5</vt:lpstr>
      <vt:lpstr>'444'!OSRRefE21_3x_5</vt:lpstr>
      <vt:lpstr>'450'!OSRRefE21_3x_5</vt:lpstr>
      <vt:lpstr>'491'!OSRRefE21_3x_5</vt:lpstr>
      <vt:lpstr>'492'!OSRRefE21_3x_5</vt:lpstr>
      <vt:lpstr>'501'!OSRRefE21_3x_5</vt:lpstr>
      <vt:lpstr>'Div 2'!OSRRefE21_3x_5</vt:lpstr>
      <vt:lpstr>'Div 3'!OSRRefE21_3x_5</vt:lpstr>
      <vt:lpstr>'Div 4'!OSRRefE21_3x_5</vt:lpstr>
      <vt:lpstr>'Div 5'!OSRRefE21_3x_5</vt:lpstr>
      <vt:lpstr>'Div 6'!OSRRefE21_3x_5</vt:lpstr>
      <vt:lpstr>Summary!OSRRefE21_3x_5</vt:lpstr>
      <vt:lpstr>'200'!OSRRefE21_3x_6</vt:lpstr>
      <vt:lpstr>'201'!OSRRefE21_3x_6</vt:lpstr>
      <vt:lpstr>'202'!OSRRefE21_3x_6</vt:lpstr>
      <vt:lpstr>'203'!OSRRefE21_3x_6</vt:lpstr>
      <vt:lpstr>'204'!OSRRefE21_3x_6</vt:lpstr>
      <vt:lpstr>'205'!OSRRefE21_3x_6</vt:lpstr>
      <vt:lpstr>'206'!OSRRefE21_3x_6</vt:lpstr>
      <vt:lpstr>'300'!OSRRefE21_3x_6</vt:lpstr>
      <vt:lpstr>'300 &amp; 317'!OSRRefE21_3x_6</vt:lpstr>
      <vt:lpstr>'301'!OSRRefE21_3x_6</vt:lpstr>
      <vt:lpstr>'307'!OSRRefE21_3x_6</vt:lpstr>
      <vt:lpstr>'308'!OSRRefE21_3x_6</vt:lpstr>
      <vt:lpstr>'310'!OSRRefE21_3x_6</vt:lpstr>
      <vt:lpstr>'310 &amp; 491'!OSRRefE21_3x_6</vt:lpstr>
      <vt:lpstr>'311'!OSRRefE21_3x_6</vt:lpstr>
      <vt:lpstr>'315'!OSRRefE21_3x_6</vt:lpstr>
      <vt:lpstr>'316'!OSRRefE21_3x_6</vt:lpstr>
      <vt:lpstr>'317'!OSRRefE21_3x_6</vt:lpstr>
      <vt:lpstr>'321'!OSRRefE21_3x_6</vt:lpstr>
      <vt:lpstr>'325'!OSRRefE21_3x_6</vt:lpstr>
      <vt:lpstr>'326'!OSRRefE21_3x_6</vt:lpstr>
      <vt:lpstr>'330'!OSRRefE21_3x_6</vt:lpstr>
      <vt:lpstr>'331'!OSRRefE21_3x_6</vt:lpstr>
      <vt:lpstr>'332'!OSRRefE21_3x_6</vt:lpstr>
      <vt:lpstr>'405'!OSRRefE21_3x_6</vt:lpstr>
      <vt:lpstr>'411'!OSRRefE21_3x_6</vt:lpstr>
      <vt:lpstr>'415'!OSRRefE21_3x_6</vt:lpstr>
      <vt:lpstr>'418'!OSRRefE21_3x_6</vt:lpstr>
      <vt:lpstr>'423'!OSRRefE21_3x_6</vt:lpstr>
      <vt:lpstr>'430'!OSRRefE21_3x_6</vt:lpstr>
      <vt:lpstr>'433'!OSRRefE21_3x_6</vt:lpstr>
      <vt:lpstr>'444'!OSRRefE21_3x_6</vt:lpstr>
      <vt:lpstr>'450'!OSRRefE21_3x_6</vt:lpstr>
      <vt:lpstr>'491'!OSRRefE21_3x_6</vt:lpstr>
      <vt:lpstr>'492'!OSRRefE21_3x_6</vt:lpstr>
      <vt:lpstr>'501'!OSRRefE21_3x_6</vt:lpstr>
      <vt:lpstr>'Div 2'!OSRRefE21_3x_6</vt:lpstr>
      <vt:lpstr>'Div 3'!OSRRefE21_3x_6</vt:lpstr>
      <vt:lpstr>'Div 4'!OSRRefE21_3x_6</vt:lpstr>
      <vt:lpstr>'Div 5'!OSRRefE21_3x_6</vt:lpstr>
      <vt:lpstr>'Div 6'!OSRRefE21_3x_6</vt:lpstr>
      <vt:lpstr>Summary!OSRRefE21_3x_6</vt:lpstr>
      <vt:lpstr>'200'!OSRRefE21_3x_7</vt:lpstr>
      <vt:lpstr>'201'!OSRRefE21_3x_7</vt:lpstr>
      <vt:lpstr>'202'!OSRRefE21_3x_7</vt:lpstr>
      <vt:lpstr>'203'!OSRRefE21_3x_7</vt:lpstr>
      <vt:lpstr>'204'!OSRRefE21_3x_7</vt:lpstr>
      <vt:lpstr>'205'!OSRRefE21_3x_7</vt:lpstr>
      <vt:lpstr>'206'!OSRRefE21_3x_7</vt:lpstr>
      <vt:lpstr>'300'!OSRRefE21_3x_7</vt:lpstr>
      <vt:lpstr>'300 &amp; 317'!OSRRefE21_3x_7</vt:lpstr>
      <vt:lpstr>'301'!OSRRefE21_3x_7</vt:lpstr>
      <vt:lpstr>'307'!OSRRefE21_3x_7</vt:lpstr>
      <vt:lpstr>'308'!OSRRefE21_3x_7</vt:lpstr>
      <vt:lpstr>'310'!OSRRefE21_3x_7</vt:lpstr>
      <vt:lpstr>'310 &amp; 491'!OSRRefE21_3x_7</vt:lpstr>
      <vt:lpstr>'311'!OSRRefE21_3x_7</vt:lpstr>
      <vt:lpstr>'315'!OSRRefE21_3x_7</vt:lpstr>
      <vt:lpstr>'316'!OSRRefE21_3x_7</vt:lpstr>
      <vt:lpstr>'317'!OSRRefE21_3x_7</vt:lpstr>
      <vt:lpstr>'321'!OSRRefE21_3x_7</vt:lpstr>
      <vt:lpstr>'325'!OSRRefE21_3x_7</vt:lpstr>
      <vt:lpstr>'326'!OSRRefE21_3x_7</vt:lpstr>
      <vt:lpstr>'330'!OSRRefE21_3x_7</vt:lpstr>
      <vt:lpstr>'331'!OSRRefE21_3x_7</vt:lpstr>
      <vt:lpstr>'332'!OSRRefE21_3x_7</vt:lpstr>
      <vt:lpstr>'405'!OSRRefE21_3x_7</vt:lpstr>
      <vt:lpstr>'411'!OSRRefE21_3x_7</vt:lpstr>
      <vt:lpstr>'415'!OSRRefE21_3x_7</vt:lpstr>
      <vt:lpstr>'418'!OSRRefE21_3x_7</vt:lpstr>
      <vt:lpstr>'423'!OSRRefE21_3x_7</vt:lpstr>
      <vt:lpstr>'430'!OSRRefE21_3x_7</vt:lpstr>
      <vt:lpstr>'433'!OSRRefE21_3x_7</vt:lpstr>
      <vt:lpstr>'444'!OSRRefE21_3x_7</vt:lpstr>
      <vt:lpstr>'450'!OSRRefE21_3x_7</vt:lpstr>
      <vt:lpstr>'491'!OSRRefE21_3x_7</vt:lpstr>
      <vt:lpstr>'492'!OSRRefE21_3x_7</vt:lpstr>
      <vt:lpstr>'501'!OSRRefE21_3x_7</vt:lpstr>
      <vt:lpstr>'Div 2'!OSRRefE21_3x_7</vt:lpstr>
      <vt:lpstr>'Div 3'!OSRRefE21_3x_7</vt:lpstr>
      <vt:lpstr>'Div 4'!OSRRefE21_3x_7</vt:lpstr>
      <vt:lpstr>'Div 5'!OSRRefE21_3x_7</vt:lpstr>
      <vt:lpstr>'Div 6'!OSRRefE21_3x_7</vt:lpstr>
      <vt:lpstr>Summary!OSRRefE21_3x_7</vt:lpstr>
      <vt:lpstr>'200'!OSRRefE21_3x_8</vt:lpstr>
      <vt:lpstr>'201'!OSRRefE21_3x_8</vt:lpstr>
      <vt:lpstr>'202'!OSRRefE21_3x_8</vt:lpstr>
      <vt:lpstr>'203'!OSRRefE21_3x_8</vt:lpstr>
      <vt:lpstr>'204'!OSRRefE21_3x_8</vt:lpstr>
      <vt:lpstr>'205'!OSRRefE21_3x_8</vt:lpstr>
      <vt:lpstr>'206'!OSRRefE21_3x_8</vt:lpstr>
      <vt:lpstr>'300'!OSRRefE21_3x_8</vt:lpstr>
      <vt:lpstr>'300 &amp; 317'!OSRRefE21_3x_8</vt:lpstr>
      <vt:lpstr>'301'!OSRRefE21_3x_8</vt:lpstr>
      <vt:lpstr>'307'!OSRRefE21_3x_8</vt:lpstr>
      <vt:lpstr>'308'!OSRRefE21_3x_8</vt:lpstr>
      <vt:lpstr>'310'!OSRRefE21_3x_8</vt:lpstr>
      <vt:lpstr>'310 &amp; 491'!OSRRefE21_3x_8</vt:lpstr>
      <vt:lpstr>'311'!OSRRefE21_3x_8</vt:lpstr>
      <vt:lpstr>'315'!OSRRefE21_3x_8</vt:lpstr>
      <vt:lpstr>'316'!OSRRefE21_3x_8</vt:lpstr>
      <vt:lpstr>'317'!OSRRefE21_3x_8</vt:lpstr>
      <vt:lpstr>'321'!OSRRefE21_3x_8</vt:lpstr>
      <vt:lpstr>'325'!OSRRefE21_3x_8</vt:lpstr>
      <vt:lpstr>'326'!OSRRefE21_3x_8</vt:lpstr>
      <vt:lpstr>'330'!OSRRefE21_3x_8</vt:lpstr>
      <vt:lpstr>'331'!OSRRefE21_3x_8</vt:lpstr>
      <vt:lpstr>'332'!OSRRefE21_3x_8</vt:lpstr>
      <vt:lpstr>'405'!OSRRefE21_3x_8</vt:lpstr>
      <vt:lpstr>'411'!OSRRefE21_3x_8</vt:lpstr>
      <vt:lpstr>'415'!OSRRefE21_3x_8</vt:lpstr>
      <vt:lpstr>'418'!OSRRefE21_3x_8</vt:lpstr>
      <vt:lpstr>'423'!OSRRefE21_3x_8</vt:lpstr>
      <vt:lpstr>'430'!OSRRefE21_3x_8</vt:lpstr>
      <vt:lpstr>'433'!OSRRefE21_3x_8</vt:lpstr>
      <vt:lpstr>'444'!OSRRefE21_3x_8</vt:lpstr>
      <vt:lpstr>'450'!OSRRefE21_3x_8</vt:lpstr>
      <vt:lpstr>'491'!OSRRefE21_3x_8</vt:lpstr>
      <vt:lpstr>'492'!OSRRefE21_3x_8</vt:lpstr>
      <vt:lpstr>'501'!OSRRefE21_3x_8</vt:lpstr>
      <vt:lpstr>'Div 2'!OSRRefE21_3x_8</vt:lpstr>
      <vt:lpstr>'Div 3'!OSRRefE21_3x_8</vt:lpstr>
      <vt:lpstr>'Div 4'!OSRRefE21_3x_8</vt:lpstr>
      <vt:lpstr>'Div 5'!OSRRefE21_3x_8</vt:lpstr>
      <vt:lpstr>'Div 6'!OSRRefE21_3x_8</vt:lpstr>
      <vt:lpstr>Summary!OSRRefE21_3x_8</vt:lpstr>
      <vt:lpstr>'200'!OSRRefE21_3x_9</vt:lpstr>
      <vt:lpstr>'201'!OSRRefE21_3x_9</vt:lpstr>
      <vt:lpstr>'202'!OSRRefE21_3x_9</vt:lpstr>
      <vt:lpstr>'203'!OSRRefE21_3x_9</vt:lpstr>
      <vt:lpstr>'204'!OSRRefE21_3x_9</vt:lpstr>
      <vt:lpstr>'205'!OSRRefE21_3x_9</vt:lpstr>
      <vt:lpstr>'206'!OSRRefE21_3x_9</vt:lpstr>
      <vt:lpstr>'300'!OSRRefE21_3x_9</vt:lpstr>
      <vt:lpstr>'300 &amp; 317'!OSRRefE21_3x_9</vt:lpstr>
      <vt:lpstr>'301'!OSRRefE21_3x_9</vt:lpstr>
      <vt:lpstr>'307'!OSRRefE21_3x_9</vt:lpstr>
      <vt:lpstr>'308'!OSRRefE21_3x_9</vt:lpstr>
      <vt:lpstr>'310'!OSRRefE21_3x_9</vt:lpstr>
      <vt:lpstr>'310 &amp; 491'!OSRRefE21_3x_9</vt:lpstr>
      <vt:lpstr>'311'!OSRRefE21_3x_9</vt:lpstr>
      <vt:lpstr>'315'!OSRRefE21_3x_9</vt:lpstr>
      <vt:lpstr>'316'!OSRRefE21_3x_9</vt:lpstr>
      <vt:lpstr>'317'!OSRRefE21_3x_9</vt:lpstr>
      <vt:lpstr>'321'!OSRRefE21_3x_9</vt:lpstr>
      <vt:lpstr>'325'!OSRRefE21_3x_9</vt:lpstr>
      <vt:lpstr>'326'!OSRRefE21_3x_9</vt:lpstr>
      <vt:lpstr>'330'!OSRRefE21_3x_9</vt:lpstr>
      <vt:lpstr>'331'!OSRRefE21_3x_9</vt:lpstr>
      <vt:lpstr>'332'!OSRRefE21_3x_9</vt:lpstr>
      <vt:lpstr>'405'!OSRRefE21_3x_9</vt:lpstr>
      <vt:lpstr>'411'!OSRRefE21_3x_9</vt:lpstr>
      <vt:lpstr>'415'!OSRRefE21_3x_9</vt:lpstr>
      <vt:lpstr>'418'!OSRRefE21_3x_9</vt:lpstr>
      <vt:lpstr>'423'!OSRRefE21_3x_9</vt:lpstr>
      <vt:lpstr>'430'!OSRRefE21_3x_9</vt:lpstr>
      <vt:lpstr>'433'!OSRRefE21_3x_9</vt:lpstr>
      <vt:lpstr>'444'!OSRRefE21_3x_9</vt:lpstr>
      <vt:lpstr>'450'!OSRRefE21_3x_9</vt:lpstr>
      <vt:lpstr>'491'!OSRRefE21_3x_9</vt:lpstr>
      <vt:lpstr>'492'!OSRRefE21_3x_9</vt:lpstr>
      <vt:lpstr>'501'!OSRRefE21_3x_9</vt:lpstr>
      <vt:lpstr>'Div 2'!OSRRefE21_3x_9</vt:lpstr>
      <vt:lpstr>'Div 3'!OSRRefE21_3x_9</vt:lpstr>
      <vt:lpstr>'Div 4'!OSRRefE21_3x_9</vt:lpstr>
      <vt:lpstr>'Div 5'!OSRRefE21_3x_9</vt:lpstr>
      <vt:lpstr>'Div 6'!OSRRefE21_3x_9</vt:lpstr>
      <vt:lpstr>Summary!OSRRefE21_3x_9</vt:lpstr>
      <vt:lpstr>'201'!OSRRefE21_4_0x</vt:lpstr>
      <vt:lpstr>'202'!OSRRefE21_4_0x</vt:lpstr>
      <vt:lpstr>'203'!OSRRefE21_4_0x</vt:lpstr>
      <vt:lpstr>'204'!OSRRefE21_4_0x</vt:lpstr>
      <vt:lpstr>'205'!OSRRefE21_4_0x</vt:lpstr>
      <vt:lpstr>'206'!OSRRefE21_4_0x</vt:lpstr>
      <vt:lpstr>'300'!OSRRefE21_4_0x</vt:lpstr>
      <vt:lpstr>'300 &amp; 317'!OSRRefE21_4_0x</vt:lpstr>
      <vt:lpstr>'301'!OSRRefE21_4_0x</vt:lpstr>
      <vt:lpstr>'307'!OSRRefE21_4_0x</vt:lpstr>
      <vt:lpstr>'308'!OSRRefE21_4_0x</vt:lpstr>
      <vt:lpstr>'310'!OSRRefE21_4_0x</vt:lpstr>
      <vt:lpstr>'310 &amp; 491'!OSRRefE21_4_0x</vt:lpstr>
      <vt:lpstr>'311'!OSRRefE21_4_0x</vt:lpstr>
      <vt:lpstr>'315'!OSRRefE21_4_0x</vt:lpstr>
      <vt:lpstr>'316'!OSRRefE21_4_0x</vt:lpstr>
      <vt:lpstr>'317'!OSRRefE21_4_0x</vt:lpstr>
      <vt:lpstr>'321'!OSRRefE21_4_0x</vt:lpstr>
      <vt:lpstr>'325'!OSRRefE21_4_0x</vt:lpstr>
      <vt:lpstr>'326'!OSRRefE21_4_0x</vt:lpstr>
      <vt:lpstr>'330'!OSRRefE21_4_0x</vt:lpstr>
      <vt:lpstr>'331'!OSRRefE21_4_0x</vt:lpstr>
      <vt:lpstr>'332'!OSRRefE21_4_0x</vt:lpstr>
      <vt:lpstr>'405'!OSRRefE21_4_0x</vt:lpstr>
      <vt:lpstr>'411'!OSRRefE21_4_0x</vt:lpstr>
      <vt:lpstr>'415'!OSRRefE21_4_0x</vt:lpstr>
      <vt:lpstr>'418'!OSRRefE21_4_0x</vt:lpstr>
      <vt:lpstr>'430'!OSRRefE21_4_0x</vt:lpstr>
      <vt:lpstr>'433'!OSRRefE21_4_0x</vt:lpstr>
      <vt:lpstr>'444'!OSRRefE21_4_0x</vt:lpstr>
      <vt:lpstr>'450'!OSRRefE21_4_0x</vt:lpstr>
      <vt:lpstr>'491'!OSRRefE21_4_0x</vt:lpstr>
      <vt:lpstr>'492'!OSRRefE21_4_0x</vt:lpstr>
      <vt:lpstr>'501'!OSRRefE21_4_0x</vt:lpstr>
      <vt:lpstr>'Div 2'!OSRRefE21_4_0x</vt:lpstr>
      <vt:lpstr>'Div 3'!OSRRefE21_4_0x</vt:lpstr>
      <vt:lpstr>'Div 4'!OSRRefE21_4_0x</vt:lpstr>
      <vt:lpstr>'Div 5'!OSRRefE21_4_0x</vt:lpstr>
      <vt:lpstr>'Div 6'!OSRRefE21_4_0x</vt:lpstr>
      <vt:lpstr>Summary!OSRRefE21_4_0x</vt:lpstr>
      <vt:lpstr>'204'!OSRRefE21_4_1x</vt:lpstr>
      <vt:lpstr>'205'!OSRRefE21_4_1x</vt:lpstr>
      <vt:lpstr>'301'!OSRRefE21_4_1x</vt:lpstr>
      <vt:lpstr>'325'!OSRRefE21_4_1x</vt:lpstr>
      <vt:lpstr>'405'!OSRRefE21_4_1x</vt:lpstr>
      <vt:lpstr>'418'!OSRRefE21_4_1x</vt:lpstr>
      <vt:lpstr>'204'!OSRRefE21_4_2x</vt:lpstr>
      <vt:lpstr>'205'!OSRRefE21_4_2x</vt:lpstr>
      <vt:lpstr>'201'!OSRRefE21_4x_0</vt:lpstr>
      <vt:lpstr>'202'!OSRRefE21_4x_0</vt:lpstr>
      <vt:lpstr>'203'!OSRRefE21_4x_0</vt:lpstr>
      <vt:lpstr>'204'!OSRRefE21_4x_0</vt:lpstr>
      <vt:lpstr>'205'!OSRRefE21_4x_0</vt:lpstr>
      <vt:lpstr>'206'!OSRRefE21_4x_0</vt:lpstr>
      <vt:lpstr>'300'!OSRRefE21_4x_0</vt:lpstr>
      <vt:lpstr>'300 &amp; 317'!OSRRefE21_4x_0</vt:lpstr>
      <vt:lpstr>'301'!OSRRefE21_4x_0</vt:lpstr>
      <vt:lpstr>'307'!OSRRefE21_4x_0</vt:lpstr>
      <vt:lpstr>'308'!OSRRefE21_4x_0</vt:lpstr>
      <vt:lpstr>'310'!OSRRefE21_4x_0</vt:lpstr>
      <vt:lpstr>'310 &amp; 491'!OSRRefE21_4x_0</vt:lpstr>
      <vt:lpstr>'311'!OSRRefE21_4x_0</vt:lpstr>
      <vt:lpstr>'315'!OSRRefE21_4x_0</vt:lpstr>
      <vt:lpstr>'316'!OSRRefE21_4x_0</vt:lpstr>
      <vt:lpstr>'317'!OSRRefE21_4x_0</vt:lpstr>
      <vt:lpstr>'321'!OSRRefE21_4x_0</vt:lpstr>
      <vt:lpstr>'325'!OSRRefE21_4x_0</vt:lpstr>
      <vt:lpstr>'326'!OSRRefE21_4x_0</vt:lpstr>
      <vt:lpstr>'330'!OSRRefE21_4x_0</vt:lpstr>
      <vt:lpstr>'331'!OSRRefE21_4x_0</vt:lpstr>
      <vt:lpstr>'332'!OSRRefE21_4x_0</vt:lpstr>
      <vt:lpstr>'405'!OSRRefE21_4x_0</vt:lpstr>
      <vt:lpstr>'411'!OSRRefE21_4x_0</vt:lpstr>
      <vt:lpstr>'415'!OSRRefE21_4x_0</vt:lpstr>
      <vt:lpstr>'418'!OSRRefE21_4x_0</vt:lpstr>
      <vt:lpstr>'430'!OSRRefE21_4x_0</vt:lpstr>
      <vt:lpstr>'433'!OSRRefE21_4x_0</vt:lpstr>
      <vt:lpstr>'444'!OSRRefE21_4x_0</vt:lpstr>
      <vt:lpstr>'450'!OSRRefE21_4x_0</vt:lpstr>
      <vt:lpstr>'491'!OSRRefE21_4x_0</vt:lpstr>
      <vt:lpstr>'492'!OSRRefE21_4x_0</vt:lpstr>
      <vt:lpstr>'501'!OSRRefE21_4x_0</vt:lpstr>
      <vt:lpstr>'Div 2'!OSRRefE21_4x_0</vt:lpstr>
      <vt:lpstr>'Div 3'!OSRRefE21_4x_0</vt:lpstr>
      <vt:lpstr>'Div 4'!OSRRefE21_4x_0</vt:lpstr>
      <vt:lpstr>'Div 5'!OSRRefE21_4x_0</vt:lpstr>
      <vt:lpstr>'Div 6'!OSRRefE21_4x_0</vt:lpstr>
      <vt:lpstr>Summary!OSRRefE21_4x_0</vt:lpstr>
      <vt:lpstr>'201'!OSRRefE21_4x_1</vt:lpstr>
      <vt:lpstr>'202'!OSRRefE21_4x_1</vt:lpstr>
      <vt:lpstr>'203'!OSRRefE21_4x_1</vt:lpstr>
      <vt:lpstr>'204'!OSRRefE21_4x_1</vt:lpstr>
      <vt:lpstr>'205'!OSRRefE21_4x_1</vt:lpstr>
      <vt:lpstr>'206'!OSRRefE21_4x_1</vt:lpstr>
      <vt:lpstr>'300'!OSRRefE21_4x_1</vt:lpstr>
      <vt:lpstr>'300 &amp; 317'!OSRRefE21_4x_1</vt:lpstr>
      <vt:lpstr>'301'!OSRRefE21_4x_1</vt:lpstr>
      <vt:lpstr>'307'!OSRRefE21_4x_1</vt:lpstr>
      <vt:lpstr>'308'!OSRRefE21_4x_1</vt:lpstr>
      <vt:lpstr>'310'!OSRRefE21_4x_1</vt:lpstr>
      <vt:lpstr>'310 &amp; 491'!OSRRefE21_4x_1</vt:lpstr>
      <vt:lpstr>'311'!OSRRefE21_4x_1</vt:lpstr>
      <vt:lpstr>'315'!OSRRefE21_4x_1</vt:lpstr>
      <vt:lpstr>'316'!OSRRefE21_4x_1</vt:lpstr>
      <vt:lpstr>'317'!OSRRefE21_4x_1</vt:lpstr>
      <vt:lpstr>'321'!OSRRefE21_4x_1</vt:lpstr>
      <vt:lpstr>'325'!OSRRefE21_4x_1</vt:lpstr>
      <vt:lpstr>'326'!OSRRefE21_4x_1</vt:lpstr>
      <vt:lpstr>'330'!OSRRefE21_4x_1</vt:lpstr>
      <vt:lpstr>'331'!OSRRefE21_4x_1</vt:lpstr>
      <vt:lpstr>'332'!OSRRefE21_4x_1</vt:lpstr>
      <vt:lpstr>'405'!OSRRefE21_4x_1</vt:lpstr>
      <vt:lpstr>'411'!OSRRefE21_4x_1</vt:lpstr>
      <vt:lpstr>'415'!OSRRefE21_4x_1</vt:lpstr>
      <vt:lpstr>'418'!OSRRefE21_4x_1</vt:lpstr>
      <vt:lpstr>'430'!OSRRefE21_4x_1</vt:lpstr>
      <vt:lpstr>'433'!OSRRefE21_4x_1</vt:lpstr>
      <vt:lpstr>'444'!OSRRefE21_4x_1</vt:lpstr>
      <vt:lpstr>'450'!OSRRefE21_4x_1</vt:lpstr>
      <vt:lpstr>'491'!OSRRefE21_4x_1</vt:lpstr>
      <vt:lpstr>'492'!OSRRefE21_4x_1</vt:lpstr>
      <vt:lpstr>'501'!OSRRefE21_4x_1</vt:lpstr>
      <vt:lpstr>'Div 2'!OSRRefE21_4x_1</vt:lpstr>
      <vt:lpstr>'Div 3'!OSRRefE21_4x_1</vt:lpstr>
      <vt:lpstr>'Div 4'!OSRRefE21_4x_1</vt:lpstr>
      <vt:lpstr>'Div 5'!OSRRefE21_4x_1</vt:lpstr>
      <vt:lpstr>'Div 6'!OSRRefE21_4x_1</vt:lpstr>
      <vt:lpstr>Summary!OSRRefE21_4x_1</vt:lpstr>
      <vt:lpstr>'201'!OSRRefE21_4x_10</vt:lpstr>
      <vt:lpstr>'202'!OSRRefE21_4x_10</vt:lpstr>
      <vt:lpstr>'203'!OSRRefE21_4x_10</vt:lpstr>
      <vt:lpstr>'204'!OSRRefE21_4x_10</vt:lpstr>
      <vt:lpstr>'205'!OSRRefE21_4x_10</vt:lpstr>
      <vt:lpstr>'206'!OSRRefE21_4x_10</vt:lpstr>
      <vt:lpstr>'300'!OSRRefE21_4x_10</vt:lpstr>
      <vt:lpstr>'300 &amp; 317'!OSRRefE21_4x_10</vt:lpstr>
      <vt:lpstr>'301'!OSRRefE21_4x_10</vt:lpstr>
      <vt:lpstr>'307'!OSRRefE21_4x_10</vt:lpstr>
      <vt:lpstr>'308'!OSRRefE21_4x_10</vt:lpstr>
      <vt:lpstr>'310'!OSRRefE21_4x_10</vt:lpstr>
      <vt:lpstr>'310 &amp; 491'!OSRRefE21_4x_10</vt:lpstr>
      <vt:lpstr>'311'!OSRRefE21_4x_10</vt:lpstr>
      <vt:lpstr>'315'!OSRRefE21_4x_10</vt:lpstr>
      <vt:lpstr>'316'!OSRRefE21_4x_10</vt:lpstr>
      <vt:lpstr>'317'!OSRRefE21_4x_10</vt:lpstr>
      <vt:lpstr>'321'!OSRRefE21_4x_10</vt:lpstr>
      <vt:lpstr>'325'!OSRRefE21_4x_10</vt:lpstr>
      <vt:lpstr>'326'!OSRRefE21_4x_10</vt:lpstr>
      <vt:lpstr>'330'!OSRRefE21_4x_10</vt:lpstr>
      <vt:lpstr>'331'!OSRRefE21_4x_10</vt:lpstr>
      <vt:lpstr>'332'!OSRRefE21_4x_10</vt:lpstr>
      <vt:lpstr>'405'!OSRRefE21_4x_10</vt:lpstr>
      <vt:lpstr>'411'!OSRRefE21_4x_10</vt:lpstr>
      <vt:lpstr>'415'!OSRRefE21_4x_10</vt:lpstr>
      <vt:lpstr>'418'!OSRRefE21_4x_10</vt:lpstr>
      <vt:lpstr>'430'!OSRRefE21_4x_10</vt:lpstr>
      <vt:lpstr>'433'!OSRRefE21_4x_10</vt:lpstr>
      <vt:lpstr>'444'!OSRRefE21_4x_10</vt:lpstr>
      <vt:lpstr>'450'!OSRRefE21_4x_10</vt:lpstr>
      <vt:lpstr>'491'!OSRRefE21_4x_10</vt:lpstr>
      <vt:lpstr>'492'!OSRRefE21_4x_10</vt:lpstr>
      <vt:lpstr>'501'!OSRRefE21_4x_10</vt:lpstr>
      <vt:lpstr>'Div 2'!OSRRefE21_4x_10</vt:lpstr>
      <vt:lpstr>'Div 3'!OSRRefE21_4x_10</vt:lpstr>
      <vt:lpstr>'Div 4'!OSRRefE21_4x_10</vt:lpstr>
      <vt:lpstr>'Div 5'!OSRRefE21_4x_10</vt:lpstr>
      <vt:lpstr>'Div 6'!OSRRefE21_4x_10</vt:lpstr>
      <vt:lpstr>Summary!OSRRefE21_4x_10</vt:lpstr>
      <vt:lpstr>'201'!OSRRefE21_4x_2</vt:lpstr>
      <vt:lpstr>'202'!OSRRefE21_4x_2</vt:lpstr>
      <vt:lpstr>'203'!OSRRefE21_4x_2</vt:lpstr>
      <vt:lpstr>'204'!OSRRefE21_4x_2</vt:lpstr>
      <vt:lpstr>'205'!OSRRefE21_4x_2</vt:lpstr>
      <vt:lpstr>'206'!OSRRefE21_4x_2</vt:lpstr>
      <vt:lpstr>'300'!OSRRefE21_4x_2</vt:lpstr>
      <vt:lpstr>'300 &amp; 317'!OSRRefE21_4x_2</vt:lpstr>
      <vt:lpstr>'301'!OSRRefE21_4x_2</vt:lpstr>
      <vt:lpstr>'307'!OSRRefE21_4x_2</vt:lpstr>
      <vt:lpstr>'308'!OSRRefE21_4x_2</vt:lpstr>
      <vt:lpstr>'310'!OSRRefE21_4x_2</vt:lpstr>
      <vt:lpstr>'310 &amp; 491'!OSRRefE21_4x_2</vt:lpstr>
      <vt:lpstr>'311'!OSRRefE21_4x_2</vt:lpstr>
      <vt:lpstr>'315'!OSRRefE21_4x_2</vt:lpstr>
      <vt:lpstr>'316'!OSRRefE21_4x_2</vt:lpstr>
      <vt:lpstr>'317'!OSRRefE21_4x_2</vt:lpstr>
      <vt:lpstr>'321'!OSRRefE21_4x_2</vt:lpstr>
      <vt:lpstr>'325'!OSRRefE21_4x_2</vt:lpstr>
      <vt:lpstr>'326'!OSRRefE21_4x_2</vt:lpstr>
      <vt:lpstr>'330'!OSRRefE21_4x_2</vt:lpstr>
      <vt:lpstr>'331'!OSRRefE21_4x_2</vt:lpstr>
      <vt:lpstr>'332'!OSRRefE21_4x_2</vt:lpstr>
      <vt:lpstr>'405'!OSRRefE21_4x_2</vt:lpstr>
      <vt:lpstr>'411'!OSRRefE21_4x_2</vt:lpstr>
      <vt:lpstr>'415'!OSRRefE21_4x_2</vt:lpstr>
      <vt:lpstr>'418'!OSRRefE21_4x_2</vt:lpstr>
      <vt:lpstr>'430'!OSRRefE21_4x_2</vt:lpstr>
      <vt:lpstr>'433'!OSRRefE21_4x_2</vt:lpstr>
      <vt:lpstr>'444'!OSRRefE21_4x_2</vt:lpstr>
      <vt:lpstr>'450'!OSRRefE21_4x_2</vt:lpstr>
      <vt:lpstr>'491'!OSRRefE21_4x_2</vt:lpstr>
      <vt:lpstr>'492'!OSRRefE21_4x_2</vt:lpstr>
      <vt:lpstr>'501'!OSRRefE21_4x_2</vt:lpstr>
      <vt:lpstr>'Div 2'!OSRRefE21_4x_2</vt:lpstr>
      <vt:lpstr>'Div 3'!OSRRefE21_4x_2</vt:lpstr>
      <vt:lpstr>'Div 4'!OSRRefE21_4x_2</vt:lpstr>
      <vt:lpstr>'Div 5'!OSRRefE21_4x_2</vt:lpstr>
      <vt:lpstr>'Div 6'!OSRRefE21_4x_2</vt:lpstr>
      <vt:lpstr>Summary!OSRRefE21_4x_2</vt:lpstr>
      <vt:lpstr>'201'!OSRRefE21_4x_3</vt:lpstr>
      <vt:lpstr>'202'!OSRRefE21_4x_3</vt:lpstr>
      <vt:lpstr>'203'!OSRRefE21_4x_3</vt:lpstr>
      <vt:lpstr>'204'!OSRRefE21_4x_3</vt:lpstr>
      <vt:lpstr>'205'!OSRRefE21_4x_3</vt:lpstr>
      <vt:lpstr>'206'!OSRRefE21_4x_3</vt:lpstr>
      <vt:lpstr>'300'!OSRRefE21_4x_3</vt:lpstr>
      <vt:lpstr>'300 &amp; 317'!OSRRefE21_4x_3</vt:lpstr>
      <vt:lpstr>'301'!OSRRefE21_4x_3</vt:lpstr>
      <vt:lpstr>'307'!OSRRefE21_4x_3</vt:lpstr>
      <vt:lpstr>'308'!OSRRefE21_4x_3</vt:lpstr>
      <vt:lpstr>'310'!OSRRefE21_4x_3</vt:lpstr>
      <vt:lpstr>'310 &amp; 491'!OSRRefE21_4x_3</vt:lpstr>
      <vt:lpstr>'311'!OSRRefE21_4x_3</vt:lpstr>
      <vt:lpstr>'315'!OSRRefE21_4x_3</vt:lpstr>
      <vt:lpstr>'316'!OSRRefE21_4x_3</vt:lpstr>
      <vt:lpstr>'317'!OSRRefE21_4x_3</vt:lpstr>
      <vt:lpstr>'321'!OSRRefE21_4x_3</vt:lpstr>
      <vt:lpstr>'325'!OSRRefE21_4x_3</vt:lpstr>
      <vt:lpstr>'326'!OSRRefE21_4x_3</vt:lpstr>
      <vt:lpstr>'330'!OSRRefE21_4x_3</vt:lpstr>
      <vt:lpstr>'331'!OSRRefE21_4x_3</vt:lpstr>
      <vt:lpstr>'332'!OSRRefE21_4x_3</vt:lpstr>
      <vt:lpstr>'405'!OSRRefE21_4x_3</vt:lpstr>
      <vt:lpstr>'411'!OSRRefE21_4x_3</vt:lpstr>
      <vt:lpstr>'415'!OSRRefE21_4x_3</vt:lpstr>
      <vt:lpstr>'418'!OSRRefE21_4x_3</vt:lpstr>
      <vt:lpstr>'430'!OSRRefE21_4x_3</vt:lpstr>
      <vt:lpstr>'433'!OSRRefE21_4x_3</vt:lpstr>
      <vt:lpstr>'444'!OSRRefE21_4x_3</vt:lpstr>
      <vt:lpstr>'450'!OSRRefE21_4x_3</vt:lpstr>
      <vt:lpstr>'491'!OSRRefE21_4x_3</vt:lpstr>
      <vt:lpstr>'492'!OSRRefE21_4x_3</vt:lpstr>
      <vt:lpstr>'501'!OSRRefE21_4x_3</vt:lpstr>
      <vt:lpstr>'Div 2'!OSRRefE21_4x_3</vt:lpstr>
      <vt:lpstr>'Div 3'!OSRRefE21_4x_3</vt:lpstr>
      <vt:lpstr>'Div 4'!OSRRefE21_4x_3</vt:lpstr>
      <vt:lpstr>'Div 5'!OSRRefE21_4x_3</vt:lpstr>
      <vt:lpstr>'Div 6'!OSRRefE21_4x_3</vt:lpstr>
      <vt:lpstr>Summary!OSRRefE21_4x_3</vt:lpstr>
      <vt:lpstr>'201'!OSRRefE21_4x_4</vt:lpstr>
      <vt:lpstr>'202'!OSRRefE21_4x_4</vt:lpstr>
      <vt:lpstr>'203'!OSRRefE21_4x_4</vt:lpstr>
      <vt:lpstr>'204'!OSRRefE21_4x_4</vt:lpstr>
      <vt:lpstr>'205'!OSRRefE21_4x_4</vt:lpstr>
      <vt:lpstr>'206'!OSRRefE21_4x_4</vt:lpstr>
      <vt:lpstr>'300'!OSRRefE21_4x_4</vt:lpstr>
      <vt:lpstr>'300 &amp; 317'!OSRRefE21_4x_4</vt:lpstr>
      <vt:lpstr>'301'!OSRRefE21_4x_4</vt:lpstr>
      <vt:lpstr>'307'!OSRRefE21_4x_4</vt:lpstr>
      <vt:lpstr>'308'!OSRRefE21_4x_4</vt:lpstr>
      <vt:lpstr>'310'!OSRRefE21_4x_4</vt:lpstr>
      <vt:lpstr>'310 &amp; 491'!OSRRefE21_4x_4</vt:lpstr>
      <vt:lpstr>'311'!OSRRefE21_4x_4</vt:lpstr>
      <vt:lpstr>'315'!OSRRefE21_4x_4</vt:lpstr>
      <vt:lpstr>'316'!OSRRefE21_4x_4</vt:lpstr>
      <vt:lpstr>'317'!OSRRefE21_4x_4</vt:lpstr>
      <vt:lpstr>'321'!OSRRefE21_4x_4</vt:lpstr>
      <vt:lpstr>'325'!OSRRefE21_4x_4</vt:lpstr>
      <vt:lpstr>'326'!OSRRefE21_4x_4</vt:lpstr>
      <vt:lpstr>'330'!OSRRefE21_4x_4</vt:lpstr>
      <vt:lpstr>'331'!OSRRefE21_4x_4</vt:lpstr>
      <vt:lpstr>'332'!OSRRefE21_4x_4</vt:lpstr>
      <vt:lpstr>'405'!OSRRefE21_4x_4</vt:lpstr>
      <vt:lpstr>'411'!OSRRefE21_4x_4</vt:lpstr>
      <vt:lpstr>'415'!OSRRefE21_4x_4</vt:lpstr>
      <vt:lpstr>'418'!OSRRefE21_4x_4</vt:lpstr>
      <vt:lpstr>'430'!OSRRefE21_4x_4</vt:lpstr>
      <vt:lpstr>'433'!OSRRefE21_4x_4</vt:lpstr>
      <vt:lpstr>'444'!OSRRefE21_4x_4</vt:lpstr>
      <vt:lpstr>'450'!OSRRefE21_4x_4</vt:lpstr>
      <vt:lpstr>'491'!OSRRefE21_4x_4</vt:lpstr>
      <vt:lpstr>'492'!OSRRefE21_4x_4</vt:lpstr>
      <vt:lpstr>'501'!OSRRefE21_4x_4</vt:lpstr>
      <vt:lpstr>'Div 2'!OSRRefE21_4x_4</vt:lpstr>
      <vt:lpstr>'Div 3'!OSRRefE21_4x_4</vt:lpstr>
      <vt:lpstr>'Div 4'!OSRRefE21_4x_4</vt:lpstr>
      <vt:lpstr>'Div 5'!OSRRefE21_4x_4</vt:lpstr>
      <vt:lpstr>'Div 6'!OSRRefE21_4x_4</vt:lpstr>
      <vt:lpstr>Summary!OSRRefE21_4x_4</vt:lpstr>
      <vt:lpstr>'201'!OSRRefE21_4x_5</vt:lpstr>
      <vt:lpstr>'202'!OSRRefE21_4x_5</vt:lpstr>
      <vt:lpstr>'203'!OSRRefE21_4x_5</vt:lpstr>
      <vt:lpstr>'204'!OSRRefE21_4x_5</vt:lpstr>
      <vt:lpstr>'205'!OSRRefE21_4x_5</vt:lpstr>
      <vt:lpstr>'206'!OSRRefE21_4x_5</vt:lpstr>
      <vt:lpstr>'300'!OSRRefE21_4x_5</vt:lpstr>
      <vt:lpstr>'300 &amp; 317'!OSRRefE21_4x_5</vt:lpstr>
      <vt:lpstr>'301'!OSRRefE21_4x_5</vt:lpstr>
      <vt:lpstr>'307'!OSRRefE21_4x_5</vt:lpstr>
      <vt:lpstr>'308'!OSRRefE21_4x_5</vt:lpstr>
      <vt:lpstr>'310'!OSRRefE21_4x_5</vt:lpstr>
      <vt:lpstr>'310 &amp; 491'!OSRRefE21_4x_5</vt:lpstr>
      <vt:lpstr>'311'!OSRRefE21_4x_5</vt:lpstr>
      <vt:lpstr>'315'!OSRRefE21_4x_5</vt:lpstr>
      <vt:lpstr>'316'!OSRRefE21_4x_5</vt:lpstr>
      <vt:lpstr>'317'!OSRRefE21_4x_5</vt:lpstr>
      <vt:lpstr>'321'!OSRRefE21_4x_5</vt:lpstr>
      <vt:lpstr>'325'!OSRRefE21_4x_5</vt:lpstr>
      <vt:lpstr>'326'!OSRRefE21_4x_5</vt:lpstr>
      <vt:lpstr>'330'!OSRRefE21_4x_5</vt:lpstr>
      <vt:lpstr>'331'!OSRRefE21_4x_5</vt:lpstr>
      <vt:lpstr>'332'!OSRRefE21_4x_5</vt:lpstr>
      <vt:lpstr>'405'!OSRRefE21_4x_5</vt:lpstr>
      <vt:lpstr>'411'!OSRRefE21_4x_5</vt:lpstr>
      <vt:lpstr>'415'!OSRRefE21_4x_5</vt:lpstr>
      <vt:lpstr>'418'!OSRRefE21_4x_5</vt:lpstr>
      <vt:lpstr>'430'!OSRRefE21_4x_5</vt:lpstr>
      <vt:lpstr>'433'!OSRRefE21_4x_5</vt:lpstr>
      <vt:lpstr>'444'!OSRRefE21_4x_5</vt:lpstr>
      <vt:lpstr>'450'!OSRRefE21_4x_5</vt:lpstr>
      <vt:lpstr>'491'!OSRRefE21_4x_5</vt:lpstr>
      <vt:lpstr>'492'!OSRRefE21_4x_5</vt:lpstr>
      <vt:lpstr>'501'!OSRRefE21_4x_5</vt:lpstr>
      <vt:lpstr>'Div 2'!OSRRefE21_4x_5</vt:lpstr>
      <vt:lpstr>'Div 3'!OSRRefE21_4x_5</vt:lpstr>
      <vt:lpstr>'Div 4'!OSRRefE21_4x_5</vt:lpstr>
      <vt:lpstr>'Div 5'!OSRRefE21_4x_5</vt:lpstr>
      <vt:lpstr>'Div 6'!OSRRefE21_4x_5</vt:lpstr>
      <vt:lpstr>Summary!OSRRefE21_4x_5</vt:lpstr>
      <vt:lpstr>'201'!OSRRefE21_4x_6</vt:lpstr>
      <vt:lpstr>'202'!OSRRefE21_4x_6</vt:lpstr>
      <vt:lpstr>'203'!OSRRefE21_4x_6</vt:lpstr>
      <vt:lpstr>'204'!OSRRefE21_4x_6</vt:lpstr>
      <vt:lpstr>'205'!OSRRefE21_4x_6</vt:lpstr>
      <vt:lpstr>'206'!OSRRefE21_4x_6</vt:lpstr>
      <vt:lpstr>'300'!OSRRefE21_4x_6</vt:lpstr>
      <vt:lpstr>'300 &amp; 317'!OSRRefE21_4x_6</vt:lpstr>
      <vt:lpstr>'301'!OSRRefE21_4x_6</vt:lpstr>
      <vt:lpstr>'307'!OSRRefE21_4x_6</vt:lpstr>
      <vt:lpstr>'308'!OSRRefE21_4x_6</vt:lpstr>
      <vt:lpstr>'310'!OSRRefE21_4x_6</vt:lpstr>
      <vt:lpstr>'310 &amp; 491'!OSRRefE21_4x_6</vt:lpstr>
      <vt:lpstr>'311'!OSRRefE21_4x_6</vt:lpstr>
      <vt:lpstr>'315'!OSRRefE21_4x_6</vt:lpstr>
      <vt:lpstr>'316'!OSRRefE21_4x_6</vt:lpstr>
      <vt:lpstr>'317'!OSRRefE21_4x_6</vt:lpstr>
      <vt:lpstr>'321'!OSRRefE21_4x_6</vt:lpstr>
      <vt:lpstr>'325'!OSRRefE21_4x_6</vt:lpstr>
      <vt:lpstr>'326'!OSRRefE21_4x_6</vt:lpstr>
      <vt:lpstr>'330'!OSRRefE21_4x_6</vt:lpstr>
      <vt:lpstr>'331'!OSRRefE21_4x_6</vt:lpstr>
      <vt:lpstr>'332'!OSRRefE21_4x_6</vt:lpstr>
      <vt:lpstr>'405'!OSRRefE21_4x_6</vt:lpstr>
      <vt:lpstr>'411'!OSRRefE21_4x_6</vt:lpstr>
      <vt:lpstr>'415'!OSRRefE21_4x_6</vt:lpstr>
      <vt:lpstr>'418'!OSRRefE21_4x_6</vt:lpstr>
      <vt:lpstr>'430'!OSRRefE21_4x_6</vt:lpstr>
      <vt:lpstr>'433'!OSRRefE21_4x_6</vt:lpstr>
      <vt:lpstr>'444'!OSRRefE21_4x_6</vt:lpstr>
      <vt:lpstr>'450'!OSRRefE21_4x_6</vt:lpstr>
      <vt:lpstr>'491'!OSRRefE21_4x_6</vt:lpstr>
      <vt:lpstr>'492'!OSRRefE21_4x_6</vt:lpstr>
      <vt:lpstr>'501'!OSRRefE21_4x_6</vt:lpstr>
      <vt:lpstr>'Div 2'!OSRRefE21_4x_6</vt:lpstr>
      <vt:lpstr>'Div 3'!OSRRefE21_4x_6</vt:lpstr>
      <vt:lpstr>'Div 4'!OSRRefE21_4x_6</vt:lpstr>
      <vt:lpstr>'Div 5'!OSRRefE21_4x_6</vt:lpstr>
      <vt:lpstr>'Div 6'!OSRRefE21_4x_6</vt:lpstr>
      <vt:lpstr>Summary!OSRRefE21_4x_6</vt:lpstr>
      <vt:lpstr>'201'!OSRRefE21_4x_7</vt:lpstr>
      <vt:lpstr>'202'!OSRRefE21_4x_7</vt:lpstr>
      <vt:lpstr>'203'!OSRRefE21_4x_7</vt:lpstr>
      <vt:lpstr>'204'!OSRRefE21_4x_7</vt:lpstr>
      <vt:lpstr>'205'!OSRRefE21_4x_7</vt:lpstr>
      <vt:lpstr>'206'!OSRRefE21_4x_7</vt:lpstr>
      <vt:lpstr>'300'!OSRRefE21_4x_7</vt:lpstr>
      <vt:lpstr>'300 &amp; 317'!OSRRefE21_4x_7</vt:lpstr>
      <vt:lpstr>'301'!OSRRefE21_4x_7</vt:lpstr>
      <vt:lpstr>'307'!OSRRefE21_4x_7</vt:lpstr>
      <vt:lpstr>'308'!OSRRefE21_4x_7</vt:lpstr>
      <vt:lpstr>'310'!OSRRefE21_4x_7</vt:lpstr>
      <vt:lpstr>'310 &amp; 491'!OSRRefE21_4x_7</vt:lpstr>
      <vt:lpstr>'311'!OSRRefE21_4x_7</vt:lpstr>
      <vt:lpstr>'315'!OSRRefE21_4x_7</vt:lpstr>
      <vt:lpstr>'316'!OSRRefE21_4x_7</vt:lpstr>
      <vt:lpstr>'317'!OSRRefE21_4x_7</vt:lpstr>
      <vt:lpstr>'321'!OSRRefE21_4x_7</vt:lpstr>
      <vt:lpstr>'325'!OSRRefE21_4x_7</vt:lpstr>
      <vt:lpstr>'326'!OSRRefE21_4x_7</vt:lpstr>
      <vt:lpstr>'330'!OSRRefE21_4x_7</vt:lpstr>
      <vt:lpstr>'331'!OSRRefE21_4x_7</vt:lpstr>
      <vt:lpstr>'332'!OSRRefE21_4x_7</vt:lpstr>
      <vt:lpstr>'405'!OSRRefE21_4x_7</vt:lpstr>
      <vt:lpstr>'411'!OSRRefE21_4x_7</vt:lpstr>
      <vt:lpstr>'415'!OSRRefE21_4x_7</vt:lpstr>
      <vt:lpstr>'418'!OSRRefE21_4x_7</vt:lpstr>
      <vt:lpstr>'430'!OSRRefE21_4x_7</vt:lpstr>
      <vt:lpstr>'433'!OSRRefE21_4x_7</vt:lpstr>
      <vt:lpstr>'444'!OSRRefE21_4x_7</vt:lpstr>
      <vt:lpstr>'450'!OSRRefE21_4x_7</vt:lpstr>
      <vt:lpstr>'491'!OSRRefE21_4x_7</vt:lpstr>
      <vt:lpstr>'492'!OSRRefE21_4x_7</vt:lpstr>
      <vt:lpstr>'501'!OSRRefE21_4x_7</vt:lpstr>
      <vt:lpstr>'Div 2'!OSRRefE21_4x_7</vt:lpstr>
      <vt:lpstr>'Div 3'!OSRRefE21_4x_7</vt:lpstr>
      <vt:lpstr>'Div 4'!OSRRefE21_4x_7</vt:lpstr>
      <vt:lpstr>'Div 5'!OSRRefE21_4x_7</vt:lpstr>
      <vt:lpstr>'Div 6'!OSRRefE21_4x_7</vt:lpstr>
      <vt:lpstr>Summary!OSRRefE21_4x_7</vt:lpstr>
      <vt:lpstr>'201'!OSRRefE21_4x_8</vt:lpstr>
      <vt:lpstr>'202'!OSRRefE21_4x_8</vt:lpstr>
      <vt:lpstr>'203'!OSRRefE21_4x_8</vt:lpstr>
      <vt:lpstr>'204'!OSRRefE21_4x_8</vt:lpstr>
      <vt:lpstr>'205'!OSRRefE21_4x_8</vt:lpstr>
      <vt:lpstr>'206'!OSRRefE21_4x_8</vt:lpstr>
      <vt:lpstr>'300'!OSRRefE21_4x_8</vt:lpstr>
      <vt:lpstr>'300 &amp; 317'!OSRRefE21_4x_8</vt:lpstr>
      <vt:lpstr>'301'!OSRRefE21_4x_8</vt:lpstr>
      <vt:lpstr>'307'!OSRRefE21_4x_8</vt:lpstr>
      <vt:lpstr>'308'!OSRRefE21_4x_8</vt:lpstr>
      <vt:lpstr>'310'!OSRRefE21_4x_8</vt:lpstr>
      <vt:lpstr>'310 &amp; 491'!OSRRefE21_4x_8</vt:lpstr>
      <vt:lpstr>'311'!OSRRefE21_4x_8</vt:lpstr>
      <vt:lpstr>'315'!OSRRefE21_4x_8</vt:lpstr>
      <vt:lpstr>'316'!OSRRefE21_4x_8</vt:lpstr>
      <vt:lpstr>'317'!OSRRefE21_4x_8</vt:lpstr>
      <vt:lpstr>'321'!OSRRefE21_4x_8</vt:lpstr>
      <vt:lpstr>'325'!OSRRefE21_4x_8</vt:lpstr>
      <vt:lpstr>'326'!OSRRefE21_4x_8</vt:lpstr>
      <vt:lpstr>'330'!OSRRefE21_4x_8</vt:lpstr>
      <vt:lpstr>'331'!OSRRefE21_4x_8</vt:lpstr>
      <vt:lpstr>'332'!OSRRefE21_4x_8</vt:lpstr>
      <vt:lpstr>'405'!OSRRefE21_4x_8</vt:lpstr>
      <vt:lpstr>'411'!OSRRefE21_4x_8</vt:lpstr>
      <vt:lpstr>'415'!OSRRefE21_4x_8</vt:lpstr>
      <vt:lpstr>'418'!OSRRefE21_4x_8</vt:lpstr>
      <vt:lpstr>'430'!OSRRefE21_4x_8</vt:lpstr>
      <vt:lpstr>'433'!OSRRefE21_4x_8</vt:lpstr>
      <vt:lpstr>'444'!OSRRefE21_4x_8</vt:lpstr>
      <vt:lpstr>'450'!OSRRefE21_4x_8</vt:lpstr>
      <vt:lpstr>'491'!OSRRefE21_4x_8</vt:lpstr>
      <vt:lpstr>'492'!OSRRefE21_4x_8</vt:lpstr>
      <vt:lpstr>'501'!OSRRefE21_4x_8</vt:lpstr>
      <vt:lpstr>'Div 2'!OSRRefE21_4x_8</vt:lpstr>
      <vt:lpstr>'Div 3'!OSRRefE21_4x_8</vt:lpstr>
      <vt:lpstr>'Div 4'!OSRRefE21_4x_8</vt:lpstr>
      <vt:lpstr>'Div 5'!OSRRefE21_4x_8</vt:lpstr>
      <vt:lpstr>'Div 6'!OSRRefE21_4x_8</vt:lpstr>
      <vt:lpstr>Summary!OSRRefE21_4x_8</vt:lpstr>
      <vt:lpstr>'201'!OSRRefE21_4x_9</vt:lpstr>
      <vt:lpstr>'202'!OSRRefE21_4x_9</vt:lpstr>
      <vt:lpstr>'203'!OSRRefE21_4x_9</vt:lpstr>
      <vt:lpstr>'204'!OSRRefE21_4x_9</vt:lpstr>
      <vt:lpstr>'205'!OSRRefE21_4x_9</vt:lpstr>
      <vt:lpstr>'206'!OSRRefE21_4x_9</vt:lpstr>
      <vt:lpstr>'300'!OSRRefE21_4x_9</vt:lpstr>
      <vt:lpstr>'300 &amp; 317'!OSRRefE21_4x_9</vt:lpstr>
      <vt:lpstr>'301'!OSRRefE21_4x_9</vt:lpstr>
      <vt:lpstr>'307'!OSRRefE21_4x_9</vt:lpstr>
      <vt:lpstr>'308'!OSRRefE21_4x_9</vt:lpstr>
      <vt:lpstr>'310'!OSRRefE21_4x_9</vt:lpstr>
      <vt:lpstr>'310 &amp; 491'!OSRRefE21_4x_9</vt:lpstr>
      <vt:lpstr>'311'!OSRRefE21_4x_9</vt:lpstr>
      <vt:lpstr>'315'!OSRRefE21_4x_9</vt:lpstr>
      <vt:lpstr>'316'!OSRRefE21_4x_9</vt:lpstr>
      <vt:lpstr>'317'!OSRRefE21_4x_9</vt:lpstr>
      <vt:lpstr>'321'!OSRRefE21_4x_9</vt:lpstr>
      <vt:lpstr>'325'!OSRRefE21_4x_9</vt:lpstr>
      <vt:lpstr>'326'!OSRRefE21_4x_9</vt:lpstr>
      <vt:lpstr>'330'!OSRRefE21_4x_9</vt:lpstr>
      <vt:lpstr>'331'!OSRRefE21_4x_9</vt:lpstr>
      <vt:lpstr>'332'!OSRRefE21_4x_9</vt:lpstr>
      <vt:lpstr>'405'!OSRRefE21_4x_9</vt:lpstr>
      <vt:lpstr>'411'!OSRRefE21_4x_9</vt:lpstr>
      <vt:lpstr>'415'!OSRRefE21_4x_9</vt:lpstr>
      <vt:lpstr>'418'!OSRRefE21_4x_9</vt:lpstr>
      <vt:lpstr>'430'!OSRRefE21_4x_9</vt:lpstr>
      <vt:lpstr>'433'!OSRRefE21_4x_9</vt:lpstr>
      <vt:lpstr>'444'!OSRRefE21_4x_9</vt:lpstr>
      <vt:lpstr>'450'!OSRRefE21_4x_9</vt:lpstr>
      <vt:lpstr>'491'!OSRRefE21_4x_9</vt:lpstr>
      <vt:lpstr>'492'!OSRRefE21_4x_9</vt:lpstr>
      <vt:lpstr>'501'!OSRRefE21_4x_9</vt:lpstr>
      <vt:lpstr>'Div 2'!OSRRefE21_4x_9</vt:lpstr>
      <vt:lpstr>'Div 3'!OSRRefE21_4x_9</vt:lpstr>
      <vt:lpstr>'Div 4'!OSRRefE21_4x_9</vt:lpstr>
      <vt:lpstr>'Div 5'!OSRRefE21_4x_9</vt:lpstr>
      <vt:lpstr>'Div 6'!OSRRefE21_4x_9</vt:lpstr>
      <vt:lpstr>Summary!OSRRefE21_4x_9</vt:lpstr>
      <vt:lpstr>'201'!OSRRefE21_5_0x</vt:lpstr>
      <vt:lpstr>'202'!OSRRefE21_5_0x</vt:lpstr>
      <vt:lpstr>'203'!OSRRefE21_5_0x</vt:lpstr>
      <vt:lpstr>'204'!OSRRefE21_5_0x</vt:lpstr>
      <vt:lpstr>'205'!OSRRefE21_5_0x</vt:lpstr>
      <vt:lpstr>'206'!OSRRefE21_5_0x</vt:lpstr>
      <vt:lpstr>'300'!OSRRefE21_5_0x</vt:lpstr>
      <vt:lpstr>'300 &amp; 317'!OSRRefE21_5_0x</vt:lpstr>
      <vt:lpstr>'301'!OSRRefE21_5_0x</vt:lpstr>
      <vt:lpstr>'307'!OSRRefE21_5_0x</vt:lpstr>
      <vt:lpstr>'308'!OSRRefE21_5_0x</vt:lpstr>
      <vt:lpstr>'310'!OSRRefE21_5_0x</vt:lpstr>
      <vt:lpstr>'310 &amp; 491'!OSRRefE21_5_0x</vt:lpstr>
      <vt:lpstr>'311'!OSRRefE21_5_0x</vt:lpstr>
      <vt:lpstr>'315'!OSRRefE21_5_0x</vt:lpstr>
      <vt:lpstr>'316'!OSRRefE21_5_0x</vt:lpstr>
      <vt:lpstr>'317'!OSRRefE21_5_0x</vt:lpstr>
      <vt:lpstr>'321'!OSRRefE21_5_0x</vt:lpstr>
      <vt:lpstr>'325'!OSRRefE21_5_0x</vt:lpstr>
      <vt:lpstr>'326'!OSRRefE21_5_0x</vt:lpstr>
      <vt:lpstr>'330'!OSRRefE21_5_0x</vt:lpstr>
      <vt:lpstr>'331'!OSRRefE21_5_0x</vt:lpstr>
      <vt:lpstr>'332'!OSRRefE21_5_0x</vt:lpstr>
      <vt:lpstr>'405'!OSRRefE21_5_0x</vt:lpstr>
      <vt:lpstr>'411'!OSRRefE21_5_0x</vt:lpstr>
      <vt:lpstr>'415'!OSRRefE21_5_0x</vt:lpstr>
      <vt:lpstr>'418'!OSRRefE21_5_0x</vt:lpstr>
      <vt:lpstr>'430'!OSRRefE21_5_0x</vt:lpstr>
      <vt:lpstr>'433'!OSRRefE21_5_0x</vt:lpstr>
      <vt:lpstr>'444'!OSRRefE21_5_0x</vt:lpstr>
      <vt:lpstr>'450'!OSRRefE21_5_0x</vt:lpstr>
      <vt:lpstr>'491'!OSRRefE21_5_0x</vt:lpstr>
      <vt:lpstr>'492'!OSRRefE21_5_0x</vt:lpstr>
      <vt:lpstr>'501'!OSRRefE21_5_0x</vt:lpstr>
      <vt:lpstr>'Div 2'!OSRRefE21_5_0x</vt:lpstr>
      <vt:lpstr>'Div 3'!OSRRefE21_5_0x</vt:lpstr>
      <vt:lpstr>'Div 4'!OSRRefE21_5_0x</vt:lpstr>
      <vt:lpstr>'Div 5'!OSRRefE21_5_0x</vt:lpstr>
      <vt:lpstr>'Div 6'!OSRRefE21_5_0x</vt:lpstr>
      <vt:lpstr>Summary!OSRRefE21_5_0x</vt:lpstr>
      <vt:lpstr>'204'!OSRRefE21_5_1x</vt:lpstr>
      <vt:lpstr>'206'!OSRRefE21_5_1x</vt:lpstr>
      <vt:lpstr>'300'!OSRRefE21_5_1x</vt:lpstr>
      <vt:lpstr>'300 &amp; 317'!OSRRefE21_5_1x</vt:lpstr>
      <vt:lpstr>'310'!OSRRefE21_5_1x</vt:lpstr>
      <vt:lpstr>'310 &amp; 491'!OSRRefE21_5_1x</vt:lpstr>
      <vt:lpstr>'316'!OSRRefE21_5_1x</vt:lpstr>
      <vt:lpstr>'332'!OSRRefE21_5_1x</vt:lpstr>
      <vt:lpstr>'415'!OSRRefE21_5_1x</vt:lpstr>
      <vt:lpstr>'430'!OSRRefE21_5_1x</vt:lpstr>
      <vt:lpstr>'491'!OSRRefE21_5_1x</vt:lpstr>
      <vt:lpstr>'Div 2'!OSRRefE21_5_1x</vt:lpstr>
      <vt:lpstr>'Div 3'!OSRRefE21_5_1x</vt:lpstr>
      <vt:lpstr>'Div 4'!OSRRefE21_5_1x</vt:lpstr>
      <vt:lpstr>Summary!OSRRefE21_5_1x</vt:lpstr>
      <vt:lpstr>'201'!OSRRefE21_5x_0</vt:lpstr>
      <vt:lpstr>'202'!OSRRefE21_5x_0</vt:lpstr>
      <vt:lpstr>'203'!OSRRefE21_5x_0</vt:lpstr>
      <vt:lpstr>'204'!OSRRefE21_5x_0</vt:lpstr>
      <vt:lpstr>'205'!OSRRefE21_5x_0</vt:lpstr>
      <vt:lpstr>'206'!OSRRefE21_5x_0</vt:lpstr>
      <vt:lpstr>'300'!OSRRefE21_5x_0</vt:lpstr>
      <vt:lpstr>'300 &amp; 317'!OSRRefE21_5x_0</vt:lpstr>
      <vt:lpstr>'301'!OSRRefE21_5x_0</vt:lpstr>
      <vt:lpstr>'307'!OSRRefE21_5x_0</vt:lpstr>
      <vt:lpstr>'308'!OSRRefE21_5x_0</vt:lpstr>
      <vt:lpstr>'310'!OSRRefE21_5x_0</vt:lpstr>
      <vt:lpstr>'310 &amp; 491'!OSRRefE21_5x_0</vt:lpstr>
      <vt:lpstr>'311'!OSRRefE21_5x_0</vt:lpstr>
      <vt:lpstr>'315'!OSRRefE21_5x_0</vt:lpstr>
      <vt:lpstr>'316'!OSRRefE21_5x_0</vt:lpstr>
      <vt:lpstr>'317'!OSRRefE21_5x_0</vt:lpstr>
      <vt:lpstr>'321'!OSRRefE21_5x_0</vt:lpstr>
      <vt:lpstr>'325'!OSRRefE21_5x_0</vt:lpstr>
      <vt:lpstr>'326'!OSRRefE21_5x_0</vt:lpstr>
      <vt:lpstr>'330'!OSRRefE21_5x_0</vt:lpstr>
      <vt:lpstr>'331'!OSRRefE21_5x_0</vt:lpstr>
      <vt:lpstr>'332'!OSRRefE21_5x_0</vt:lpstr>
      <vt:lpstr>'405'!OSRRefE21_5x_0</vt:lpstr>
      <vt:lpstr>'411'!OSRRefE21_5x_0</vt:lpstr>
      <vt:lpstr>'415'!OSRRefE21_5x_0</vt:lpstr>
      <vt:lpstr>'418'!OSRRefE21_5x_0</vt:lpstr>
      <vt:lpstr>'430'!OSRRefE21_5x_0</vt:lpstr>
      <vt:lpstr>'433'!OSRRefE21_5x_0</vt:lpstr>
      <vt:lpstr>'444'!OSRRefE21_5x_0</vt:lpstr>
      <vt:lpstr>'450'!OSRRefE21_5x_0</vt:lpstr>
      <vt:lpstr>'491'!OSRRefE21_5x_0</vt:lpstr>
      <vt:lpstr>'492'!OSRRefE21_5x_0</vt:lpstr>
      <vt:lpstr>'501'!OSRRefE21_5x_0</vt:lpstr>
      <vt:lpstr>'Div 2'!OSRRefE21_5x_0</vt:lpstr>
      <vt:lpstr>'Div 3'!OSRRefE21_5x_0</vt:lpstr>
      <vt:lpstr>'Div 4'!OSRRefE21_5x_0</vt:lpstr>
      <vt:lpstr>'Div 5'!OSRRefE21_5x_0</vt:lpstr>
      <vt:lpstr>'Div 6'!OSRRefE21_5x_0</vt:lpstr>
      <vt:lpstr>Summary!OSRRefE21_5x_0</vt:lpstr>
      <vt:lpstr>'201'!OSRRefE21_5x_1</vt:lpstr>
      <vt:lpstr>'202'!OSRRefE21_5x_1</vt:lpstr>
      <vt:lpstr>'203'!OSRRefE21_5x_1</vt:lpstr>
      <vt:lpstr>'204'!OSRRefE21_5x_1</vt:lpstr>
      <vt:lpstr>'205'!OSRRefE21_5x_1</vt:lpstr>
      <vt:lpstr>'206'!OSRRefE21_5x_1</vt:lpstr>
      <vt:lpstr>'300'!OSRRefE21_5x_1</vt:lpstr>
      <vt:lpstr>'300 &amp; 317'!OSRRefE21_5x_1</vt:lpstr>
      <vt:lpstr>'301'!OSRRefE21_5x_1</vt:lpstr>
      <vt:lpstr>'307'!OSRRefE21_5x_1</vt:lpstr>
      <vt:lpstr>'308'!OSRRefE21_5x_1</vt:lpstr>
      <vt:lpstr>'310'!OSRRefE21_5x_1</vt:lpstr>
      <vt:lpstr>'310 &amp; 491'!OSRRefE21_5x_1</vt:lpstr>
      <vt:lpstr>'311'!OSRRefE21_5x_1</vt:lpstr>
      <vt:lpstr>'315'!OSRRefE21_5x_1</vt:lpstr>
      <vt:lpstr>'316'!OSRRefE21_5x_1</vt:lpstr>
      <vt:lpstr>'317'!OSRRefE21_5x_1</vt:lpstr>
      <vt:lpstr>'321'!OSRRefE21_5x_1</vt:lpstr>
      <vt:lpstr>'325'!OSRRefE21_5x_1</vt:lpstr>
      <vt:lpstr>'326'!OSRRefE21_5x_1</vt:lpstr>
      <vt:lpstr>'330'!OSRRefE21_5x_1</vt:lpstr>
      <vt:lpstr>'331'!OSRRefE21_5x_1</vt:lpstr>
      <vt:lpstr>'332'!OSRRefE21_5x_1</vt:lpstr>
      <vt:lpstr>'405'!OSRRefE21_5x_1</vt:lpstr>
      <vt:lpstr>'411'!OSRRefE21_5x_1</vt:lpstr>
      <vt:lpstr>'415'!OSRRefE21_5x_1</vt:lpstr>
      <vt:lpstr>'418'!OSRRefE21_5x_1</vt:lpstr>
      <vt:lpstr>'430'!OSRRefE21_5x_1</vt:lpstr>
      <vt:lpstr>'433'!OSRRefE21_5x_1</vt:lpstr>
      <vt:lpstr>'444'!OSRRefE21_5x_1</vt:lpstr>
      <vt:lpstr>'450'!OSRRefE21_5x_1</vt:lpstr>
      <vt:lpstr>'491'!OSRRefE21_5x_1</vt:lpstr>
      <vt:lpstr>'492'!OSRRefE21_5x_1</vt:lpstr>
      <vt:lpstr>'501'!OSRRefE21_5x_1</vt:lpstr>
      <vt:lpstr>'Div 2'!OSRRefE21_5x_1</vt:lpstr>
      <vt:lpstr>'Div 3'!OSRRefE21_5x_1</vt:lpstr>
      <vt:lpstr>'Div 4'!OSRRefE21_5x_1</vt:lpstr>
      <vt:lpstr>'Div 5'!OSRRefE21_5x_1</vt:lpstr>
      <vt:lpstr>'Div 6'!OSRRefE21_5x_1</vt:lpstr>
      <vt:lpstr>Summary!OSRRefE21_5x_1</vt:lpstr>
      <vt:lpstr>'201'!OSRRefE21_5x_10</vt:lpstr>
      <vt:lpstr>'202'!OSRRefE21_5x_10</vt:lpstr>
      <vt:lpstr>'203'!OSRRefE21_5x_10</vt:lpstr>
      <vt:lpstr>'204'!OSRRefE21_5x_10</vt:lpstr>
      <vt:lpstr>'205'!OSRRefE21_5x_10</vt:lpstr>
      <vt:lpstr>'206'!OSRRefE21_5x_10</vt:lpstr>
      <vt:lpstr>'300'!OSRRefE21_5x_10</vt:lpstr>
      <vt:lpstr>'300 &amp; 317'!OSRRefE21_5x_10</vt:lpstr>
      <vt:lpstr>'301'!OSRRefE21_5x_10</vt:lpstr>
      <vt:lpstr>'307'!OSRRefE21_5x_10</vt:lpstr>
      <vt:lpstr>'308'!OSRRefE21_5x_10</vt:lpstr>
      <vt:lpstr>'310'!OSRRefE21_5x_10</vt:lpstr>
      <vt:lpstr>'310 &amp; 491'!OSRRefE21_5x_10</vt:lpstr>
      <vt:lpstr>'311'!OSRRefE21_5x_10</vt:lpstr>
      <vt:lpstr>'315'!OSRRefE21_5x_10</vt:lpstr>
      <vt:lpstr>'316'!OSRRefE21_5x_10</vt:lpstr>
      <vt:lpstr>'317'!OSRRefE21_5x_10</vt:lpstr>
      <vt:lpstr>'321'!OSRRefE21_5x_10</vt:lpstr>
      <vt:lpstr>'325'!OSRRefE21_5x_10</vt:lpstr>
      <vt:lpstr>'326'!OSRRefE21_5x_10</vt:lpstr>
      <vt:lpstr>'330'!OSRRefE21_5x_10</vt:lpstr>
      <vt:lpstr>'331'!OSRRefE21_5x_10</vt:lpstr>
      <vt:lpstr>'332'!OSRRefE21_5x_10</vt:lpstr>
      <vt:lpstr>'405'!OSRRefE21_5x_10</vt:lpstr>
      <vt:lpstr>'411'!OSRRefE21_5x_10</vt:lpstr>
      <vt:lpstr>'415'!OSRRefE21_5x_10</vt:lpstr>
      <vt:lpstr>'418'!OSRRefE21_5x_10</vt:lpstr>
      <vt:lpstr>'430'!OSRRefE21_5x_10</vt:lpstr>
      <vt:lpstr>'433'!OSRRefE21_5x_10</vt:lpstr>
      <vt:lpstr>'444'!OSRRefE21_5x_10</vt:lpstr>
      <vt:lpstr>'450'!OSRRefE21_5x_10</vt:lpstr>
      <vt:lpstr>'491'!OSRRefE21_5x_10</vt:lpstr>
      <vt:lpstr>'492'!OSRRefE21_5x_10</vt:lpstr>
      <vt:lpstr>'501'!OSRRefE21_5x_10</vt:lpstr>
      <vt:lpstr>'Div 2'!OSRRefE21_5x_10</vt:lpstr>
      <vt:lpstr>'Div 3'!OSRRefE21_5x_10</vt:lpstr>
      <vt:lpstr>'Div 4'!OSRRefE21_5x_10</vt:lpstr>
      <vt:lpstr>'Div 5'!OSRRefE21_5x_10</vt:lpstr>
      <vt:lpstr>'Div 6'!OSRRefE21_5x_10</vt:lpstr>
      <vt:lpstr>Summary!OSRRefE21_5x_10</vt:lpstr>
      <vt:lpstr>'201'!OSRRefE21_5x_2</vt:lpstr>
      <vt:lpstr>'202'!OSRRefE21_5x_2</vt:lpstr>
      <vt:lpstr>'203'!OSRRefE21_5x_2</vt:lpstr>
      <vt:lpstr>'204'!OSRRefE21_5x_2</vt:lpstr>
      <vt:lpstr>'205'!OSRRefE21_5x_2</vt:lpstr>
      <vt:lpstr>'206'!OSRRefE21_5x_2</vt:lpstr>
      <vt:lpstr>'300'!OSRRefE21_5x_2</vt:lpstr>
      <vt:lpstr>'300 &amp; 317'!OSRRefE21_5x_2</vt:lpstr>
      <vt:lpstr>'301'!OSRRefE21_5x_2</vt:lpstr>
      <vt:lpstr>'307'!OSRRefE21_5x_2</vt:lpstr>
      <vt:lpstr>'308'!OSRRefE21_5x_2</vt:lpstr>
      <vt:lpstr>'310'!OSRRefE21_5x_2</vt:lpstr>
      <vt:lpstr>'310 &amp; 491'!OSRRefE21_5x_2</vt:lpstr>
      <vt:lpstr>'311'!OSRRefE21_5x_2</vt:lpstr>
      <vt:lpstr>'315'!OSRRefE21_5x_2</vt:lpstr>
      <vt:lpstr>'316'!OSRRefE21_5x_2</vt:lpstr>
      <vt:lpstr>'317'!OSRRefE21_5x_2</vt:lpstr>
      <vt:lpstr>'321'!OSRRefE21_5x_2</vt:lpstr>
      <vt:lpstr>'325'!OSRRefE21_5x_2</vt:lpstr>
      <vt:lpstr>'326'!OSRRefE21_5x_2</vt:lpstr>
      <vt:lpstr>'330'!OSRRefE21_5x_2</vt:lpstr>
      <vt:lpstr>'331'!OSRRefE21_5x_2</vt:lpstr>
      <vt:lpstr>'332'!OSRRefE21_5x_2</vt:lpstr>
      <vt:lpstr>'405'!OSRRefE21_5x_2</vt:lpstr>
      <vt:lpstr>'411'!OSRRefE21_5x_2</vt:lpstr>
      <vt:lpstr>'415'!OSRRefE21_5x_2</vt:lpstr>
      <vt:lpstr>'418'!OSRRefE21_5x_2</vt:lpstr>
      <vt:lpstr>'430'!OSRRefE21_5x_2</vt:lpstr>
      <vt:lpstr>'433'!OSRRefE21_5x_2</vt:lpstr>
      <vt:lpstr>'444'!OSRRefE21_5x_2</vt:lpstr>
      <vt:lpstr>'450'!OSRRefE21_5x_2</vt:lpstr>
      <vt:lpstr>'491'!OSRRefE21_5x_2</vt:lpstr>
      <vt:lpstr>'492'!OSRRefE21_5x_2</vt:lpstr>
      <vt:lpstr>'501'!OSRRefE21_5x_2</vt:lpstr>
      <vt:lpstr>'Div 2'!OSRRefE21_5x_2</vt:lpstr>
      <vt:lpstr>'Div 3'!OSRRefE21_5x_2</vt:lpstr>
      <vt:lpstr>'Div 4'!OSRRefE21_5x_2</vt:lpstr>
      <vt:lpstr>'Div 5'!OSRRefE21_5x_2</vt:lpstr>
      <vt:lpstr>'Div 6'!OSRRefE21_5x_2</vt:lpstr>
      <vt:lpstr>Summary!OSRRefE21_5x_2</vt:lpstr>
      <vt:lpstr>'201'!OSRRefE21_5x_3</vt:lpstr>
      <vt:lpstr>'202'!OSRRefE21_5x_3</vt:lpstr>
      <vt:lpstr>'203'!OSRRefE21_5x_3</vt:lpstr>
      <vt:lpstr>'204'!OSRRefE21_5x_3</vt:lpstr>
      <vt:lpstr>'205'!OSRRefE21_5x_3</vt:lpstr>
      <vt:lpstr>'206'!OSRRefE21_5x_3</vt:lpstr>
      <vt:lpstr>'300'!OSRRefE21_5x_3</vt:lpstr>
      <vt:lpstr>'300 &amp; 317'!OSRRefE21_5x_3</vt:lpstr>
      <vt:lpstr>'301'!OSRRefE21_5x_3</vt:lpstr>
      <vt:lpstr>'307'!OSRRefE21_5x_3</vt:lpstr>
      <vt:lpstr>'308'!OSRRefE21_5x_3</vt:lpstr>
      <vt:lpstr>'310'!OSRRefE21_5x_3</vt:lpstr>
      <vt:lpstr>'310 &amp; 491'!OSRRefE21_5x_3</vt:lpstr>
      <vt:lpstr>'311'!OSRRefE21_5x_3</vt:lpstr>
      <vt:lpstr>'315'!OSRRefE21_5x_3</vt:lpstr>
      <vt:lpstr>'316'!OSRRefE21_5x_3</vt:lpstr>
      <vt:lpstr>'317'!OSRRefE21_5x_3</vt:lpstr>
      <vt:lpstr>'321'!OSRRefE21_5x_3</vt:lpstr>
      <vt:lpstr>'325'!OSRRefE21_5x_3</vt:lpstr>
      <vt:lpstr>'326'!OSRRefE21_5x_3</vt:lpstr>
      <vt:lpstr>'330'!OSRRefE21_5x_3</vt:lpstr>
      <vt:lpstr>'331'!OSRRefE21_5x_3</vt:lpstr>
      <vt:lpstr>'332'!OSRRefE21_5x_3</vt:lpstr>
      <vt:lpstr>'405'!OSRRefE21_5x_3</vt:lpstr>
      <vt:lpstr>'411'!OSRRefE21_5x_3</vt:lpstr>
      <vt:lpstr>'415'!OSRRefE21_5x_3</vt:lpstr>
      <vt:lpstr>'418'!OSRRefE21_5x_3</vt:lpstr>
      <vt:lpstr>'430'!OSRRefE21_5x_3</vt:lpstr>
      <vt:lpstr>'433'!OSRRefE21_5x_3</vt:lpstr>
      <vt:lpstr>'444'!OSRRefE21_5x_3</vt:lpstr>
      <vt:lpstr>'450'!OSRRefE21_5x_3</vt:lpstr>
      <vt:lpstr>'491'!OSRRefE21_5x_3</vt:lpstr>
      <vt:lpstr>'492'!OSRRefE21_5x_3</vt:lpstr>
      <vt:lpstr>'501'!OSRRefE21_5x_3</vt:lpstr>
      <vt:lpstr>'Div 2'!OSRRefE21_5x_3</vt:lpstr>
      <vt:lpstr>'Div 3'!OSRRefE21_5x_3</vt:lpstr>
      <vt:lpstr>'Div 4'!OSRRefE21_5x_3</vt:lpstr>
      <vt:lpstr>'Div 5'!OSRRefE21_5x_3</vt:lpstr>
      <vt:lpstr>'Div 6'!OSRRefE21_5x_3</vt:lpstr>
      <vt:lpstr>Summary!OSRRefE21_5x_3</vt:lpstr>
      <vt:lpstr>'201'!OSRRefE21_5x_4</vt:lpstr>
      <vt:lpstr>'202'!OSRRefE21_5x_4</vt:lpstr>
      <vt:lpstr>'203'!OSRRefE21_5x_4</vt:lpstr>
      <vt:lpstr>'204'!OSRRefE21_5x_4</vt:lpstr>
      <vt:lpstr>'205'!OSRRefE21_5x_4</vt:lpstr>
      <vt:lpstr>'206'!OSRRefE21_5x_4</vt:lpstr>
      <vt:lpstr>'300'!OSRRefE21_5x_4</vt:lpstr>
      <vt:lpstr>'300 &amp; 317'!OSRRefE21_5x_4</vt:lpstr>
      <vt:lpstr>'301'!OSRRefE21_5x_4</vt:lpstr>
      <vt:lpstr>'307'!OSRRefE21_5x_4</vt:lpstr>
      <vt:lpstr>'308'!OSRRefE21_5x_4</vt:lpstr>
      <vt:lpstr>'310'!OSRRefE21_5x_4</vt:lpstr>
      <vt:lpstr>'310 &amp; 491'!OSRRefE21_5x_4</vt:lpstr>
      <vt:lpstr>'311'!OSRRefE21_5x_4</vt:lpstr>
      <vt:lpstr>'315'!OSRRefE21_5x_4</vt:lpstr>
      <vt:lpstr>'316'!OSRRefE21_5x_4</vt:lpstr>
      <vt:lpstr>'317'!OSRRefE21_5x_4</vt:lpstr>
      <vt:lpstr>'321'!OSRRefE21_5x_4</vt:lpstr>
      <vt:lpstr>'325'!OSRRefE21_5x_4</vt:lpstr>
      <vt:lpstr>'326'!OSRRefE21_5x_4</vt:lpstr>
      <vt:lpstr>'330'!OSRRefE21_5x_4</vt:lpstr>
      <vt:lpstr>'331'!OSRRefE21_5x_4</vt:lpstr>
      <vt:lpstr>'332'!OSRRefE21_5x_4</vt:lpstr>
      <vt:lpstr>'405'!OSRRefE21_5x_4</vt:lpstr>
      <vt:lpstr>'411'!OSRRefE21_5x_4</vt:lpstr>
      <vt:lpstr>'415'!OSRRefE21_5x_4</vt:lpstr>
      <vt:lpstr>'418'!OSRRefE21_5x_4</vt:lpstr>
      <vt:lpstr>'430'!OSRRefE21_5x_4</vt:lpstr>
      <vt:lpstr>'433'!OSRRefE21_5x_4</vt:lpstr>
      <vt:lpstr>'444'!OSRRefE21_5x_4</vt:lpstr>
      <vt:lpstr>'450'!OSRRefE21_5x_4</vt:lpstr>
      <vt:lpstr>'491'!OSRRefE21_5x_4</vt:lpstr>
      <vt:lpstr>'492'!OSRRefE21_5x_4</vt:lpstr>
      <vt:lpstr>'501'!OSRRefE21_5x_4</vt:lpstr>
      <vt:lpstr>'Div 2'!OSRRefE21_5x_4</vt:lpstr>
      <vt:lpstr>'Div 3'!OSRRefE21_5x_4</vt:lpstr>
      <vt:lpstr>'Div 4'!OSRRefE21_5x_4</vt:lpstr>
      <vt:lpstr>'Div 5'!OSRRefE21_5x_4</vt:lpstr>
      <vt:lpstr>'Div 6'!OSRRefE21_5x_4</vt:lpstr>
      <vt:lpstr>Summary!OSRRefE21_5x_4</vt:lpstr>
      <vt:lpstr>'201'!OSRRefE21_5x_5</vt:lpstr>
      <vt:lpstr>'202'!OSRRefE21_5x_5</vt:lpstr>
      <vt:lpstr>'203'!OSRRefE21_5x_5</vt:lpstr>
      <vt:lpstr>'204'!OSRRefE21_5x_5</vt:lpstr>
      <vt:lpstr>'205'!OSRRefE21_5x_5</vt:lpstr>
      <vt:lpstr>'206'!OSRRefE21_5x_5</vt:lpstr>
      <vt:lpstr>'300'!OSRRefE21_5x_5</vt:lpstr>
      <vt:lpstr>'300 &amp; 317'!OSRRefE21_5x_5</vt:lpstr>
      <vt:lpstr>'301'!OSRRefE21_5x_5</vt:lpstr>
      <vt:lpstr>'307'!OSRRefE21_5x_5</vt:lpstr>
      <vt:lpstr>'308'!OSRRefE21_5x_5</vt:lpstr>
      <vt:lpstr>'310'!OSRRefE21_5x_5</vt:lpstr>
      <vt:lpstr>'310 &amp; 491'!OSRRefE21_5x_5</vt:lpstr>
      <vt:lpstr>'311'!OSRRefE21_5x_5</vt:lpstr>
      <vt:lpstr>'315'!OSRRefE21_5x_5</vt:lpstr>
      <vt:lpstr>'316'!OSRRefE21_5x_5</vt:lpstr>
      <vt:lpstr>'317'!OSRRefE21_5x_5</vt:lpstr>
      <vt:lpstr>'321'!OSRRefE21_5x_5</vt:lpstr>
      <vt:lpstr>'325'!OSRRefE21_5x_5</vt:lpstr>
      <vt:lpstr>'326'!OSRRefE21_5x_5</vt:lpstr>
      <vt:lpstr>'330'!OSRRefE21_5x_5</vt:lpstr>
      <vt:lpstr>'331'!OSRRefE21_5x_5</vt:lpstr>
      <vt:lpstr>'332'!OSRRefE21_5x_5</vt:lpstr>
      <vt:lpstr>'405'!OSRRefE21_5x_5</vt:lpstr>
      <vt:lpstr>'411'!OSRRefE21_5x_5</vt:lpstr>
      <vt:lpstr>'415'!OSRRefE21_5x_5</vt:lpstr>
      <vt:lpstr>'418'!OSRRefE21_5x_5</vt:lpstr>
      <vt:lpstr>'430'!OSRRefE21_5x_5</vt:lpstr>
      <vt:lpstr>'433'!OSRRefE21_5x_5</vt:lpstr>
      <vt:lpstr>'444'!OSRRefE21_5x_5</vt:lpstr>
      <vt:lpstr>'450'!OSRRefE21_5x_5</vt:lpstr>
      <vt:lpstr>'491'!OSRRefE21_5x_5</vt:lpstr>
      <vt:lpstr>'492'!OSRRefE21_5x_5</vt:lpstr>
      <vt:lpstr>'501'!OSRRefE21_5x_5</vt:lpstr>
      <vt:lpstr>'Div 2'!OSRRefE21_5x_5</vt:lpstr>
      <vt:lpstr>'Div 3'!OSRRefE21_5x_5</vt:lpstr>
      <vt:lpstr>'Div 4'!OSRRefE21_5x_5</vt:lpstr>
      <vt:lpstr>'Div 5'!OSRRefE21_5x_5</vt:lpstr>
      <vt:lpstr>'Div 6'!OSRRefE21_5x_5</vt:lpstr>
      <vt:lpstr>Summary!OSRRefE21_5x_5</vt:lpstr>
      <vt:lpstr>'201'!OSRRefE21_5x_6</vt:lpstr>
      <vt:lpstr>'202'!OSRRefE21_5x_6</vt:lpstr>
      <vt:lpstr>'203'!OSRRefE21_5x_6</vt:lpstr>
      <vt:lpstr>'204'!OSRRefE21_5x_6</vt:lpstr>
      <vt:lpstr>'205'!OSRRefE21_5x_6</vt:lpstr>
      <vt:lpstr>'206'!OSRRefE21_5x_6</vt:lpstr>
      <vt:lpstr>'300'!OSRRefE21_5x_6</vt:lpstr>
      <vt:lpstr>'300 &amp; 317'!OSRRefE21_5x_6</vt:lpstr>
      <vt:lpstr>'301'!OSRRefE21_5x_6</vt:lpstr>
      <vt:lpstr>'307'!OSRRefE21_5x_6</vt:lpstr>
      <vt:lpstr>'308'!OSRRefE21_5x_6</vt:lpstr>
      <vt:lpstr>'310'!OSRRefE21_5x_6</vt:lpstr>
      <vt:lpstr>'310 &amp; 491'!OSRRefE21_5x_6</vt:lpstr>
      <vt:lpstr>'311'!OSRRefE21_5x_6</vt:lpstr>
      <vt:lpstr>'315'!OSRRefE21_5x_6</vt:lpstr>
      <vt:lpstr>'316'!OSRRefE21_5x_6</vt:lpstr>
      <vt:lpstr>'317'!OSRRefE21_5x_6</vt:lpstr>
      <vt:lpstr>'321'!OSRRefE21_5x_6</vt:lpstr>
      <vt:lpstr>'325'!OSRRefE21_5x_6</vt:lpstr>
      <vt:lpstr>'326'!OSRRefE21_5x_6</vt:lpstr>
      <vt:lpstr>'330'!OSRRefE21_5x_6</vt:lpstr>
      <vt:lpstr>'331'!OSRRefE21_5x_6</vt:lpstr>
      <vt:lpstr>'332'!OSRRefE21_5x_6</vt:lpstr>
      <vt:lpstr>'405'!OSRRefE21_5x_6</vt:lpstr>
      <vt:lpstr>'411'!OSRRefE21_5x_6</vt:lpstr>
      <vt:lpstr>'415'!OSRRefE21_5x_6</vt:lpstr>
      <vt:lpstr>'418'!OSRRefE21_5x_6</vt:lpstr>
      <vt:lpstr>'430'!OSRRefE21_5x_6</vt:lpstr>
      <vt:lpstr>'433'!OSRRefE21_5x_6</vt:lpstr>
      <vt:lpstr>'444'!OSRRefE21_5x_6</vt:lpstr>
      <vt:lpstr>'450'!OSRRefE21_5x_6</vt:lpstr>
      <vt:lpstr>'491'!OSRRefE21_5x_6</vt:lpstr>
      <vt:lpstr>'492'!OSRRefE21_5x_6</vt:lpstr>
      <vt:lpstr>'501'!OSRRefE21_5x_6</vt:lpstr>
      <vt:lpstr>'Div 2'!OSRRefE21_5x_6</vt:lpstr>
      <vt:lpstr>'Div 3'!OSRRefE21_5x_6</vt:lpstr>
      <vt:lpstr>'Div 4'!OSRRefE21_5x_6</vt:lpstr>
      <vt:lpstr>'Div 5'!OSRRefE21_5x_6</vt:lpstr>
      <vt:lpstr>'Div 6'!OSRRefE21_5x_6</vt:lpstr>
      <vt:lpstr>Summary!OSRRefE21_5x_6</vt:lpstr>
      <vt:lpstr>'201'!OSRRefE21_5x_7</vt:lpstr>
      <vt:lpstr>'202'!OSRRefE21_5x_7</vt:lpstr>
      <vt:lpstr>'203'!OSRRefE21_5x_7</vt:lpstr>
      <vt:lpstr>'204'!OSRRefE21_5x_7</vt:lpstr>
      <vt:lpstr>'205'!OSRRefE21_5x_7</vt:lpstr>
      <vt:lpstr>'206'!OSRRefE21_5x_7</vt:lpstr>
      <vt:lpstr>'300'!OSRRefE21_5x_7</vt:lpstr>
      <vt:lpstr>'300 &amp; 317'!OSRRefE21_5x_7</vt:lpstr>
      <vt:lpstr>'301'!OSRRefE21_5x_7</vt:lpstr>
      <vt:lpstr>'307'!OSRRefE21_5x_7</vt:lpstr>
      <vt:lpstr>'308'!OSRRefE21_5x_7</vt:lpstr>
      <vt:lpstr>'310'!OSRRefE21_5x_7</vt:lpstr>
      <vt:lpstr>'310 &amp; 491'!OSRRefE21_5x_7</vt:lpstr>
      <vt:lpstr>'311'!OSRRefE21_5x_7</vt:lpstr>
      <vt:lpstr>'315'!OSRRefE21_5x_7</vt:lpstr>
      <vt:lpstr>'316'!OSRRefE21_5x_7</vt:lpstr>
      <vt:lpstr>'317'!OSRRefE21_5x_7</vt:lpstr>
      <vt:lpstr>'321'!OSRRefE21_5x_7</vt:lpstr>
      <vt:lpstr>'325'!OSRRefE21_5x_7</vt:lpstr>
      <vt:lpstr>'326'!OSRRefE21_5x_7</vt:lpstr>
      <vt:lpstr>'330'!OSRRefE21_5x_7</vt:lpstr>
      <vt:lpstr>'331'!OSRRefE21_5x_7</vt:lpstr>
      <vt:lpstr>'332'!OSRRefE21_5x_7</vt:lpstr>
      <vt:lpstr>'405'!OSRRefE21_5x_7</vt:lpstr>
      <vt:lpstr>'411'!OSRRefE21_5x_7</vt:lpstr>
      <vt:lpstr>'415'!OSRRefE21_5x_7</vt:lpstr>
      <vt:lpstr>'418'!OSRRefE21_5x_7</vt:lpstr>
      <vt:lpstr>'430'!OSRRefE21_5x_7</vt:lpstr>
      <vt:lpstr>'433'!OSRRefE21_5x_7</vt:lpstr>
      <vt:lpstr>'444'!OSRRefE21_5x_7</vt:lpstr>
      <vt:lpstr>'450'!OSRRefE21_5x_7</vt:lpstr>
      <vt:lpstr>'491'!OSRRefE21_5x_7</vt:lpstr>
      <vt:lpstr>'492'!OSRRefE21_5x_7</vt:lpstr>
      <vt:lpstr>'501'!OSRRefE21_5x_7</vt:lpstr>
      <vt:lpstr>'Div 2'!OSRRefE21_5x_7</vt:lpstr>
      <vt:lpstr>'Div 3'!OSRRefE21_5x_7</vt:lpstr>
      <vt:lpstr>'Div 4'!OSRRefE21_5x_7</vt:lpstr>
      <vt:lpstr>'Div 5'!OSRRefE21_5x_7</vt:lpstr>
      <vt:lpstr>'Div 6'!OSRRefE21_5x_7</vt:lpstr>
      <vt:lpstr>Summary!OSRRefE21_5x_7</vt:lpstr>
      <vt:lpstr>'201'!OSRRefE21_5x_8</vt:lpstr>
      <vt:lpstr>'202'!OSRRefE21_5x_8</vt:lpstr>
      <vt:lpstr>'203'!OSRRefE21_5x_8</vt:lpstr>
      <vt:lpstr>'204'!OSRRefE21_5x_8</vt:lpstr>
      <vt:lpstr>'205'!OSRRefE21_5x_8</vt:lpstr>
      <vt:lpstr>'206'!OSRRefE21_5x_8</vt:lpstr>
      <vt:lpstr>'300'!OSRRefE21_5x_8</vt:lpstr>
      <vt:lpstr>'300 &amp; 317'!OSRRefE21_5x_8</vt:lpstr>
      <vt:lpstr>'301'!OSRRefE21_5x_8</vt:lpstr>
      <vt:lpstr>'307'!OSRRefE21_5x_8</vt:lpstr>
      <vt:lpstr>'308'!OSRRefE21_5x_8</vt:lpstr>
      <vt:lpstr>'310'!OSRRefE21_5x_8</vt:lpstr>
      <vt:lpstr>'310 &amp; 491'!OSRRefE21_5x_8</vt:lpstr>
      <vt:lpstr>'311'!OSRRefE21_5x_8</vt:lpstr>
      <vt:lpstr>'315'!OSRRefE21_5x_8</vt:lpstr>
      <vt:lpstr>'316'!OSRRefE21_5x_8</vt:lpstr>
      <vt:lpstr>'317'!OSRRefE21_5x_8</vt:lpstr>
      <vt:lpstr>'321'!OSRRefE21_5x_8</vt:lpstr>
      <vt:lpstr>'325'!OSRRefE21_5x_8</vt:lpstr>
      <vt:lpstr>'326'!OSRRefE21_5x_8</vt:lpstr>
      <vt:lpstr>'330'!OSRRefE21_5x_8</vt:lpstr>
      <vt:lpstr>'331'!OSRRefE21_5x_8</vt:lpstr>
      <vt:lpstr>'332'!OSRRefE21_5x_8</vt:lpstr>
      <vt:lpstr>'405'!OSRRefE21_5x_8</vt:lpstr>
      <vt:lpstr>'411'!OSRRefE21_5x_8</vt:lpstr>
      <vt:lpstr>'415'!OSRRefE21_5x_8</vt:lpstr>
      <vt:lpstr>'418'!OSRRefE21_5x_8</vt:lpstr>
      <vt:lpstr>'430'!OSRRefE21_5x_8</vt:lpstr>
      <vt:lpstr>'433'!OSRRefE21_5x_8</vt:lpstr>
      <vt:lpstr>'444'!OSRRefE21_5x_8</vt:lpstr>
      <vt:lpstr>'450'!OSRRefE21_5x_8</vt:lpstr>
      <vt:lpstr>'491'!OSRRefE21_5x_8</vt:lpstr>
      <vt:lpstr>'492'!OSRRefE21_5x_8</vt:lpstr>
      <vt:lpstr>'501'!OSRRefE21_5x_8</vt:lpstr>
      <vt:lpstr>'Div 2'!OSRRefE21_5x_8</vt:lpstr>
      <vt:lpstr>'Div 3'!OSRRefE21_5x_8</vt:lpstr>
      <vt:lpstr>'Div 4'!OSRRefE21_5x_8</vt:lpstr>
      <vt:lpstr>'Div 5'!OSRRefE21_5x_8</vt:lpstr>
      <vt:lpstr>'Div 6'!OSRRefE21_5x_8</vt:lpstr>
      <vt:lpstr>Summary!OSRRefE21_5x_8</vt:lpstr>
      <vt:lpstr>'201'!OSRRefE21_5x_9</vt:lpstr>
      <vt:lpstr>'202'!OSRRefE21_5x_9</vt:lpstr>
      <vt:lpstr>'203'!OSRRefE21_5x_9</vt:lpstr>
      <vt:lpstr>'204'!OSRRefE21_5x_9</vt:lpstr>
      <vt:lpstr>'205'!OSRRefE21_5x_9</vt:lpstr>
      <vt:lpstr>'206'!OSRRefE21_5x_9</vt:lpstr>
      <vt:lpstr>'300'!OSRRefE21_5x_9</vt:lpstr>
      <vt:lpstr>'300 &amp; 317'!OSRRefE21_5x_9</vt:lpstr>
      <vt:lpstr>'301'!OSRRefE21_5x_9</vt:lpstr>
      <vt:lpstr>'307'!OSRRefE21_5x_9</vt:lpstr>
      <vt:lpstr>'308'!OSRRefE21_5x_9</vt:lpstr>
      <vt:lpstr>'310'!OSRRefE21_5x_9</vt:lpstr>
      <vt:lpstr>'310 &amp; 491'!OSRRefE21_5x_9</vt:lpstr>
      <vt:lpstr>'311'!OSRRefE21_5x_9</vt:lpstr>
      <vt:lpstr>'315'!OSRRefE21_5x_9</vt:lpstr>
      <vt:lpstr>'316'!OSRRefE21_5x_9</vt:lpstr>
      <vt:lpstr>'317'!OSRRefE21_5x_9</vt:lpstr>
      <vt:lpstr>'321'!OSRRefE21_5x_9</vt:lpstr>
      <vt:lpstr>'325'!OSRRefE21_5x_9</vt:lpstr>
      <vt:lpstr>'326'!OSRRefE21_5x_9</vt:lpstr>
      <vt:lpstr>'330'!OSRRefE21_5x_9</vt:lpstr>
      <vt:lpstr>'331'!OSRRefE21_5x_9</vt:lpstr>
      <vt:lpstr>'332'!OSRRefE21_5x_9</vt:lpstr>
      <vt:lpstr>'405'!OSRRefE21_5x_9</vt:lpstr>
      <vt:lpstr>'411'!OSRRefE21_5x_9</vt:lpstr>
      <vt:lpstr>'415'!OSRRefE21_5x_9</vt:lpstr>
      <vt:lpstr>'418'!OSRRefE21_5x_9</vt:lpstr>
      <vt:lpstr>'430'!OSRRefE21_5x_9</vt:lpstr>
      <vt:lpstr>'433'!OSRRefE21_5x_9</vt:lpstr>
      <vt:lpstr>'444'!OSRRefE21_5x_9</vt:lpstr>
      <vt:lpstr>'450'!OSRRefE21_5x_9</vt:lpstr>
      <vt:lpstr>'491'!OSRRefE21_5x_9</vt:lpstr>
      <vt:lpstr>'492'!OSRRefE21_5x_9</vt:lpstr>
      <vt:lpstr>'501'!OSRRefE21_5x_9</vt:lpstr>
      <vt:lpstr>'Div 2'!OSRRefE21_5x_9</vt:lpstr>
      <vt:lpstr>'Div 3'!OSRRefE21_5x_9</vt:lpstr>
      <vt:lpstr>'Div 4'!OSRRefE21_5x_9</vt:lpstr>
      <vt:lpstr>'Div 5'!OSRRefE21_5x_9</vt:lpstr>
      <vt:lpstr>'Div 6'!OSRRefE21_5x_9</vt:lpstr>
      <vt:lpstr>Summary!OSRRefE21_5x_9</vt:lpstr>
      <vt:lpstr>'201'!OSRRefE21_6_0x</vt:lpstr>
      <vt:lpstr>'202'!OSRRefE21_6_0x</vt:lpstr>
      <vt:lpstr>'203'!OSRRefE21_6_0x</vt:lpstr>
      <vt:lpstr>'204'!OSRRefE21_6_0x</vt:lpstr>
      <vt:lpstr>'205'!OSRRefE21_6_0x</vt:lpstr>
      <vt:lpstr>'300'!OSRRefE21_6_0x</vt:lpstr>
      <vt:lpstr>'300 &amp; 317'!OSRRefE21_6_0x</vt:lpstr>
      <vt:lpstr>'301'!OSRRefE21_6_0x</vt:lpstr>
      <vt:lpstr>'307'!OSRRefE21_6_0x</vt:lpstr>
      <vt:lpstr>'308'!OSRRefE21_6_0x</vt:lpstr>
      <vt:lpstr>'310'!OSRRefE21_6_0x</vt:lpstr>
      <vt:lpstr>'310 &amp; 491'!OSRRefE21_6_0x</vt:lpstr>
      <vt:lpstr>'311'!OSRRefE21_6_0x</vt:lpstr>
      <vt:lpstr>'315'!OSRRefE21_6_0x</vt:lpstr>
      <vt:lpstr>'316'!OSRRefE21_6_0x</vt:lpstr>
      <vt:lpstr>'317'!OSRRefE21_6_0x</vt:lpstr>
      <vt:lpstr>'321'!OSRRefE21_6_0x</vt:lpstr>
      <vt:lpstr>'325'!OSRRefE21_6_0x</vt:lpstr>
      <vt:lpstr>'326'!OSRRefE21_6_0x</vt:lpstr>
      <vt:lpstr>'330'!OSRRefE21_6_0x</vt:lpstr>
      <vt:lpstr>'331'!OSRRefE21_6_0x</vt:lpstr>
      <vt:lpstr>'332'!OSRRefE21_6_0x</vt:lpstr>
      <vt:lpstr>'405'!OSRRefE21_6_0x</vt:lpstr>
      <vt:lpstr>'411'!OSRRefE21_6_0x</vt:lpstr>
      <vt:lpstr>'415'!OSRRefE21_6_0x</vt:lpstr>
      <vt:lpstr>'418'!OSRRefE21_6_0x</vt:lpstr>
      <vt:lpstr>'430'!OSRRefE21_6_0x</vt:lpstr>
      <vt:lpstr>'433'!OSRRefE21_6_0x</vt:lpstr>
      <vt:lpstr>'444'!OSRRefE21_6_0x</vt:lpstr>
      <vt:lpstr>'450'!OSRRefE21_6_0x</vt:lpstr>
      <vt:lpstr>'491'!OSRRefE21_6_0x</vt:lpstr>
      <vt:lpstr>'492'!OSRRefE21_6_0x</vt:lpstr>
      <vt:lpstr>'501'!OSRRefE21_6_0x</vt:lpstr>
      <vt:lpstr>'Div 2'!OSRRefE21_6_0x</vt:lpstr>
      <vt:lpstr>'Div 3'!OSRRefE21_6_0x</vt:lpstr>
      <vt:lpstr>'Div 4'!OSRRefE21_6_0x</vt:lpstr>
      <vt:lpstr>'Div 5'!OSRRefE21_6_0x</vt:lpstr>
      <vt:lpstr>'Div 6'!OSRRefE21_6_0x</vt:lpstr>
      <vt:lpstr>Summary!OSRRefE21_6_0x</vt:lpstr>
      <vt:lpstr>'202'!OSRRefE21_6_1x</vt:lpstr>
      <vt:lpstr>'300'!OSRRefE21_6_1x</vt:lpstr>
      <vt:lpstr>'300 &amp; 317'!OSRRefE21_6_1x</vt:lpstr>
      <vt:lpstr>'315'!OSRRefE21_6_1x</vt:lpstr>
      <vt:lpstr>'316'!OSRRefE21_6_1x</vt:lpstr>
      <vt:lpstr>'321'!OSRRefE21_6_1x</vt:lpstr>
      <vt:lpstr>'331'!OSRRefE21_6_1x</vt:lpstr>
      <vt:lpstr>'332'!OSRRefE21_6_1x</vt:lpstr>
      <vt:lpstr>'Div 3'!OSRRefE21_6_1x</vt:lpstr>
      <vt:lpstr>Summary!OSRRefE21_6_1x</vt:lpstr>
      <vt:lpstr>'202'!OSRRefE21_6_2x</vt:lpstr>
      <vt:lpstr>'316'!OSRRefE21_6_2x</vt:lpstr>
      <vt:lpstr>'332'!OSRRefE21_6_2x</vt:lpstr>
      <vt:lpstr>'201'!OSRRefE21_6x_0</vt:lpstr>
      <vt:lpstr>'202'!OSRRefE21_6x_0</vt:lpstr>
      <vt:lpstr>'203'!OSRRefE21_6x_0</vt:lpstr>
      <vt:lpstr>'204'!OSRRefE21_6x_0</vt:lpstr>
      <vt:lpstr>'205'!OSRRefE21_6x_0</vt:lpstr>
      <vt:lpstr>'300'!OSRRefE21_6x_0</vt:lpstr>
      <vt:lpstr>'300 &amp; 317'!OSRRefE21_6x_0</vt:lpstr>
      <vt:lpstr>'301'!OSRRefE21_6x_0</vt:lpstr>
      <vt:lpstr>'307'!OSRRefE21_6x_0</vt:lpstr>
      <vt:lpstr>'308'!OSRRefE21_6x_0</vt:lpstr>
      <vt:lpstr>'310'!OSRRefE21_6x_0</vt:lpstr>
      <vt:lpstr>'310 &amp; 491'!OSRRefE21_6x_0</vt:lpstr>
      <vt:lpstr>'311'!OSRRefE21_6x_0</vt:lpstr>
      <vt:lpstr>'315'!OSRRefE21_6x_0</vt:lpstr>
      <vt:lpstr>'316'!OSRRefE21_6x_0</vt:lpstr>
      <vt:lpstr>'317'!OSRRefE21_6x_0</vt:lpstr>
      <vt:lpstr>'321'!OSRRefE21_6x_0</vt:lpstr>
      <vt:lpstr>'325'!OSRRefE21_6x_0</vt:lpstr>
      <vt:lpstr>'326'!OSRRefE21_6x_0</vt:lpstr>
      <vt:lpstr>'330'!OSRRefE21_6x_0</vt:lpstr>
      <vt:lpstr>'331'!OSRRefE21_6x_0</vt:lpstr>
      <vt:lpstr>'332'!OSRRefE21_6x_0</vt:lpstr>
      <vt:lpstr>'405'!OSRRefE21_6x_0</vt:lpstr>
      <vt:lpstr>'411'!OSRRefE21_6x_0</vt:lpstr>
      <vt:lpstr>'415'!OSRRefE21_6x_0</vt:lpstr>
      <vt:lpstr>'418'!OSRRefE21_6x_0</vt:lpstr>
      <vt:lpstr>'430'!OSRRefE21_6x_0</vt:lpstr>
      <vt:lpstr>'433'!OSRRefE21_6x_0</vt:lpstr>
      <vt:lpstr>'444'!OSRRefE21_6x_0</vt:lpstr>
      <vt:lpstr>'450'!OSRRefE21_6x_0</vt:lpstr>
      <vt:lpstr>'491'!OSRRefE21_6x_0</vt:lpstr>
      <vt:lpstr>'492'!OSRRefE21_6x_0</vt:lpstr>
      <vt:lpstr>'501'!OSRRefE21_6x_0</vt:lpstr>
      <vt:lpstr>'Div 2'!OSRRefE21_6x_0</vt:lpstr>
      <vt:lpstr>'Div 3'!OSRRefE21_6x_0</vt:lpstr>
      <vt:lpstr>'Div 4'!OSRRefE21_6x_0</vt:lpstr>
      <vt:lpstr>'Div 5'!OSRRefE21_6x_0</vt:lpstr>
      <vt:lpstr>'Div 6'!OSRRefE21_6x_0</vt:lpstr>
      <vt:lpstr>Summary!OSRRefE21_6x_0</vt:lpstr>
      <vt:lpstr>'201'!OSRRefE21_6x_1</vt:lpstr>
      <vt:lpstr>'202'!OSRRefE21_6x_1</vt:lpstr>
      <vt:lpstr>'203'!OSRRefE21_6x_1</vt:lpstr>
      <vt:lpstr>'204'!OSRRefE21_6x_1</vt:lpstr>
      <vt:lpstr>'205'!OSRRefE21_6x_1</vt:lpstr>
      <vt:lpstr>'300'!OSRRefE21_6x_1</vt:lpstr>
      <vt:lpstr>'300 &amp; 317'!OSRRefE21_6x_1</vt:lpstr>
      <vt:lpstr>'301'!OSRRefE21_6x_1</vt:lpstr>
      <vt:lpstr>'307'!OSRRefE21_6x_1</vt:lpstr>
      <vt:lpstr>'308'!OSRRefE21_6x_1</vt:lpstr>
      <vt:lpstr>'310'!OSRRefE21_6x_1</vt:lpstr>
      <vt:lpstr>'310 &amp; 491'!OSRRefE21_6x_1</vt:lpstr>
      <vt:lpstr>'311'!OSRRefE21_6x_1</vt:lpstr>
      <vt:lpstr>'315'!OSRRefE21_6x_1</vt:lpstr>
      <vt:lpstr>'316'!OSRRefE21_6x_1</vt:lpstr>
      <vt:lpstr>'317'!OSRRefE21_6x_1</vt:lpstr>
      <vt:lpstr>'321'!OSRRefE21_6x_1</vt:lpstr>
      <vt:lpstr>'325'!OSRRefE21_6x_1</vt:lpstr>
      <vt:lpstr>'326'!OSRRefE21_6x_1</vt:lpstr>
      <vt:lpstr>'330'!OSRRefE21_6x_1</vt:lpstr>
      <vt:lpstr>'331'!OSRRefE21_6x_1</vt:lpstr>
      <vt:lpstr>'332'!OSRRefE21_6x_1</vt:lpstr>
      <vt:lpstr>'405'!OSRRefE21_6x_1</vt:lpstr>
      <vt:lpstr>'411'!OSRRefE21_6x_1</vt:lpstr>
      <vt:lpstr>'415'!OSRRefE21_6x_1</vt:lpstr>
      <vt:lpstr>'418'!OSRRefE21_6x_1</vt:lpstr>
      <vt:lpstr>'430'!OSRRefE21_6x_1</vt:lpstr>
      <vt:lpstr>'433'!OSRRefE21_6x_1</vt:lpstr>
      <vt:lpstr>'444'!OSRRefE21_6x_1</vt:lpstr>
      <vt:lpstr>'450'!OSRRefE21_6x_1</vt:lpstr>
      <vt:lpstr>'491'!OSRRefE21_6x_1</vt:lpstr>
      <vt:lpstr>'492'!OSRRefE21_6x_1</vt:lpstr>
      <vt:lpstr>'501'!OSRRefE21_6x_1</vt:lpstr>
      <vt:lpstr>'Div 2'!OSRRefE21_6x_1</vt:lpstr>
      <vt:lpstr>'Div 3'!OSRRefE21_6x_1</vt:lpstr>
      <vt:lpstr>'Div 4'!OSRRefE21_6x_1</vt:lpstr>
      <vt:lpstr>'Div 5'!OSRRefE21_6x_1</vt:lpstr>
      <vt:lpstr>'Div 6'!OSRRefE21_6x_1</vt:lpstr>
      <vt:lpstr>Summary!OSRRefE21_6x_1</vt:lpstr>
      <vt:lpstr>'201'!OSRRefE21_6x_10</vt:lpstr>
      <vt:lpstr>'202'!OSRRefE21_6x_10</vt:lpstr>
      <vt:lpstr>'203'!OSRRefE21_6x_10</vt:lpstr>
      <vt:lpstr>'204'!OSRRefE21_6x_10</vt:lpstr>
      <vt:lpstr>'205'!OSRRefE21_6x_10</vt:lpstr>
      <vt:lpstr>'300'!OSRRefE21_6x_10</vt:lpstr>
      <vt:lpstr>'300 &amp; 317'!OSRRefE21_6x_10</vt:lpstr>
      <vt:lpstr>'301'!OSRRefE21_6x_10</vt:lpstr>
      <vt:lpstr>'307'!OSRRefE21_6x_10</vt:lpstr>
      <vt:lpstr>'308'!OSRRefE21_6x_10</vt:lpstr>
      <vt:lpstr>'310'!OSRRefE21_6x_10</vt:lpstr>
      <vt:lpstr>'310 &amp; 491'!OSRRefE21_6x_10</vt:lpstr>
      <vt:lpstr>'311'!OSRRefE21_6x_10</vt:lpstr>
      <vt:lpstr>'315'!OSRRefE21_6x_10</vt:lpstr>
      <vt:lpstr>'316'!OSRRefE21_6x_10</vt:lpstr>
      <vt:lpstr>'317'!OSRRefE21_6x_10</vt:lpstr>
      <vt:lpstr>'321'!OSRRefE21_6x_10</vt:lpstr>
      <vt:lpstr>'325'!OSRRefE21_6x_10</vt:lpstr>
      <vt:lpstr>'326'!OSRRefE21_6x_10</vt:lpstr>
      <vt:lpstr>'330'!OSRRefE21_6x_10</vt:lpstr>
      <vt:lpstr>'331'!OSRRefE21_6x_10</vt:lpstr>
      <vt:lpstr>'332'!OSRRefE21_6x_10</vt:lpstr>
      <vt:lpstr>'405'!OSRRefE21_6x_10</vt:lpstr>
      <vt:lpstr>'411'!OSRRefE21_6x_10</vt:lpstr>
      <vt:lpstr>'415'!OSRRefE21_6x_10</vt:lpstr>
      <vt:lpstr>'418'!OSRRefE21_6x_10</vt:lpstr>
      <vt:lpstr>'430'!OSRRefE21_6x_10</vt:lpstr>
      <vt:lpstr>'433'!OSRRefE21_6x_10</vt:lpstr>
      <vt:lpstr>'444'!OSRRefE21_6x_10</vt:lpstr>
      <vt:lpstr>'450'!OSRRefE21_6x_10</vt:lpstr>
      <vt:lpstr>'491'!OSRRefE21_6x_10</vt:lpstr>
      <vt:lpstr>'492'!OSRRefE21_6x_10</vt:lpstr>
      <vt:lpstr>'501'!OSRRefE21_6x_10</vt:lpstr>
      <vt:lpstr>'Div 2'!OSRRefE21_6x_10</vt:lpstr>
      <vt:lpstr>'Div 3'!OSRRefE21_6x_10</vt:lpstr>
      <vt:lpstr>'Div 4'!OSRRefE21_6x_10</vt:lpstr>
      <vt:lpstr>'Div 5'!OSRRefE21_6x_10</vt:lpstr>
      <vt:lpstr>'Div 6'!OSRRefE21_6x_10</vt:lpstr>
      <vt:lpstr>Summary!OSRRefE21_6x_10</vt:lpstr>
      <vt:lpstr>'201'!OSRRefE21_6x_2</vt:lpstr>
      <vt:lpstr>'202'!OSRRefE21_6x_2</vt:lpstr>
      <vt:lpstr>'203'!OSRRefE21_6x_2</vt:lpstr>
      <vt:lpstr>'204'!OSRRefE21_6x_2</vt:lpstr>
      <vt:lpstr>'205'!OSRRefE21_6x_2</vt:lpstr>
      <vt:lpstr>'300'!OSRRefE21_6x_2</vt:lpstr>
      <vt:lpstr>'300 &amp; 317'!OSRRefE21_6x_2</vt:lpstr>
      <vt:lpstr>'301'!OSRRefE21_6x_2</vt:lpstr>
      <vt:lpstr>'307'!OSRRefE21_6x_2</vt:lpstr>
      <vt:lpstr>'308'!OSRRefE21_6x_2</vt:lpstr>
      <vt:lpstr>'310'!OSRRefE21_6x_2</vt:lpstr>
      <vt:lpstr>'310 &amp; 491'!OSRRefE21_6x_2</vt:lpstr>
      <vt:lpstr>'311'!OSRRefE21_6x_2</vt:lpstr>
      <vt:lpstr>'315'!OSRRefE21_6x_2</vt:lpstr>
      <vt:lpstr>'316'!OSRRefE21_6x_2</vt:lpstr>
      <vt:lpstr>'317'!OSRRefE21_6x_2</vt:lpstr>
      <vt:lpstr>'321'!OSRRefE21_6x_2</vt:lpstr>
      <vt:lpstr>'325'!OSRRefE21_6x_2</vt:lpstr>
      <vt:lpstr>'326'!OSRRefE21_6x_2</vt:lpstr>
      <vt:lpstr>'330'!OSRRefE21_6x_2</vt:lpstr>
      <vt:lpstr>'331'!OSRRefE21_6x_2</vt:lpstr>
      <vt:lpstr>'332'!OSRRefE21_6x_2</vt:lpstr>
      <vt:lpstr>'405'!OSRRefE21_6x_2</vt:lpstr>
      <vt:lpstr>'411'!OSRRefE21_6x_2</vt:lpstr>
      <vt:lpstr>'415'!OSRRefE21_6x_2</vt:lpstr>
      <vt:lpstr>'418'!OSRRefE21_6x_2</vt:lpstr>
      <vt:lpstr>'430'!OSRRefE21_6x_2</vt:lpstr>
      <vt:lpstr>'433'!OSRRefE21_6x_2</vt:lpstr>
      <vt:lpstr>'444'!OSRRefE21_6x_2</vt:lpstr>
      <vt:lpstr>'450'!OSRRefE21_6x_2</vt:lpstr>
      <vt:lpstr>'491'!OSRRefE21_6x_2</vt:lpstr>
      <vt:lpstr>'492'!OSRRefE21_6x_2</vt:lpstr>
      <vt:lpstr>'501'!OSRRefE21_6x_2</vt:lpstr>
      <vt:lpstr>'Div 2'!OSRRefE21_6x_2</vt:lpstr>
      <vt:lpstr>'Div 3'!OSRRefE21_6x_2</vt:lpstr>
      <vt:lpstr>'Div 4'!OSRRefE21_6x_2</vt:lpstr>
      <vt:lpstr>'Div 5'!OSRRefE21_6x_2</vt:lpstr>
      <vt:lpstr>'Div 6'!OSRRefE21_6x_2</vt:lpstr>
      <vt:lpstr>Summary!OSRRefE21_6x_2</vt:lpstr>
      <vt:lpstr>'201'!OSRRefE21_6x_3</vt:lpstr>
      <vt:lpstr>'202'!OSRRefE21_6x_3</vt:lpstr>
      <vt:lpstr>'203'!OSRRefE21_6x_3</vt:lpstr>
      <vt:lpstr>'204'!OSRRefE21_6x_3</vt:lpstr>
      <vt:lpstr>'205'!OSRRefE21_6x_3</vt:lpstr>
      <vt:lpstr>'300'!OSRRefE21_6x_3</vt:lpstr>
      <vt:lpstr>'300 &amp; 317'!OSRRefE21_6x_3</vt:lpstr>
      <vt:lpstr>'301'!OSRRefE21_6x_3</vt:lpstr>
      <vt:lpstr>'307'!OSRRefE21_6x_3</vt:lpstr>
      <vt:lpstr>'308'!OSRRefE21_6x_3</vt:lpstr>
      <vt:lpstr>'310'!OSRRefE21_6x_3</vt:lpstr>
      <vt:lpstr>'310 &amp; 491'!OSRRefE21_6x_3</vt:lpstr>
      <vt:lpstr>'311'!OSRRefE21_6x_3</vt:lpstr>
      <vt:lpstr>'315'!OSRRefE21_6x_3</vt:lpstr>
      <vt:lpstr>'316'!OSRRefE21_6x_3</vt:lpstr>
      <vt:lpstr>'317'!OSRRefE21_6x_3</vt:lpstr>
      <vt:lpstr>'321'!OSRRefE21_6x_3</vt:lpstr>
      <vt:lpstr>'325'!OSRRefE21_6x_3</vt:lpstr>
      <vt:lpstr>'326'!OSRRefE21_6x_3</vt:lpstr>
      <vt:lpstr>'330'!OSRRefE21_6x_3</vt:lpstr>
      <vt:lpstr>'331'!OSRRefE21_6x_3</vt:lpstr>
      <vt:lpstr>'332'!OSRRefE21_6x_3</vt:lpstr>
      <vt:lpstr>'405'!OSRRefE21_6x_3</vt:lpstr>
      <vt:lpstr>'411'!OSRRefE21_6x_3</vt:lpstr>
      <vt:lpstr>'415'!OSRRefE21_6x_3</vt:lpstr>
      <vt:lpstr>'418'!OSRRefE21_6x_3</vt:lpstr>
      <vt:lpstr>'430'!OSRRefE21_6x_3</vt:lpstr>
      <vt:lpstr>'433'!OSRRefE21_6x_3</vt:lpstr>
      <vt:lpstr>'444'!OSRRefE21_6x_3</vt:lpstr>
      <vt:lpstr>'450'!OSRRefE21_6x_3</vt:lpstr>
      <vt:lpstr>'491'!OSRRefE21_6x_3</vt:lpstr>
      <vt:lpstr>'492'!OSRRefE21_6x_3</vt:lpstr>
      <vt:lpstr>'501'!OSRRefE21_6x_3</vt:lpstr>
      <vt:lpstr>'Div 2'!OSRRefE21_6x_3</vt:lpstr>
      <vt:lpstr>'Div 3'!OSRRefE21_6x_3</vt:lpstr>
      <vt:lpstr>'Div 4'!OSRRefE21_6x_3</vt:lpstr>
      <vt:lpstr>'Div 5'!OSRRefE21_6x_3</vt:lpstr>
      <vt:lpstr>'Div 6'!OSRRefE21_6x_3</vt:lpstr>
      <vt:lpstr>Summary!OSRRefE21_6x_3</vt:lpstr>
      <vt:lpstr>'201'!OSRRefE21_6x_4</vt:lpstr>
      <vt:lpstr>'202'!OSRRefE21_6x_4</vt:lpstr>
      <vt:lpstr>'203'!OSRRefE21_6x_4</vt:lpstr>
      <vt:lpstr>'204'!OSRRefE21_6x_4</vt:lpstr>
      <vt:lpstr>'205'!OSRRefE21_6x_4</vt:lpstr>
      <vt:lpstr>'300'!OSRRefE21_6x_4</vt:lpstr>
      <vt:lpstr>'300 &amp; 317'!OSRRefE21_6x_4</vt:lpstr>
      <vt:lpstr>'301'!OSRRefE21_6x_4</vt:lpstr>
      <vt:lpstr>'307'!OSRRefE21_6x_4</vt:lpstr>
      <vt:lpstr>'308'!OSRRefE21_6x_4</vt:lpstr>
      <vt:lpstr>'310'!OSRRefE21_6x_4</vt:lpstr>
      <vt:lpstr>'310 &amp; 491'!OSRRefE21_6x_4</vt:lpstr>
      <vt:lpstr>'311'!OSRRefE21_6x_4</vt:lpstr>
      <vt:lpstr>'315'!OSRRefE21_6x_4</vt:lpstr>
      <vt:lpstr>'316'!OSRRefE21_6x_4</vt:lpstr>
      <vt:lpstr>'317'!OSRRefE21_6x_4</vt:lpstr>
      <vt:lpstr>'321'!OSRRefE21_6x_4</vt:lpstr>
      <vt:lpstr>'325'!OSRRefE21_6x_4</vt:lpstr>
      <vt:lpstr>'326'!OSRRefE21_6x_4</vt:lpstr>
      <vt:lpstr>'330'!OSRRefE21_6x_4</vt:lpstr>
      <vt:lpstr>'331'!OSRRefE21_6x_4</vt:lpstr>
      <vt:lpstr>'332'!OSRRefE21_6x_4</vt:lpstr>
      <vt:lpstr>'405'!OSRRefE21_6x_4</vt:lpstr>
      <vt:lpstr>'411'!OSRRefE21_6x_4</vt:lpstr>
      <vt:lpstr>'415'!OSRRefE21_6x_4</vt:lpstr>
      <vt:lpstr>'418'!OSRRefE21_6x_4</vt:lpstr>
      <vt:lpstr>'430'!OSRRefE21_6x_4</vt:lpstr>
      <vt:lpstr>'433'!OSRRefE21_6x_4</vt:lpstr>
      <vt:lpstr>'444'!OSRRefE21_6x_4</vt:lpstr>
      <vt:lpstr>'450'!OSRRefE21_6x_4</vt:lpstr>
      <vt:lpstr>'491'!OSRRefE21_6x_4</vt:lpstr>
      <vt:lpstr>'492'!OSRRefE21_6x_4</vt:lpstr>
      <vt:lpstr>'501'!OSRRefE21_6x_4</vt:lpstr>
      <vt:lpstr>'Div 2'!OSRRefE21_6x_4</vt:lpstr>
      <vt:lpstr>'Div 3'!OSRRefE21_6x_4</vt:lpstr>
      <vt:lpstr>'Div 4'!OSRRefE21_6x_4</vt:lpstr>
      <vt:lpstr>'Div 5'!OSRRefE21_6x_4</vt:lpstr>
      <vt:lpstr>'Div 6'!OSRRefE21_6x_4</vt:lpstr>
      <vt:lpstr>Summary!OSRRefE21_6x_4</vt:lpstr>
      <vt:lpstr>'201'!OSRRefE21_6x_5</vt:lpstr>
      <vt:lpstr>'202'!OSRRefE21_6x_5</vt:lpstr>
      <vt:lpstr>'203'!OSRRefE21_6x_5</vt:lpstr>
      <vt:lpstr>'204'!OSRRefE21_6x_5</vt:lpstr>
      <vt:lpstr>'205'!OSRRefE21_6x_5</vt:lpstr>
      <vt:lpstr>'300'!OSRRefE21_6x_5</vt:lpstr>
      <vt:lpstr>'300 &amp; 317'!OSRRefE21_6x_5</vt:lpstr>
      <vt:lpstr>'301'!OSRRefE21_6x_5</vt:lpstr>
      <vt:lpstr>'307'!OSRRefE21_6x_5</vt:lpstr>
      <vt:lpstr>'308'!OSRRefE21_6x_5</vt:lpstr>
      <vt:lpstr>'310'!OSRRefE21_6x_5</vt:lpstr>
      <vt:lpstr>'310 &amp; 491'!OSRRefE21_6x_5</vt:lpstr>
      <vt:lpstr>'311'!OSRRefE21_6x_5</vt:lpstr>
      <vt:lpstr>'315'!OSRRefE21_6x_5</vt:lpstr>
      <vt:lpstr>'316'!OSRRefE21_6x_5</vt:lpstr>
      <vt:lpstr>'317'!OSRRefE21_6x_5</vt:lpstr>
      <vt:lpstr>'321'!OSRRefE21_6x_5</vt:lpstr>
      <vt:lpstr>'325'!OSRRefE21_6x_5</vt:lpstr>
      <vt:lpstr>'326'!OSRRefE21_6x_5</vt:lpstr>
      <vt:lpstr>'330'!OSRRefE21_6x_5</vt:lpstr>
      <vt:lpstr>'331'!OSRRefE21_6x_5</vt:lpstr>
      <vt:lpstr>'332'!OSRRefE21_6x_5</vt:lpstr>
      <vt:lpstr>'405'!OSRRefE21_6x_5</vt:lpstr>
      <vt:lpstr>'411'!OSRRefE21_6x_5</vt:lpstr>
      <vt:lpstr>'415'!OSRRefE21_6x_5</vt:lpstr>
      <vt:lpstr>'418'!OSRRefE21_6x_5</vt:lpstr>
      <vt:lpstr>'430'!OSRRefE21_6x_5</vt:lpstr>
      <vt:lpstr>'433'!OSRRefE21_6x_5</vt:lpstr>
      <vt:lpstr>'444'!OSRRefE21_6x_5</vt:lpstr>
      <vt:lpstr>'450'!OSRRefE21_6x_5</vt:lpstr>
      <vt:lpstr>'491'!OSRRefE21_6x_5</vt:lpstr>
      <vt:lpstr>'492'!OSRRefE21_6x_5</vt:lpstr>
      <vt:lpstr>'501'!OSRRefE21_6x_5</vt:lpstr>
      <vt:lpstr>'Div 2'!OSRRefE21_6x_5</vt:lpstr>
      <vt:lpstr>'Div 3'!OSRRefE21_6x_5</vt:lpstr>
      <vt:lpstr>'Div 4'!OSRRefE21_6x_5</vt:lpstr>
      <vt:lpstr>'Div 5'!OSRRefE21_6x_5</vt:lpstr>
      <vt:lpstr>'Div 6'!OSRRefE21_6x_5</vt:lpstr>
      <vt:lpstr>Summary!OSRRefE21_6x_5</vt:lpstr>
      <vt:lpstr>'201'!OSRRefE21_6x_6</vt:lpstr>
      <vt:lpstr>'202'!OSRRefE21_6x_6</vt:lpstr>
      <vt:lpstr>'203'!OSRRefE21_6x_6</vt:lpstr>
      <vt:lpstr>'204'!OSRRefE21_6x_6</vt:lpstr>
      <vt:lpstr>'205'!OSRRefE21_6x_6</vt:lpstr>
      <vt:lpstr>'300'!OSRRefE21_6x_6</vt:lpstr>
      <vt:lpstr>'300 &amp; 317'!OSRRefE21_6x_6</vt:lpstr>
      <vt:lpstr>'301'!OSRRefE21_6x_6</vt:lpstr>
      <vt:lpstr>'307'!OSRRefE21_6x_6</vt:lpstr>
      <vt:lpstr>'308'!OSRRefE21_6x_6</vt:lpstr>
      <vt:lpstr>'310'!OSRRefE21_6x_6</vt:lpstr>
      <vt:lpstr>'310 &amp; 491'!OSRRefE21_6x_6</vt:lpstr>
      <vt:lpstr>'311'!OSRRefE21_6x_6</vt:lpstr>
      <vt:lpstr>'315'!OSRRefE21_6x_6</vt:lpstr>
      <vt:lpstr>'316'!OSRRefE21_6x_6</vt:lpstr>
      <vt:lpstr>'317'!OSRRefE21_6x_6</vt:lpstr>
      <vt:lpstr>'321'!OSRRefE21_6x_6</vt:lpstr>
      <vt:lpstr>'325'!OSRRefE21_6x_6</vt:lpstr>
      <vt:lpstr>'326'!OSRRefE21_6x_6</vt:lpstr>
      <vt:lpstr>'330'!OSRRefE21_6x_6</vt:lpstr>
      <vt:lpstr>'331'!OSRRefE21_6x_6</vt:lpstr>
      <vt:lpstr>'332'!OSRRefE21_6x_6</vt:lpstr>
      <vt:lpstr>'405'!OSRRefE21_6x_6</vt:lpstr>
      <vt:lpstr>'411'!OSRRefE21_6x_6</vt:lpstr>
      <vt:lpstr>'415'!OSRRefE21_6x_6</vt:lpstr>
      <vt:lpstr>'418'!OSRRefE21_6x_6</vt:lpstr>
      <vt:lpstr>'430'!OSRRefE21_6x_6</vt:lpstr>
      <vt:lpstr>'433'!OSRRefE21_6x_6</vt:lpstr>
      <vt:lpstr>'444'!OSRRefE21_6x_6</vt:lpstr>
      <vt:lpstr>'450'!OSRRefE21_6x_6</vt:lpstr>
      <vt:lpstr>'491'!OSRRefE21_6x_6</vt:lpstr>
      <vt:lpstr>'492'!OSRRefE21_6x_6</vt:lpstr>
      <vt:lpstr>'501'!OSRRefE21_6x_6</vt:lpstr>
      <vt:lpstr>'Div 2'!OSRRefE21_6x_6</vt:lpstr>
      <vt:lpstr>'Div 3'!OSRRefE21_6x_6</vt:lpstr>
      <vt:lpstr>'Div 4'!OSRRefE21_6x_6</vt:lpstr>
      <vt:lpstr>'Div 5'!OSRRefE21_6x_6</vt:lpstr>
      <vt:lpstr>'Div 6'!OSRRefE21_6x_6</vt:lpstr>
      <vt:lpstr>Summary!OSRRefE21_6x_6</vt:lpstr>
      <vt:lpstr>'201'!OSRRefE21_6x_7</vt:lpstr>
      <vt:lpstr>'202'!OSRRefE21_6x_7</vt:lpstr>
      <vt:lpstr>'203'!OSRRefE21_6x_7</vt:lpstr>
      <vt:lpstr>'204'!OSRRefE21_6x_7</vt:lpstr>
      <vt:lpstr>'205'!OSRRefE21_6x_7</vt:lpstr>
      <vt:lpstr>'300'!OSRRefE21_6x_7</vt:lpstr>
      <vt:lpstr>'300 &amp; 317'!OSRRefE21_6x_7</vt:lpstr>
      <vt:lpstr>'301'!OSRRefE21_6x_7</vt:lpstr>
      <vt:lpstr>'307'!OSRRefE21_6x_7</vt:lpstr>
      <vt:lpstr>'308'!OSRRefE21_6x_7</vt:lpstr>
      <vt:lpstr>'310'!OSRRefE21_6x_7</vt:lpstr>
      <vt:lpstr>'310 &amp; 491'!OSRRefE21_6x_7</vt:lpstr>
      <vt:lpstr>'311'!OSRRefE21_6x_7</vt:lpstr>
      <vt:lpstr>'315'!OSRRefE21_6x_7</vt:lpstr>
      <vt:lpstr>'316'!OSRRefE21_6x_7</vt:lpstr>
      <vt:lpstr>'317'!OSRRefE21_6x_7</vt:lpstr>
      <vt:lpstr>'321'!OSRRefE21_6x_7</vt:lpstr>
      <vt:lpstr>'325'!OSRRefE21_6x_7</vt:lpstr>
      <vt:lpstr>'326'!OSRRefE21_6x_7</vt:lpstr>
      <vt:lpstr>'330'!OSRRefE21_6x_7</vt:lpstr>
      <vt:lpstr>'331'!OSRRefE21_6x_7</vt:lpstr>
      <vt:lpstr>'332'!OSRRefE21_6x_7</vt:lpstr>
      <vt:lpstr>'405'!OSRRefE21_6x_7</vt:lpstr>
      <vt:lpstr>'411'!OSRRefE21_6x_7</vt:lpstr>
      <vt:lpstr>'415'!OSRRefE21_6x_7</vt:lpstr>
      <vt:lpstr>'418'!OSRRefE21_6x_7</vt:lpstr>
      <vt:lpstr>'430'!OSRRefE21_6x_7</vt:lpstr>
      <vt:lpstr>'433'!OSRRefE21_6x_7</vt:lpstr>
      <vt:lpstr>'444'!OSRRefE21_6x_7</vt:lpstr>
      <vt:lpstr>'450'!OSRRefE21_6x_7</vt:lpstr>
      <vt:lpstr>'491'!OSRRefE21_6x_7</vt:lpstr>
      <vt:lpstr>'492'!OSRRefE21_6x_7</vt:lpstr>
      <vt:lpstr>'501'!OSRRefE21_6x_7</vt:lpstr>
      <vt:lpstr>'Div 2'!OSRRefE21_6x_7</vt:lpstr>
      <vt:lpstr>'Div 3'!OSRRefE21_6x_7</vt:lpstr>
      <vt:lpstr>'Div 4'!OSRRefE21_6x_7</vt:lpstr>
      <vt:lpstr>'Div 5'!OSRRefE21_6x_7</vt:lpstr>
      <vt:lpstr>'Div 6'!OSRRefE21_6x_7</vt:lpstr>
      <vt:lpstr>Summary!OSRRefE21_6x_7</vt:lpstr>
      <vt:lpstr>'201'!OSRRefE21_6x_8</vt:lpstr>
      <vt:lpstr>'202'!OSRRefE21_6x_8</vt:lpstr>
      <vt:lpstr>'203'!OSRRefE21_6x_8</vt:lpstr>
      <vt:lpstr>'204'!OSRRefE21_6x_8</vt:lpstr>
      <vt:lpstr>'205'!OSRRefE21_6x_8</vt:lpstr>
      <vt:lpstr>'300'!OSRRefE21_6x_8</vt:lpstr>
      <vt:lpstr>'300 &amp; 317'!OSRRefE21_6x_8</vt:lpstr>
      <vt:lpstr>'301'!OSRRefE21_6x_8</vt:lpstr>
      <vt:lpstr>'307'!OSRRefE21_6x_8</vt:lpstr>
      <vt:lpstr>'308'!OSRRefE21_6x_8</vt:lpstr>
      <vt:lpstr>'310'!OSRRefE21_6x_8</vt:lpstr>
      <vt:lpstr>'310 &amp; 491'!OSRRefE21_6x_8</vt:lpstr>
      <vt:lpstr>'311'!OSRRefE21_6x_8</vt:lpstr>
      <vt:lpstr>'315'!OSRRefE21_6x_8</vt:lpstr>
      <vt:lpstr>'316'!OSRRefE21_6x_8</vt:lpstr>
      <vt:lpstr>'317'!OSRRefE21_6x_8</vt:lpstr>
      <vt:lpstr>'321'!OSRRefE21_6x_8</vt:lpstr>
      <vt:lpstr>'325'!OSRRefE21_6x_8</vt:lpstr>
      <vt:lpstr>'326'!OSRRefE21_6x_8</vt:lpstr>
      <vt:lpstr>'330'!OSRRefE21_6x_8</vt:lpstr>
      <vt:lpstr>'331'!OSRRefE21_6x_8</vt:lpstr>
      <vt:lpstr>'332'!OSRRefE21_6x_8</vt:lpstr>
      <vt:lpstr>'405'!OSRRefE21_6x_8</vt:lpstr>
      <vt:lpstr>'411'!OSRRefE21_6x_8</vt:lpstr>
      <vt:lpstr>'415'!OSRRefE21_6x_8</vt:lpstr>
      <vt:lpstr>'418'!OSRRefE21_6x_8</vt:lpstr>
      <vt:lpstr>'430'!OSRRefE21_6x_8</vt:lpstr>
      <vt:lpstr>'433'!OSRRefE21_6x_8</vt:lpstr>
      <vt:lpstr>'444'!OSRRefE21_6x_8</vt:lpstr>
      <vt:lpstr>'450'!OSRRefE21_6x_8</vt:lpstr>
      <vt:lpstr>'491'!OSRRefE21_6x_8</vt:lpstr>
      <vt:lpstr>'492'!OSRRefE21_6x_8</vt:lpstr>
      <vt:lpstr>'501'!OSRRefE21_6x_8</vt:lpstr>
      <vt:lpstr>'Div 2'!OSRRefE21_6x_8</vt:lpstr>
      <vt:lpstr>'Div 3'!OSRRefE21_6x_8</vt:lpstr>
      <vt:lpstr>'Div 4'!OSRRefE21_6x_8</vt:lpstr>
      <vt:lpstr>'Div 5'!OSRRefE21_6x_8</vt:lpstr>
      <vt:lpstr>'Div 6'!OSRRefE21_6x_8</vt:lpstr>
      <vt:lpstr>Summary!OSRRefE21_6x_8</vt:lpstr>
      <vt:lpstr>'201'!OSRRefE21_6x_9</vt:lpstr>
      <vt:lpstr>'202'!OSRRefE21_6x_9</vt:lpstr>
      <vt:lpstr>'203'!OSRRefE21_6x_9</vt:lpstr>
      <vt:lpstr>'204'!OSRRefE21_6x_9</vt:lpstr>
      <vt:lpstr>'205'!OSRRefE21_6x_9</vt:lpstr>
      <vt:lpstr>'300'!OSRRefE21_6x_9</vt:lpstr>
      <vt:lpstr>'300 &amp; 317'!OSRRefE21_6x_9</vt:lpstr>
      <vt:lpstr>'301'!OSRRefE21_6x_9</vt:lpstr>
      <vt:lpstr>'307'!OSRRefE21_6x_9</vt:lpstr>
      <vt:lpstr>'308'!OSRRefE21_6x_9</vt:lpstr>
      <vt:lpstr>'310'!OSRRefE21_6x_9</vt:lpstr>
      <vt:lpstr>'310 &amp; 491'!OSRRefE21_6x_9</vt:lpstr>
      <vt:lpstr>'311'!OSRRefE21_6x_9</vt:lpstr>
      <vt:lpstr>'315'!OSRRefE21_6x_9</vt:lpstr>
      <vt:lpstr>'316'!OSRRefE21_6x_9</vt:lpstr>
      <vt:lpstr>'317'!OSRRefE21_6x_9</vt:lpstr>
      <vt:lpstr>'321'!OSRRefE21_6x_9</vt:lpstr>
      <vt:lpstr>'325'!OSRRefE21_6x_9</vt:lpstr>
      <vt:lpstr>'326'!OSRRefE21_6x_9</vt:lpstr>
      <vt:lpstr>'330'!OSRRefE21_6x_9</vt:lpstr>
      <vt:lpstr>'331'!OSRRefE21_6x_9</vt:lpstr>
      <vt:lpstr>'332'!OSRRefE21_6x_9</vt:lpstr>
      <vt:lpstr>'405'!OSRRefE21_6x_9</vt:lpstr>
      <vt:lpstr>'411'!OSRRefE21_6x_9</vt:lpstr>
      <vt:lpstr>'415'!OSRRefE21_6x_9</vt:lpstr>
      <vt:lpstr>'418'!OSRRefE21_6x_9</vt:lpstr>
      <vt:lpstr>'430'!OSRRefE21_6x_9</vt:lpstr>
      <vt:lpstr>'433'!OSRRefE21_6x_9</vt:lpstr>
      <vt:lpstr>'444'!OSRRefE21_6x_9</vt:lpstr>
      <vt:lpstr>'450'!OSRRefE21_6x_9</vt:lpstr>
      <vt:lpstr>'491'!OSRRefE21_6x_9</vt:lpstr>
      <vt:lpstr>'492'!OSRRefE21_6x_9</vt:lpstr>
      <vt:lpstr>'501'!OSRRefE21_6x_9</vt:lpstr>
      <vt:lpstr>'Div 2'!OSRRefE21_6x_9</vt:lpstr>
      <vt:lpstr>'Div 3'!OSRRefE21_6x_9</vt:lpstr>
      <vt:lpstr>'Div 4'!OSRRefE21_6x_9</vt:lpstr>
      <vt:lpstr>'Div 5'!OSRRefE21_6x_9</vt:lpstr>
      <vt:lpstr>'Div 6'!OSRRefE21_6x_9</vt:lpstr>
      <vt:lpstr>Summary!OSRRefE21_6x_9</vt:lpstr>
      <vt:lpstr>'201'!OSRRefE21_7_0x</vt:lpstr>
      <vt:lpstr>'202'!OSRRefE21_7_0x</vt:lpstr>
      <vt:lpstr>'203'!OSRRefE21_7_0x</vt:lpstr>
      <vt:lpstr>'204'!OSRRefE21_7_0x</vt:lpstr>
      <vt:lpstr>'205'!OSRRefE21_7_0x</vt:lpstr>
      <vt:lpstr>'300'!OSRRefE21_7_0x</vt:lpstr>
      <vt:lpstr>'300 &amp; 317'!OSRRefE21_7_0x</vt:lpstr>
      <vt:lpstr>'301'!OSRRefE21_7_0x</vt:lpstr>
      <vt:lpstr>'307'!OSRRefE21_7_0x</vt:lpstr>
      <vt:lpstr>'308'!OSRRefE21_7_0x</vt:lpstr>
      <vt:lpstr>'310'!OSRRefE21_7_0x</vt:lpstr>
      <vt:lpstr>'310 &amp; 491'!OSRRefE21_7_0x</vt:lpstr>
      <vt:lpstr>'311'!OSRRefE21_7_0x</vt:lpstr>
      <vt:lpstr>'315'!OSRRefE21_7_0x</vt:lpstr>
      <vt:lpstr>'316'!OSRRefE21_7_0x</vt:lpstr>
      <vt:lpstr>'317'!OSRRefE21_7_0x</vt:lpstr>
      <vt:lpstr>'321'!OSRRefE21_7_0x</vt:lpstr>
      <vt:lpstr>'325'!OSRRefE21_7_0x</vt:lpstr>
      <vt:lpstr>'326'!OSRRefE21_7_0x</vt:lpstr>
      <vt:lpstr>'330'!OSRRefE21_7_0x</vt:lpstr>
      <vt:lpstr>'331'!OSRRefE21_7_0x</vt:lpstr>
      <vt:lpstr>'332'!OSRRefE21_7_0x</vt:lpstr>
      <vt:lpstr>'405'!OSRRefE21_7_0x</vt:lpstr>
      <vt:lpstr>'411'!OSRRefE21_7_0x</vt:lpstr>
      <vt:lpstr>'415'!OSRRefE21_7_0x</vt:lpstr>
      <vt:lpstr>'418'!OSRRefE21_7_0x</vt:lpstr>
      <vt:lpstr>'433'!OSRRefE21_7_0x</vt:lpstr>
      <vt:lpstr>'444'!OSRRefE21_7_0x</vt:lpstr>
      <vt:lpstr>'450'!OSRRefE21_7_0x</vt:lpstr>
      <vt:lpstr>'491'!OSRRefE21_7_0x</vt:lpstr>
      <vt:lpstr>'492'!OSRRefE21_7_0x</vt:lpstr>
      <vt:lpstr>'501'!OSRRefE21_7_0x</vt:lpstr>
      <vt:lpstr>'Div 2'!OSRRefE21_7_0x</vt:lpstr>
      <vt:lpstr>'Div 3'!OSRRefE21_7_0x</vt:lpstr>
      <vt:lpstr>'Div 4'!OSRRefE21_7_0x</vt:lpstr>
      <vt:lpstr>'Div 5'!OSRRefE21_7_0x</vt:lpstr>
      <vt:lpstr>'Div 6'!OSRRefE21_7_0x</vt:lpstr>
      <vt:lpstr>Summary!OSRRefE21_7_0x</vt:lpstr>
      <vt:lpstr>'204'!OSRRefE21_7_1x</vt:lpstr>
      <vt:lpstr>'331'!OSRRefE21_7_1x</vt:lpstr>
      <vt:lpstr>'411'!OSRRefE21_7_1x</vt:lpstr>
      <vt:lpstr>'418'!OSRRefE21_7_1x</vt:lpstr>
      <vt:lpstr>'411'!OSRRefE21_7_2x</vt:lpstr>
      <vt:lpstr>'201'!OSRRefE21_7x_0</vt:lpstr>
      <vt:lpstr>'202'!OSRRefE21_7x_0</vt:lpstr>
      <vt:lpstr>'203'!OSRRefE21_7x_0</vt:lpstr>
      <vt:lpstr>'204'!OSRRefE21_7x_0</vt:lpstr>
      <vt:lpstr>'205'!OSRRefE21_7x_0</vt:lpstr>
      <vt:lpstr>'300'!OSRRefE21_7x_0</vt:lpstr>
      <vt:lpstr>'300 &amp; 317'!OSRRefE21_7x_0</vt:lpstr>
      <vt:lpstr>'301'!OSRRefE21_7x_0</vt:lpstr>
      <vt:lpstr>'307'!OSRRefE21_7x_0</vt:lpstr>
      <vt:lpstr>'308'!OSRRefE21_7x_0</vt:lpstr>
      <vt:lpstr>'310'!OSRRefE21_7x_0</vt:lpstr>
      <vt:lpstr>'310 &amp; 491'!OSRRefE21_7x_0</vt:lpstr>
      <vt:lpstr>'311'!OSRRefE21_7x_0</vt:lpstr>
      <vt:lpstr>'315'!OSRRefE21_7x_0</vt:lpstr>
      <vt:lpstr>'316'!OSRRefE21_7x_0</vt:lpstr>
      <vt:lpstr>'317'!OSRRefE21_7x_0</vt:lpstr>
      <vt:lpstr>'321'!OSRRefE21_7x_0</vt:lpstr>
      <vt:lpstr>'325'!OSRRefE21_7x_0</vt:lpstr>
      <vt:lpstr>'326'!OSRRefE21_7x_0</vt:lpstr>
      <vt:lpstr>'330'!OSRRefE21_7x_0</vt:lpstr>
      <vt:lpstr>'331'!OSRRefE21_7x_0</vt:lpstr>
      <vt:lpstr>'332'!OSRRefE21_7x_0</vt:lpstr>
      <vt:lpstr>'405'!OSRRefE21_7x_0</vt:lpstr>
      <vt:lpstr>'411'!OSRRefE21_7x_0</vt:lpstr>
      <vt:lpstr>'415'!OSRRefE21_7x_0</vt:lpstr>
      <vt:lpstr>'418'!OSRRefE21_7x_0</vt:lpstr>
      <vt:lpstr>'433'!OSRRefE21_7x_0</vt:lpstr>
      <vt:lpstr>'444'!OSRRefE21_7x_0</vt:lpstr>
      <vt:lpstr>'450'!OSRRefE21_7x_0</vt:lpstr>
      <vt:lpstr>'491'!OSRRefE21_7x_0</vt:lpstr>
      <vt:lpstr>'492'!OSRRefE21_7x_0</vt:lpstr>
      <vt:lpstr>'501'!OSRRefE21_7x_0</vt:lpstr>
      <vt:lpstr>'Div 2'!OSRRefE21_7x_0</vt:lpstr>
      <vt:lpstr>'Div 3'!OSRRefE21_7x_0</vt:lpstr>
      <vt:lpstr>'Div 4'!OSRRefE21_7x_0</vt:lpstr>
      <vt:lpstr>'Div 5'!OSRRefE21_7x_0</vt:lpstr>
      <vt:lpstr>'Div 6'!OSRRefE21_7x_0</vt:lpstr>
      <vt:lpstr>Summary!OSRRefE21_7x_0</vt:lpstr>
      <vt:lpstr>'201'!OSRRefE21_7x_1</vt:lpstr>
      <vt:lpstr>'202'!OSRRefE21_7x_1</vt:lpstr>
      <vt:lpstr>'203'!OSRRefE21_7x_1</vt:lpstr>
      <vt:lpstr>'204'!OSRRefE21_7x_1</vt:lpstr>
      <vt:lpstr>'205'!OSRRefE21_7x_1</vt:lpstr>
      <vt:lpstr>'300'!OSRRefE21_7x_1</vt:lpstr>
      <vt:lpstr>'300 &amp; 317'!OSRRefE21_7x_1</vt:lpstr>
      <vt:lpstr>'301'!OSRRefE21_7x_1</vt:lpstr>
      <vt:lpstr>'307'!OSRRefE21_7x_1</vt:lpstr>
      <vt:lpstr>'308'!OSRRefE21_7x_1</vt:lpstr>
      <vt:lpstr>'310'!OSRRefE21_7x_1</vt:lpstr>
      <vt:lpstr>'310 &amp; 491'!OSRRefE21_7x_1</vt:lpstr>
      <vt:lpstr>'311'!OSRRefE21_7x_1</vt:lpstr>
      <vt:lpstr>'315'!OSRRefE21_7x_1</vt:lpstr>
      <vt:lpstr>'316'!OSRRefE21_7x_1</vt:lpstr>
      <vt:lpstr>'317'!OSRRefE21_7x_1</vt:lpstr>
      <vt:lpstr>'321'!OSRRefE21_7x_1</vt:lpstr>
      <vt:lpstr>'325'!OSRRefE21_7x_1</vt:lpstr>
      <vt:lpstr>'326'!OSRRefE21_7x_1</vt:lpstr>
      <vt:lpstr>'330'!OSRRefE21_7x_1</vt:lpstr>
      <vt:lpstr>'331'!OSRRefE21_7x_1</vt:lpstr>
      <vt:lpstr>'332'!OSRRefE21_7x_1</vt:lpstr>
      <vt:lpstr>'405'!OSRRefE21_7x_1</vt:lpstr>
      <vt:lpstr>'411'!OSRRefE21_7x_1</vt:lpstr>
      <vt:lpstr>'415'!OSRRefE21_7x_1</vt:lpstr>
      <vt:lpstr>'418'!OSRRefE21_7x_1</vt:lpstr>
      <vt:lpstr>'433'!OSRRefE21_7x_1</vt:lpstr>
      <vt:lpstr>'444'!OSRRefE21_7x_1</vt:lpstr>
      <vt:lpstr>'450'!OSRRefE21_7x_1</vt:lpstr>
      <vt:lpstr>'491'!OSRRefE21_7x_1</vt:lpstr>
      <vt:lpstr>'492'!OSRRefE21_7x_1</vt:lpstr>
      <vt:lpstr>'501'!OSRRefE21_7x_1</vt:lpstr>
      <vt:lpstr>'Div 2'!OSRRefE21_7x_1</vt:lpstr>
      <vt:lpstr>'Div 3'!OSRRefE21_7x_1</vt:lpstr>
      <vt:lpstr>'Div 4'!OSRRefE21_7x_1</vt:lpstr>
      <vt:lpstr>'Div 5'!OSRRefE21_7x_1</vt:lpstr>
      <vt:lpstr>'Div 6'!OSRRefE21_7x_1</vt:lpstr>
      <vt:lpstr>Summary!OSRRefE21_7x_1</vt:lpstr>
      <vt:lpstr>'201'!OSRRefE21_7x_10</vt:lpstr>
      <vt:lpstr>'202'!OSRRefE21_7x_10</vt:lpstr>
      <vt:lpstr>'203'!OSRRefE21_7x_10</vt:lpstr>
      <vt:lpstr>'204'!OSRRefE21_7x_10</vt:lpstr>
      <vt:lpstr>'205'!OSRRefE21_7x_10</vt:lpstr>
      <vt:lpstr>'300'!OSRRefE21_7x_10</vt:lpstr>
      <vt:lpstr>'300 &amp; 317'!OSRRefE21_7x_10</vt:lpstr>
      <vt:lpstr>'301'!OSRRefE21_7x_10</vt:lpstr>
      <vt:lpstr>'307'!OSRRefE21_7x_10</vt:lpstr>
      <vt:lpstr>'308'!OSRRefE21_7x_10</vt:lpstr>
      <vt:lpstr>'310'!OSRRefE21_7x_10</vt:lpstr>
      <vt:lpstr>'310 &amp; 491'!OSRRefE21_7x_10</vt:lpstr>
      <vt:lpstr>'311'!OSRRefE21_7x_10</vt:lpstr>
      <vt:lpstr>'315'!OSRRefE21_7x_10</vt:lpstr>
      <vt:lpstr>'316'!OSRRefE21_7x_10</vt:lpstr>
      <vt:lpstr>'317'!OSRRefE21_7x_10</vt:lpstr>
      <vt:lpstr>'321'!OSRRefE21_7x_10</vt:lpstr>
      <vt:lpstr>'325'!OSRRefE21_7x_10</vt:lpstr>
      <vt:lpstr>'326'!OSRRefE21_7x_10</vt:lpstr>
      <vt:lpstr>'330'!OSRRefE21_7x_10</vt:lpstr>
      <vt:lpstr>'331'!OSRRefE21_7x_10</vt:lpstr>
      <vt:lpstr>'332'!OSRRefE21_7x_10</vt:lpstr>
      <vt:lpstr>'405'!OSRRefE21_7x_10</vt:lpstr>
      <vt:lpstr>'411'!OSRRefE21_7x_10</vt:lpstr>
      <vt:lpstr>'415'!OSRRefE21_7x_10</vt:lpstr>
      <vt:lpstr>'418'!OSRRefE21_7x_10</vt:lpstr>
      <vt:lpstr>'433'!OSRRefE21_7x_10</vt:lpstr>
      <vt:lpstr>'444'!OSRRefE21_7x_10</vt:lpstr>
      <vt:lpstr>'450'!OSRRefE21_7x_10</vt:lpstr>
      <vt:lpstr>'491'!OSRRefE21_7x_10</vt:lpstr>
      <vt:lpstr>'492'!OSRRefE21_7x_10</vt:lpstr>
      <vt:lpstr>'501'!OSRRefE21_7x_10</vt:lpstr>
      <vt:lpstr>'Div 2'!OSRRefE21_7x_10</vt:lpstr>
      <vt:lpstr>'Div 3'!OSRRefE21_7x_10</vt:lpstr>
      <vt:lpstr>'Div 4'!OSRRefE21_7x_10</vt:lpstr>
      <vt:lpstr>'Div 5'!OSRRefE21_7x_10</vt:lpstr>
      <vt:lpstr>'Div 6'!OSRRefE21_7x_10</vt:lpstr>
      <vt:lpstr>Summary!OSRRefE21_7x_10</vt:lpstr>
      <vt:lpstr>'201'!OSRRefE21_7x_2</vt:lpstr>
      <vt:lpstr>'202'!OSRRefE21_7x_2</vt:lpstr>
      <vt:lpstr>'203'!OSRRefE21_7x_2</vt:lpstr>
      <vt:lpstr>'204'!OSRRefE21_7x_2</vt:lpstr>
      <vt:lpstr>'205'!OSRRefE21_7x_2</vt:lpstr>
      <vt:lpstr>'300'!OSRRefE21_7x_2</vt:lpstr>
      <vt:lpstr>'300 &amp; 317'!OSRRefE21_7x_2</vt:lpstr>
      <vt:lpstr>'301'!OSRRefE21_7x_2</vt:lpstr>
      <vt:lpstr>'307'!OSRRefE21_7x_2</vt:lpstr>
      <vt:lpstr>'308'!OSRRefE21_7x_2</vt:lpstr>
      <vt:lpstr>'310'!OSRRefE21_7x_2</vt:lpstr>
      <vt:lpstr>'310 &amp; 491'!OSRRefE21_7x_2</vt:lpstr>
      <vt:lpstr>'311'!OSRRefE21_7x_2</vt:lpstr>
      <vt:lpstr>'315'!OSRRefE21_7x_2</vt:lpstr>
      <vt:lpstr>'316'!OSRRefE21_7x_2</vt:lpstr>
      <vt:lpstr>'317'!OSRRefE21_7x_2</vt:lpstr>
      <vt:lpstr>'321'!OSRRefE21_7x_2</vt:lpstr>
      <vt:lpstr>'325'!OSRRefE21_7x_2</vt:lpstr>
      <vt:lpstr>'326'!OSRRefE21_7x_2</vt:lpstr>
      <vt:lpstr>'330'!OSRRefE21_7x_2</vt:lpstr>
      <vt:lpstr>'331'!OSRRefE21_7x_2</vt:lpstr>
      <vt:lpstr>'332'!OSRRefE21_7x_2</vt:lpstr>
      <vt:lpstr>'405'!OSRRefE21_7x_2</vt:lpstr>
      <vt:lpstr>'411'!OSRRefE21_7x_2</vt:lpstr>
      <vt:lpstr>'415'!OSRRefE21_7x_2</vt:lpstr>
      <vt:lpstr>'418'!OSRRefE21_7x_2</vt:lpstr>
      <vt:lpstr>'433'!OSRRefE21_7x_2</vt:lpstr>
      <vt:lpstr>'444'!OSRRefE21_7x_2</vt:lpstr>
      <vt:lpstr>'450'!OSRRefE21_7x_2</vt:lpstr>
      <vt:lpstr>'491'!OSRRefE21_7x_2</vt:lpstr>
      <vt:lpstr>'492'!OSRRefE21_7x_2</vt:lpstr>
      <vt:lpstr>'501'!OSRRefE21_7x_2</vt:lpstr>
      <vt:lpstr>'Div 2'!OSRRefE21_7x_2</vt:lpstr>
      <vt:lpstr>'Div 3'!OSRRefE21_7x_2</vt:lpstr>
      <vt:lpstr>'Div 4'!OSRRefE21_7x_2</vt:lpstr>
      <vt:lpstr>'Div 5'!OSRRefE21_7x_2</vt:lpstr>
      <vt:lpstr>'Div 6'!OSRRefE21_7x_2</vt:lpstr>
      <vt:lpstr>Summary!OSRRefE21_7x_2</vt:lpstr>
      <vt:lpstr>'201'!OSRRefE21_7x_3</vt:lpstr>
      <vt:lpstr>'202'!OSRRefE21_7x_3</vt:lpstr>
      <vt:lpstr>'203'!OSRRefE21_7x_3</vt:lpstr>
      <vt:lpstr>'204'!OSRRefE21_7x_3</vt:lpstr>
      <vt:lpstr>'205'!OSRRefE21_7x_3</vt:lpstr>
      <vt:lpstr>'300'!OSRRefE21_7x_3</vt:lpstr>
      <vt:lpstr>'300 &amp; 317'!OSRRefE21_7x_3</vt:lpstr>
      <vt:lpstr>'301'!OSRRefE21_7x_3</vt:lpstr>
      <vt:lpstr>'307'!OSRRefE21_7x_3</vt:lpstr>
      <vt:lpstr>'308'!OSRRefE21_7x_3</vt:lpstr>
      <vt:lpstr>'310'!OSRRefE21_7x_3</vt:lpstr>
      <vt:lpstr>'310 &amp; 491'!OSRRefE21_7x_3</vt:lpstr>
      <vt:lpstr>'311'!OSRRefE21_7x_3</vt:lpstr>
      <vt:lpstr>'315'!OSRRefE21_7x_3</vt:lpstr>
      <vt:lpstr>'316'!OSRRefE21_7x_3</vt:lpstr>
      <vt:lpstr>'317'!OSRRefE21_7x_3</vt:lpstr>
      <vt:lpstr>'321'!OSRRefE21_7x_3</vt:lpstr>
      <vt:lpstr>'325'!OSRRefE21_7x_3</vt:lpstr>
      <vt:lpstr>'326'!OSRRefE21_7x_3</vt:lpstr>
      <vt:lpstr>'330'!OSRRefE21_7x_3</vt:lpstr>
      <vt:lpstr>'331'!OSRRefE21_7x_3</vt:lpstr>
      <vt:lpstr>'332'!OSRRefE21_7x_3</vt:lpstr>
      <vt:lpstr>'405'!OSRRefE21_7x_3</vt:lpstr>
      <vt:lpstr>'411'!OSRRefE21_7x_3</vt:lpstr>
      <vt:lpstr>'415'!OSRRefE21_7x_3</vt:lpstr>
      <vt:lpstr>'418'!OSRRefE21_7x_3</vt:lpstr>
      <vt:lpstr>'433'!OSRRefE21_7x_3</vt:lpstr>
      <vt:lpstr>'444'!OSRRefE21_7x_3</vt:lpstr>
      <vt:lpstr>'450'!OSRRefE21_7x_3</vt:lpstr>
      <vt:lpstr>'491'!OSRRefE21_7x_3</vt:lpstr>
      <vt:lpstr>'492'!OSRRefE21_7x_3</vt:lpstr>
      <vt:lpstr>'501'!OSRRefE21_7x_3</vt:lpstr>
      <vt:lpstr>'Div 2'!OSRRefE21_7x_3</vt:lpstr>
      <vt:lpstr>'Div 3'!OSRRefE21_7x_3</vt:lpstr>
      <vt:lpstr>'Div 4'!OSRRefE21_7x_3</vt:lpstr>
      <vt:lpstr>'Div 5'!OSRRefE21_7x_3</vt:lpstr>
      <vt:lpstr>'Div 6'!OSRRefE21_7x_3</vt:lpstr>
      <vt:lpstr>Summary!OSRRefE21_7x_3</vt:lpstr>
      <vt:lpstr>'201'!OSRRefE21_7x_4</vt:lpstr>
      <vt:lpstr>'202'!OSRRefE21_7x_4</vt:lpstr>
      <vt:lpstr>'203'!OSRRefE21_7x_4</vt:lpstr>
      <vt:lpstr>'204'!OSRRefE21_7x_4</vt:lpstr>
      <vt:lpstr>'205'!OSRRefE21_7x_4</vt:lpstr>
      <vt:lpstr>'300'!OSRRefE21_7x_4</vt:lpstr>
      <vt:lpstr>'300 &amp; 317'!OSRRefE21_7x_4</vt:lpstr>
      <vt:lpstr>'301'!OSRRefE21_7x_4</vt:lpstr>
      <vt:lpstr>'307'!OSRRefE21_7x_4</vt:lpstr>
      <vt:lpstr>'308'!OSRRefE21_7x_4</vt:lpstr>
      <vt:lpstr>'310'!OSRRefE21_7x_4</vt:lpstr>
      <vt:lpstr>'310 &amp; 491'!OSRRefE21_7x_4</vt:lpstr>
      <vt:lpstr>'311'!OSRRefE21_7x_4</vt:lpstr>
      <vt:lpstr>'315'!OSRRefE21_7x_4</vt:lpstr>
      <vt:lpstr>'316'!OSRRefE21_7x_4</vt:lpstr>
      <vt:lpstr>'317'!OSRRefE21_7x_4</vt:lpstr>
      <vt:lpstr>'321'!OSRRefE21_7x_4</vt:lpstr>
      <vt:lpstr>'325'!OSRRefE21_7x_4</vt:lpstr>
      <vt:lpstr>'326'!OSRRefE21_7x_4</vt:lpstr>
      <vt:lpstr>'330'!OSRRefE21_7x_4</vt:lpstr>
      <vt:lpstr>'331'!OSRRefE21_7x_4</vt:lpstr>
      <vt:lpstr>'332'!OSRRefE21_7x_4</vt:lpstr>
      <vt:lpstr>'405'!OSRRefE21_7x_4</vt:lpstr>
      <vt:lpstr>'411'!OSRRefE21_7x_4</vt:lpstr>
      <vt:lpstr>'415'!OSRRefE21_7x_4</vt:lpstr>
      <vt:lpstr>'418'!OSRRefE21_7x_4</vt:lpstr>
      <vt:lpstr>'433'!OSRRefE21_7x_4</vt:lpstr>
      <vt:lpstr>'444'!OSRRefE21_7x_4</vt:lpstr>
      <vt:lpstr>'450'!OSRRefE21_7x_4</vt:lpstr>
      <vt:lpstr>'491'!OSRRefE21_7x_4</vt:lpstr>
      <vt:lpstr>'492'!OSRRefE21_7x_4</vt:lpstr>
      <vt:lpstr>'501'!OSRRefE21_7x_4</vt:lpstr>
      <vt:lpstr>'Div 2'!OSRRefE21_7x_4</vt:lpstr>
      <vt:lpstr>'Div 3'!OSRRefE21_7x_4</vt:lpstr>
      <vt:lpstr>'Div 4'!OSRRefE21_7x_4</vt:lpstr>
      <vt:lpstr>'Div 5'!OSRRefE21_7x_4</vt:lpstr>
      <vt:lpstr>'Div 6'!OSRRefE21_7x_4</vt:lpstr>
      <vt:lpstr>Summary!OSRRefE21_7x_4</vt:lpstr>
      <vt:lpstr>'201'!OSRRefE21_7x_5</vt:lpstr>
      <vt:lpstr>'202'!OSRRefE21_7x_5</vt:lpstr>
      <vt:lpstr>'203'!OSRRefE21_7x_5</vt:lpstr>
      <vt:lpstr>'204'!OSRRefE21_7x_5</vt:lpstr>
      <vt:lpstr>'205'!OSRRefE21_7x_5</vt:lpstr>
      <vt:lpstr>'300'!OSRRefE21_7x_5</vt:lpstr>
      <vt:lpstr>'300 &amp; 317'!OSRRefE21_7x_5</vt:lpstr>
      <vt:lpstr>'301'!OSRRefE21_7x_5</vt:lpstr>
      <vt:lpstr>'307'!OSRRefE21_7x_5</vt:lpstr>
      <vt:lpstr>'308'!OSRRefE21_7x_5</vt:lpstr>
      <vt:lpstr>'310'!OSRRefE21_7x_5</vt:lpstr>
      <vt:lpstr>'310 &amp; 491'!OSRRefE21_7x_5</vt:lpstr>
      <vt:lpstr>'311'!OSRRefE21_7x_5</vt:lpstr>
      <vt:lpstr>'315'!OSRRefE21_7x_5</vt:lpstr>
      <vt:lpstr>'316'!OSRRefE21_7x_5</vt:lpstr>
      <vt:lpstr>'317'!OSRRefE21_7x_5</vt:lpstr>
      <vt:lpstr>'321'!OSRRefE21_7x_5</vt:lpstr>
      <vt:lpstr>'325'!OSRRefE21_7x_5</vt:lpstr>
      <vt:lpstr>'326'!OSRRefE21_7x_5</vt:lpstr>
      <vt:lpstr>'330'!OSRRefE21_7x_5</vt:lpstr>
      <vt:lpstr>'331'!OSRRefE21_7x_5</vt:lpstr>
      <vt:lpstr>'332'!OSRRefE21_7x_5</vt:lpstr>
      <vt:lpstr>'405'!OSRRefE21_7x_5</vt:lpstr>
      <vt:lpstr>'411'!OSRRefE21_7x_5</vt:lpstr>
      <vt:lpstr>'415'!OSRRefE21_7x_5</vt:lpstr>
      <vt:lpstr>'418'!OSRRefE21_7x_5</vt:lpstr>
      <vt:lpstr>'433'!OSRRefE21_7x_5</vt:lpstr>
      <vt:lpstr>'444'!OSRRefE21_7x_5</vt:lpstr>
      <vt:lpstr>'450'!OSRRefE21_7x_5</vt:lpstr>
      <vt:lpstr>'491'!OSRRefE21_7x_5</vt:lpstr>
      <vt:lpstr>'492'!OSRRefE21_7x_5</vt:lpstr>
      <vt:lpstr>'501'!OSRRefE21_7x_5</vt:lpstr>
      <vt:lpstr>'Div 2'!OSRRefE21_7x_5</vt:lpstr>
      <vt:lpstr>'Div 3'!OSRRefE21_7x_5</vt:lpstr>
      <vt:lpstr>'Div 4'!OSRRefE21_7x_5</vt:lpstr>
      <vt:lpstr>'Div 5'!OSRRefE21_7x_5</vt:lpstr>
      <vt:lpstr>'Div 6'!OSRRefE21_7x_5</vt:lpstr>
      <vt:lpstr>Summary!OSRRefE21_7x_5</vt:lpstr>
      <vt:lpstr>'201'!OSRRefE21_7x_6</vt:lpstr>
      <vt:lpstr>'202'!OSRRefE21_7x_6</vt:lpstr>
      <vt:lpstr>'203'!OSRRefE21_7x_6</vt:lpstr>
      <vt:lpstr>'204'!OSRRefE21_7x_6</vt:lpstr>
      <vt:lpstr>'205'!OSRRefE21_7x_6</vt:lpstr>
      <vt:lpstr>'300'!OSRRefE21_7x_6</vt:lpstr>
      <vt:lpstr>'300 &amp; 317'!OSRRefE21_7x_6</vt:lpstr>
      <vt:lpstr>'301'!OSRRefE21_7x_6</vt:lpstr>
      <vt:lpstr>'307'!OSRRefE21_7x_6</vt:lpstr>
      <vt:lpstr>'308'!OSRRefE21_7x_6</vt:lpstr>
      <vt:lpstr>'310'!OSRRefE21_7x_6</vt:lpstr>
      <vt:lpstr>'310 &amp; 491'!OSRRefE21_7x_6</vt:lpstr>
      <vt:lpstr>'311'!OSRRefE21_7x_6</vt:lpstr>
      <vt:lpstr>'315'!OSRRefE21_7x_6</vt:lpstr>
      <vt:lpstr>'316'!OSRRefE21_7x_6</vt:lpstr>
      <vt:lpstr>'317'!OSRRefE21_7x_6</vt:lpstr>
      <vt:lpstr>'321'!OSRRefE21_7x_6</vt:lpstr>
      <vt:lpstr>'325'!OSRRefE21_7x_6</vt:lpstr>
      <vt:lpstr>'326'!OSRRefE21_7x_6</vt:lpstr>
      <vt:lpstr>'330'!OSRRefE21_7x_6</vt:lpstr>
      <vt:lpstr>'331'!OSRRefE21_7x_6</vt:lpstr>
      <vt:lpstr>'332'!OSRRefE21_7x_6</vt:lpstr>
      <vt:lpstr>'405'!OSRRefE21_7x_6</vt:lpstr>
      <vt:lpstr>'411'!OSRRefE21_7x_6</vt:lpstr>
      <vt:lpstr>'415'!OSRRefE21_7x_6</vt:lpstr>
      <vt:lpstr>'418'!OSRRefE21_7x_6</vt:lpstr>
      <vt:lpstr>'433'!OSRRefE21_7x_6</vt:lpstr>
      <vt:lpstr>'444'!OSRRefE21_7x_6</vt:lpstr>
      <vt:lpstr>'450'!OSRRefE21_7x_6</vt:lpstr>
      <vt:lpstr>'491'!OSRRefE21_7x_6</vt:lpstr>
      <vt:lpstr>'492'!OSRRefE21_7x_6</vt:lpstr>
      <vt:lpstr>'501'!OSRRefE21_7x_6</vt:lpstr>
      <vt:lpstr>'Div 2'!OSRRefE21_7x_6</vt:lpstr>
      <vt:lpstr>'Div 3'!OSRRefE21_7x_6</vt:lpstr>
      <vt:lpstr>'Div 4'!OSRRefE21_7x_6</vt:lpstr>
      <vt:lpstr>'Div 5'!OSRRefE21_7x_6</vt:lpstr>
      <vt:lpstr>'Div 6'!OSRRefE21_7x_6</vt:lpstr>
      <vt:lpstr>Summary!OSRRefE21_7x_6</vt:lpstr>
      <vt:lpstr>'201'!OSRRefE21_7x_7</vt:lpstr>
      <vt:lpstr>'202'!OSRRefE21_7x_7</vt:lpstr>
      <vt:lpstr>'203'!OSRRefE21_7x_7</vt:lpstr>
      <vt:lpstr>'204'!OSRRefE21_7x_7</vt:lpstr>
      <vt:lpstr>'205'!OSRRefE21_7x_7</vt:lpstr>
      <vt:lpstr>'300'!OSRRefE21_7x_7</vt:lpstr>
      <vt:lpstr>'300 &amp; 317'!OSRRefE21_7x_7</vt:lpstr>
      <vt:lpstr>'301'!OSRRefE21_7x_7</vt:lpstr>
      <vt:lpstr>'307'!OSRRefE21_7x_7</vt:lpstr>
      <vt:lpstr>'308'!OSRRefE21_7x_7</vt:lpstr>
      <vt:lpstr>'310'!OSRRefE21_7x_7</vt:lpstr>
      <vt:lpstr>'310 &amp; 491'!OSRRefE21_7x_7</vt:lpstr>
      <vt:lpstr>'311'!OSRRefE21_7x_7</vt:lpstr>
      <vt:lpstr>'315'!OSRRefE21_7x_7</vt:lpstr>
      <vt:lpstr>'316'!OSRRefE21_7x_7</vt:lpstr>
      <vt:lpstr>'317'!OSRRefE21_7x_7</vt:lpstr>
      <vt:lpstr>'321'!OSRRefE21_7x_7</vt:lpstr>
      <vt:lpstr>'325'!OSRRefE21_7x_7</vt:lpstr>
      <vt:lpstr>'326'!OSRRefE21_7x_7</vt:lpstr>
      <vt:lpstr>'330'!OSRRefE21_7x_7</vt:lpstr>
      <vt:lpstr>'331'!OSRRefE21_7x_7</vt:lpstr>
      <vt:lpstr>'332'!OSRRefE21_7x_7</vt:lpstr>
      <vt:lpstr>'405'!OSRRefE21_7x_7</vt:lpstr>
      <vt:lpstr>'411'!OSRRefE21_7x_7</vt:lpstr>
      <vt:lpstr>'415'!OSRRefE21_7x_7</vt:lpstr>
      <vt:lpstr>'418'!OSRRefE21_7x_7</vt:lpstr>
      <vt:lpstr>'433'!OSRRefE21_7x_7</vt:lpstr>
      <vt:lpstr>'444'!OSRRefE21_7x_7</vt:lpstr>
      <vt:lpstr>'450'!OSRRefE21_7x_7</vt:lpstr>
      <vt:lpstr>'491'!OSRRefE21_7x_7</vt:lpstr>
      <vt:lpstr>'492'!OSRRefE21_7x_7</vt:lpstr>
      <vt:lpstr>'501'!OSRRefE21_7x_7</vt:lpstr>
      <vt:lpstr>'Div 2'!OSRRefE21_7x_7</vt:lpstr>
      <vt:lpstr>'Div 3'!OSRRefE21_7x_7</vt:lpstr>
      <vt:lpstr>'Div 4'!OSRRefE21_7x_7</vt:lpstr>
      <vt:lpstr>'Div 5'!OSRRefE21_7x_7</vt:lpstr>
      <vt:lpstr>'Div 6'!OSRRefE21_7x_7</vt:lpstr>
      <vt:lpstr>Summary!OSRRefE21_7x_7</vt:lpstr>
      <vt:lpstr>'201'!OSRRefE21_7x_8</vt:lpstr>
      <vt:lpstr>'202'!OSRRefE21_7x_8</vt:lpstr>
      <vt:lpstr>'203'!OSRRefE21_7x_8</vt:lpstr>
      <vt:lpstr>'204'!OSRRefE21_7x_8</vt:lpstr>
      <vt:lpstr>'205'!OSRRefE21_7x_8</vt:lpstr>
      <vt:lpstr>'300'!OSRRefE21_7x_8</vt:lpstr>
      <vt:lpstr>'300 &amp; 317'!OSRRefE21_7x_8</vt:lpstr>
      <vt:lpstr>'301'!OSRRefE21_7x_8</vt:lpstr>
      <vt:lpstr>'307'!OSRRefE21_7x_8</vt:lpstr>
      <vt:lpstr>'308'!OSRRefE21_7x_8</vt:lpstr>
      <vt:lpstr>'310'!OSRRefE21_7x_8</vt:lpstr>
      <vt:lpstr>'310 &amp; 491'!OSRRefE21_7x_8</vt:lpstr>
      <vt:lpstr>'311'!OSRRefE21_7x_8</vt:lpstr>
      <vt:lpstr>'315'!OSRRefE21_7x_8</vt:lpstr>
      <vt:lpstr>'316'!OSRRefE21_7x_8</vt:lpstr>
      <vt:lpstr>'317'!OSRRefE21_7x_8</vt:lpstr>
      <vt:lpstr>'321'!OSRRefE21_7x_8</vt:lpstr>
      <vt:lpstr>'325'!OSRRefE21_7x_8</vt:lpstr>
      <vt:lpstr>'326'!OSRRefE21_7x_8</vt:lpstr>
      <vt:lpstr>'330'!OSRRefE21_7x_8</vt:lpstr>
      <vt:lpstr>'331'!OSRRefE21_7x_8</vt:lpstr>
      <vt:lpstr>'332'!OSRRefE21_7x_8</vt:lpstr>
      <vt:lpstr>'405'!OSRRefE21_7x_8</vt:lpstr>
      <vt:lpstr>'411'!OSRRefE21_7x_8</vt:lpstr>
      <vt:lpstr>'415'!OSRRefE21_7x_8</vt:lpstr>
      <vt:lpstr>'418'!OSRRefE21_7x_8</vt:lpstr>
      <vt:lpstr>'433'!OSRRefE21_7x_8</vt:lpstr>
      <vt:lpstr>'444'!OSRRefE21_7x_8</vt:lpstr>
      <vt:lpstr>'450'!OSRRefE21_7x_8</vt:lpstr>
      <vt:lpstr>'491'!OSRRefE21_7x_8</vt:lpstr>
      <vt:lpstr>'492'!OSRRefE21_7x_8</vt:lpstr>
      <vt:lpstr>'501'!OSRRefE21_7x_8</vt:lpstr>
      <vt:lpstr>'Div 2'!OSRRefE21_7x_8</vt:lpstr>
      <vt:lpstr>'Div 3'!OSRRefE21_7x_8</vt:lpstr>
      <vt:lpstr>'Div 4'!OSRRefE21_7x_8</vt:lpstr>
      <vt:lpstr>'Div 5'!OSRRefE21_7x_8</vt:lpstr>
      <vt:lpstr>'Div 6'!OSRRefE21_7x_8</vt:lpstr>
      <vt:lpstr>Summary!OSRRefE21_7x_8</vt:lpstr>
      <vt:lpstr>'201'!OSRRefE21_7x_9</vt:lpstr>
      <vt:lpstr>'202'!OSRRefE21_7x_9</vt:lpstr>
      <vt:lpstr>'203'!OSRRefE21_7x_9</vt:lpstr>
      <vt:lpstr>'204'!OSRRefE21_7x_9</vt:lpstr>
      <vt:lpstr>'205'!OSRRefE21_7x_9</vt:lpstr>
      <vt:lpstr>'300'!OSRRefE21_7x_9</vt:lpstr>
      <vt:lpstr>'300 &amp; 317'!OSRRefE21_7x_9</vt:lpstr>
      <vt:lpstr>'301'!OSRRefE21_7x_9</vt:lpstr>
      <vt:lpstr>'307'!OSRRefE21_7x_9</vt:lpstr>
      <vt:lpstr>'308'!OSRRefE21_7x_9</vt:lpstr>
      <vt:lpstr>'310'!OSRRefE21_7x_9</vt:lpstr>
      <vt:lpstr>'310 &amp; 491'!OSRRefE21_7x_9</vt:lpstr>
      <vt:lpstr>'311'!OSRRefE21_7x_9</vt:lpstr>
      <vt:lpstr>'315'!OSRRefE21_7x_9</vt:lpstr>
      <vt:lpstr>'316'!OSRRefE21_7x_9</vt:lpstr>
      <vt:lpstr>'317'!OSRRefE21_7x_9</vt:lpstr>
      <vt:lpstr>'321'!OSRRefE21_7x_9</vt:lpstr>
      <vt:lpstr>'325'!OSRRefE21_7x_9</vt:lpstr>
      <vt:lpstr>'326'!OSRRefE21_7x_9</vt:lpstr>
      <vt:lpstr>'330'!OSRRefE21_7x_9</vt:lpstr>
      <vt:lpstr>'331'!OSRRefE21_7x_9</vt:lpstr>
      <vt:lpstr>'332'!OSRRefE21_7x_9</vt:lpstr>
      <vt:lpstr>'405'!OSRRefE21_7x_9</vt:lpstr>
      <vt:lpstr>'411'!OSRRefE21_7x_9</vt:lpstr>
      <vt:lpstr>'415'!OSRRefE21_7x_9</vt:lpstr>
      <vt:lpstr>'418'!OSRRefE21_7x_9</vt:lpstr>
      <vt:lpstr>'433'!OSRRefE21_7x_9</vt:lpstr>
      <vt:lpstr>'444'!OSRRefE21_7x_9</vt:lpstr>
      <vt:lpstr>'450'!OSRRefE21_7x_9</vt:lpstr>
      <vt:lpstr>'491'!OSRRefE21_7x_9</vt:lpstr>
      <vt:lpstr>'492'!OSRRefE21_7x_9</vt:lpstr>
      <vt:lpstr>'501'!OSRRefE21_7x_9</vt:lpstr>
      <vt:lpstr>'Div 2'!OSRRefE21_7x_9</vt:lpstr>
      <vt:lpstr>'Div 3'!OSRRefE21_7x_9</vt:lpstr>
      <vt:lpstr>'Div 4'!OSRRefE21_7x_9</vt:lpstr>
      <vt:lpstr>'Div 5'!OSRRefE21_7x_9</vt:lpstr>
      <vt:lpstr>'Div 6'!OSRRefE21_7x_9</vt:lpstr>
      <vt:lpstr>Summary!OSRRefE21_7x_9</vt:lpstr>
      <vt:lpstr>'201'!OSRRefE21_8_0x</vt:lpstr>
      <vt:lpstr>'202'!OSRRefE21_8_0x</vt:lpstr>
      <vt:lpstr>'203'!OSRRefE21_8_0x</vt:lpstr>
      <vt:lpstr>'204'!OSRRefE21_8_0x</vt:lpstr>
      <vt:lpstr>'300'!OSRRefE21_8_0x</vt:lpstr>
      <vt:lpstr>'300 &amp; 317'!OSRRefE21_8_0x</vt:lpstr>
      <vt:lpstr>'301'!OSRRefE21_8_0x</vt:lpstr>
      <vt:lpstr>'307'!OSRRefE21_8_0x</vt:lpstr>
      <vt:lpstr>'308'!OSRRefE21_8_0x</vt:lpstr>
      <vt:lpstr>'310'!OSRRefE21_8_0x</vt:lpstr>
      <vt:lpstr>'310 &amp; 491'!OSRRefE21_8_0x</vt:lpstr>
      <vt:lpstr>'311'!OSRRefE21_8_0x</vt:lpstr>
      <vt:lpstr>'315'!OSRRefE21_8_0x</vt:lpstr>
      <vt:lpstr>'316'!OSRRefE21_8_0x</vt:lpstr>
      <vt:lpstr>'317'!OSRRefE21_8_0x</vt:lpstr>
      <vt:lpstr>'321'!OSRRefE21_8_0x</vt:lpstr>
      <vt:lpstr>'325'!OSRRefE21_8_0x</vt:lpstr>
      <vt:lpstr>'326'!OSRRefE21_8_0x</vt:lpstr>
      <vt:lpstr>'330'!OSRRefE21_8_0x</vt:lpstr>
      <vt:lpstr>'331'!OSRRefE21_8_0x</vt:lpstr>
      <vt:lpstr>'332'!OSRRefE21_8_0x</vt:lpstr>
      <vt:lpstr>'405'!OSRRefE21_8_0x</vt:lpstr>
      <vt:lpstr>'411'!OSRRefE21_8_0x</vt:lpstr>
      <vt:lpstr>'415'!OSRRefE21_8_0x</vt:lpstr>
      <vt:lpstr>'418'!OSRRefE21_8_0x</vt:lpstr>
      <vt:lpstr>'433'!OSRRefE21_8_0x</vt:lpstr>
      <vt:lpstr>'444'!OSRRefE21_8_0x</vt:lpstr>
      <vt:lpstr>'450'!OSRRefE21_8_0x</vt:lpstr>
      <vt:lpstr>'491'!OSRRefE21_8_0x</vt:lpstr>
      <vt:lpstr>'492'!OSRRefE21_8_0x</vt:lpstr>
      <vt:lpstr>'501'!OSRRefE21_8_0x</vt:lpstr>
      <vt:lpstr>'Div 2'!OSRRefE21_8_0x</vt:lpstr>
      <vt:lpstr>'Div 3'!OSRRefE21_8_0x</vt:lpstr>
      <vt:lpstr>'Div 4'!OSRRefE21_8_0x</vt:lpstr>
      <vt:lpstr>'Div 5'!OSRRefE21_8_0x</vt:lpstr>
      <vt:lpstr>'Div 6'!OSRRefE21_8_0x</vt:lpstr>
      <vt:lpstr>Summary!OSRRefE21_8_0x</vt:lpstr>
      <vt:lpstr>'203'!OSRRefE21_8_1x</vt:lpstr>
      <vt:lpstr>'307'!OSRRefE21_8_1x</vt:lpstr>
      <vt:lpstr>'308'!OSRRefE21_8_1x</vt:lpstr>
      <vt:lpstr>'310 &amp; 491'!OSRRefE21_8_1x</vt:lpstr>
      <vt:lpstr>'311'!OSRRefE21_8_1x</vt:lpstr>
      <vt:lpstr>'316'!OSRRefE21_8_1x</vt:lpstr>
      <vt:lpstr>'317'!OSRRefE21_8_1x</vt:lpstr>
      <vt:lpstr>'330'!OSRRefE21_8_1x</vt:lpstr>
      <vt:lpstr>'332'!OSRRefE21_8_1x</vt:lpstr>
      <vt:lpstr>'405'!OSRRefE21_8_1x</vt:lpstr>
      <vt:lpstr>'411'!OSRRefE21_8_1x</vt:lpstr>
      <vt:lpstr>'418'!OSRRefE21_8_1x</vt:lpstr>
      <vt:lpstr>'491'!OSRRefE21_8_1x</vt:lpstr>
      <vt:lpstr>'Div 6'!OSRRefE21_8_1x</vt:lpstr>
      <vt:lpstr>'203'!OSRRefE21_8_2x</vt:lpstr>
      <vt:lpstr>'307'!OSRRefE21_8_2x</vt:lpstr>
      <vt:lpstr>'308'!OSRRefE21_8_2x</vt:lpstr>
      <vt:lpstr>'311'!OSRRefE21_8_2x</vt:lpstr>
      <vt:lpstr>'316'!OSRRefE21_8_2x</vt:lpstr>
      <vt:lpstr>'330'!OSRRefE21_8_2x</vt:lpstr>
      <vt:lpstr>'332'!OSRRefE21_8_2x</vt:lpstr>
      <vt:lpstr>'316'!OSRRefE21_8_3x</vt:lpstr>
      <vt:lpstr>'332'!OSRRefE21_8_3x</vt:lpstr>
      <vt:lpstr>'201'!OSRRefE21_8x_0</vt:lpstr>
      <vt:lpstr>'202'!OSRRefE21_8x_0</vt:lpstr>
      <vt:lpstr>'203'!OSRRefE21_8x_0</vt:lpstr>
      <vt:lpstr>'204'!OSRRefE21_8x_0</vt:lpstr>
      <vt:lpstr>'300'!OSRRefE21_8x_0</vt:lpstr>
      <vt:lpstr>'300 &amp; 317'!OSRRefE21_8x_0</vt:lpstr>
      <vt:lpstr>'301'!OSRRefE21_8x_0</vt:lpstr>
      <vt:lpstr>'307'!OSRRefE21_8x_0</vt:lpstr>
      <vt:lpstr>'308'!OSRRefE21_8x_0</vt:lpstr>
      <vt:lpstr>'310'!OSRRefE21_8x_0</vt:lpstr>
      <vt:lpstr>'310 &amp; 491'!OSRRefE21_8x_0</vt:lpstr>
      <vt:lpstr>'311'!OSRRefE21_8x_0</vt:lpstr>
      <vt:lpstr>'315'!OSRRefE21_8x_0</vt:lpstr>
      <vt:lpstr>'316'!OSRRefE21_8x_0</vt:lpstr>
      <vt:lpstr>'317'!OSRRefE21_8x_0</vt:lpstr>
      <vt:lpstr>'321'!OSRRefE21_8x_0</vt:lpstr>
      <vt:lpstr>'325'!OSRRefE21_8x_0</vt:lpstr>
      <vt:lpstr>'326'!OSRRefE21_8x_0</vt:lpstr>
      <vt:lpstr>'330'!OSRRefE21_8x_0</vt:lpstr>
      <vt:lpstr>'331'!OSRRefE21_8x_0</vt:lpstr>
      <vt:lpstr>'332'!OSRRefE21_8x_0</vt:lpstr>
      <vt:lpstr>'405'!OSRRefE21_8x_0</vt:lpstr>
      <vt:lpstr>'411'!OSRRefE21_8x_0</vt:lpstr>
      <vt:lpstr>'415'!OSRRefE21_8x_0</vt:lpstr>
      <vt:lpstr>'418'!OSRRefE21_8x_0</vt:lpstr>
      <vt:lpstr>'433'!OSRRefE21_8x_0</vt:lpstr>
      <vt:lpstr>'444'!OSRRefE21_8x_0</vt:lpstr>
      <vt:lpstr>'450'!OSRRefE21_8x_0</vt:lpstr>
      <vt:lpstr>'491'!OSRRefE21_8x_0</vt:lpstr>
      <vt:lpstr>'492'!OSRRefE21_8x_0</vt:lpstr>
      <vt:lpstr>'501'!OSRRefE21_8x_0</vt:lpstr>
      <vt:lpstr>'Div 2'!OSRRefE21_8x_0</vt:lpstr>
      <vt:lpstr>'Div 3'!OSRRefE21_8x_0</vt:lpstr>
      <vt:lpstr>'Div 4'!OSRRefE21_8x_0</vt:lpstr>
      <vt:lpstr>'Div 5'!OSRRefE21_8x_0</vt:lpstr>
      <vt:lpstr>'Div 6'!OSRRefE21_8x_0</vt:lpstr>
      <vt:lpstr>Summary!OSRRefE21_8x_0</vt:lpstr>
      <vt:lpstr>'201'!OSRRefE21_8x_1</vt:lpstr>
      <vt:lpstr>'202'!OSRRefE21_8x_1</vt:lpstr>
      <vt:lpstr>'203'!OSRRefE21_8x_1</vt:lpstr>
      <vt:lpstr>'204'!OSRRefE21_8x_1</vt:lpstr>
      <vt:lpstr>'300'!OSRRefE21_8x_1</vt:lpstr>
      <vt:lpstr>'300 &amp; 317'!OSRRefE21_8x_1</vt:lpstr>
      <vt:lpstr>'301'!OSRRefE21_8x_1</vt:lpstr>
      <vt:lpstr>'307'!OSRRefE21_8x_1</vt:lpstr>
      <vt:lpstr>'308'!OSRRefE21_8x_1</vt:lpstr>
      <vt:lpstr>'310'!OSRRefE21_8x_1</vt:lpstr>
      <vt:lpstr>'310 &amp; 491'!OSRRefE21_8x_1</vt:lpstr>
      <vt:lpstr>'311'!OSRRefE21_8x_1</vt:lpstr>
      <vt:lpstr>'315'!OSRRefE21_8x_1</vt:lpstr>
      <vt:lpstr>'316'!OSRRefE21_8x_1</vt:lpstr>
      <vt:lpstr>'317'!OSRRefE21_8x_1</vt:lpstr>
      <vt:lpstr>'321'!OSRRefE21_8x_1</vt:lpstr>
      <vt:lpstr>'325'!OSRRefE21_8x_1</vt:lpstr>
      <vt:lpstr>'326'!OSRRefE21_8x_1</vt:lpstr>
      <vt:lpstr>'330'!OSRRefE21_8x_1</vt:lpstr>
      <vt:lpstr>'331'!OSRRefE21_8x_1</vt:lpstr>
      <vt:lpstr>'332'!OSRRefE21_8x_1</vt:lpstr>
      <vt:lpstr>'405'!OSRRefE21_8x_1</vt:lpstr>
      <vt:lpstr>'411'!OSRRefE21_8x_1</vt:lpstr>
      <vt:lpstr>'415'!OSRRefE21_8x_1</vt:lpstr>
      <vt:lpstr>'418'!OSRRefE21_8x_1</vt:lpstr>
      <vt:lpstr>'433'!OSRRefE21_8x_1</vt:lpstr>
      <vt:lpstr>'444'!OSRRefE21_8x_1</vt:lpstr>
      <vt:lpstr>'450'!OSRRefE21_8x_1</vt:lpstr>
      <vt:lpstr>'491'!OSRRefE21_8x_1</vt:lpstr>
      <vt:lpstr>'492'!OSRRefE21_8x_1</vt:lpstr>
      <vt:lpstr>'501'!OSRRefE21_8x_1</vt:lpstr>
      <vt:lpstr>'Div 2'!OSRRefE21_8x_1</vt:lpstr>
      <vt:lpstr>'Div 3'!OSRRefE21_8x_1</vt:lpstr>
      <vt:lpstr>'Div 4'!OSRRefE21_8x_1</vt:lpstr>
      <vt:lpstr>'Div 5'!OSRRefE21_8x_1</vt:lpstr>
      <vt:lpstr>'Div 6'!OSRRefE21_8x_1</vt:lpstr>
      <vt:lpstr>Summary!OSRRefE21_8x_1</vt:lpstr>
      <vt:lpstr>'201'!OSRRefE21_8x_10</vt:lpstr>
      <vt:lpstr>'202'!OSRRefE21_8x_10</vt:lpstr>
      <vt:lpstr>'203'!OSRRefE21_8x_10</vt:lpstr>
      <vt:lpstr>'204'!OSRRefE21_8x_10</vt:lpstr>
      <vt:lpstr>'300'!OSRRefE21_8x_10</vt:lpstr>
      <vt:lpstr>'300 &amp; 317'!OSRRefE21_8x_10</vt:lpstr>
      <vt:lpstr>'301'!OSRRefE21_8x_10</vt:lpstr>
      <vt:lpstr>'307'!OSRRefE21_8x_10</vt:lpstr>
      <vt:lpstr>'308'!OSRRefE21_8x_10</vt:lpstr>
      <vt:lpstr>'310'!OSRRefE21_8x_10</vt:lpstr>
      <vt:lpstr>'310 &amp; 491'!OSRRefE21_8x_10</vt:lpstr>
      <vt:lpstr>'311'!OSRRefE21_8x_10</vt:lpstr>
      <vt:lpstr>'315'!OSRRefE21_8x_10</vt:lpstr>
      <vt:lpstr>'316'!OSRRefE21_8x_10</vt:lpstr>
      <vt:lpstr>'317'!OSRRefE21_8x_10</vt:lpstr>
      <vt:lpstr>'321'!OSRRefE21_8x_10</vt:lpstr>
      <vt:lpstr>'325'!OSRRefE21_8x_10</vt:lpstr>
      <vt:lpstr>'326'!OSRRefE21_8x_10</vt:lpstr>
      <vt:lpstr>'330'!OSRRefE21_8x_10</vt:lpstr>
      <vt:lpstr>'331'!OSRRefE21_8x_10</vt:lpstr>
      <vt:lpstr>'332'!OSRRefE21_8x_10</vt:lpstr>
      <vt:lpstr>'405'!OSRRefE21_8x_10</vt:lpstr>
      <vt:lpstr>'411'!OSRRefE21_8x_10</vt:lpstr>
      <vt:lpstr>'415'!OSRRefE21_8x_10</vt:lpstr>
      <vt:lpstr>'418'!OSRRefE21_8x_10</vt:lpstr>
      <vt:lpstr>'433'!OSRRefE21_8x_10</vt:lpstr>
      <vt:lpstr>'444'!OSRRefE21_8x_10</vt:lpstr>
      <vt:lpstr>'450'!OSRRefE21_8x_10</vt:lpstr>
      <vt:lpstr>'491'!OSRRefE21_8x_10</vt:lpstr>
      <vt:lpstr>'492'!OSRRefE21_8x_10</vt:lpstr>
      <vt:lpstr>'501'!OSRRefE21_8x_10</vt:lpstr>
      <vt:lpstr>'Div 2'!OSRRefE21_8x_10</vt:lpstr>
      <vt:lpstr>'Div 3'!OSRRefE21_8x_10</vt:lpstr>
      <vt:lpstr>'Div 4'!OSRRefE21_8x_10</vt:lpstr>
      <vt:lpstr>'Div 5'!OSRRefE21_8x_10</vt:lpstr>
      <vt:lpstr>'Div 6'!OSRRefE21_8x_10</vt:lpstr>
      <vt:lpstr>Summary!OSRRefE21_8x_10</vt:lpstr>
      <vt:lpstr>'201'!OSRRefE21_8x_2</vt:lpstr>
      <vt:lpstr>'202'!OSRRefE21_8x_2</vt:lpstr>
      <vt:lpstr>'203'!OSRRefE21_8x_2</vt:lpstr>
      <vt:lpstr>'204'!OSRRefE21_8x_2</vt:lpstr>
      <vt:lpstr>'300'!OSRRefE21_8x_2</vt:lpstr>
      <vt:lpstr>'300 &amp; 317'!OSRRefE21_8x_2</vt:lpstr>
      <vt:lpstr>'301'!OSRRefE21_8x_2</vt:lpstr>
      <vt:lpstr>'307'!OSRRefE21_8x_2</vt:lpstr>
      <vt:lpstr>'308'!OSRRefE21_8x_2</vt:lpstr>
      <vt:lpstr>'310'!OSRRefE21_8x_2</vt:lpstr>
      <vt:lpstr>'310 &amp; 491'!OSRRefE21_8x_2</vt:lpstr>
      <vt:lpstr>'311'!OSRRefE21_8x_2</vt:lpstr>
      <vt:lpstr>'315'!OSRRefE21_8x_2</vt:lpstr>
      <vt:lpstr>'316'!OSRRefE21_8x_2</vt:lpstr>
      <vt:lpstr>'317'!OSRRefE21_8x_2</vt:lpstr>
      <vt:lpstr>'321'!OSRRefE21_8x_2</vt:lpstr>
      <vt:lpstr>'325'!OSRRefE21_8x_2</vt:lpstr>
      <vt:lpstr>'326'!OSRRefE21_8x_2</vt:lpstr>
      <vt:lpstr>'330'!OSRRefE21_8x_2</vt:lpstr>
      <vt:lpstr>'331'!OSRRefE21_8x_2</vt:lpstr>
      <vt:lpstr>'332'!OSRRefE21_8x_2</vt:lpstr>
      <vt:lpstr>'405'!OSRRefE21_8x_2</vt:lpstr>
      <vt:lpstr>'411'!OSRRefE21_8x_2</vt:lpstr>
      <vt:lpstr>'415'!OSRRefE21_8x_2</vt:lpstr>
      <vt:lpstr>'418'!OSRRefE21_8x_2</vt:lpstr>
      <vt:lpstr>'433'!OSRRefE21_8x_2</vt:lpstr>
      <vt:lpstr>'444'!OSRRefE21_8x_2</vt:lpstr>
      <vt:lpstr>'450'!OSRRefE21_8x_2</vt:lpstr>
      <vt:lpstr>'491'!OSRRefE21_8x_2</vt:lpstr>
      <vt:lpstr>'492'!OSRRefE21_8x_2</vt:lpstr>
      <vt:lpstr>'501'!OSRRefE21_8x_2</vt:lpstr>
      <vt:lpstr>'Div 2'!OSRRefE21_8x_2</vt:lpstr>
      <vt:lpstr>'Div 3'!OSRRefE21_8x_2</vt:lpstr>
      <vt:lpstr>'Div 4'!OSRRefE21_8x_2</vt:lpstr>
      <vt:lpstr>'Div 5'!OSRRefE21_8x_2</vt:lpstr>
      <vt:lpstr>'Div 6'!OSRRefE21_8x_2</vt:lpstr>
      <vt:lpstr>Summary!OSRRefE21_8x_2</vt:lpstr>
      <vt:lpstr>'201'!OSRRefE21_8x_3</vt:lpstr>
      <vt:lpstr>'202'!OSRRefE21_8x_3</vt:lpstr>
      <vt:lpstr>'203'!OSRRefE21_8x_3</vt:lpstr>
      <vt:lpstr>'204'!OSRRefE21_8x_3</vt:lpstr>
      <vt:lpstr>'300'!OSRRefE21_8x_3</vt:lpstr>
      <vt:lpstr>'300 &amp; 317'!OSRRefE21_8x_3</vt:lpstr>
      <vt:lpstr>'301'!OSRRefE21_8x_3</vt:lpstr>
      <vt:lpstr>'307'!OSRRefE21_8x_3</vt:lpstr>
      <vt:lpstr>'308'!OSRRefE21_8x_3</vt:lpstr>
      <vt:lpstr>'310'!OSRRefE21_8x_3</vt:lpstr>
      <vt:lpstr>'310 &amp; 491'!OSRRefE21_8x_3</vt:lpstr>
      <vt:lpstr>'311'!OSRRefE21_8x_3</vt:lpstr>
      <vt:lpstr>'315'!OSRRefE21_8x_3</vt:lpstr>
      <vt:lpstr>'316'!OSRRefE21_8x_3</vt:lpstr>
      <vt:lpstr>'317'!OSRRefE21_8x_3</vt:lpstr>
      <vt:lpstr>'321'!OSRRefE21_8x_3</vt:lpstr>
      <vt:lpstr>'325'!OSRRefE21_8x_3</vt:lpstr>
      <vt:lpstr>'326'!OSRRefE21_8x_3</vt:lpstr>
      <vt:lpstr>'330'!OSRRefE21_8x_3</vt:lpstr>
      <vt:lpstr>'331'!OSRRefE21_8x_3</vt:lpstr>
      <vt:lpstr>'332'!OSRRefE21_8x_3</vt:lpstr>
      <vt:lpstr>'405'!OSRRefE21_8x_3</vt:lpstr>
      <vt:lpstr>'411'!OSRRefE21_8x_3</vt:lpstr>
      <vt:lpstr>'415'!OSRRefE21_8x_3</vt:lpstr>
      <vt:lpstr>'418'!OSRRefE21_8x_3</vt:lpstr>
      <vt:lpstr>'433'!OSRRefE21_8x_3</vt:lpstr>
      <vt:lpstr>'444'!OSRRefE21_8x_3</vt:lpstr>
      <vt:lpstr>'450'!OSRRefE21_8x_3</vt:lpstr>
      <vt:lpstr>'491'!OSRRefE21_8x_3</vt:lpstr>
      <vt:lpstr>'492'!OSRRefE21_8x_3</vt:lpstr>
      <vt:lpstr>'501'!OSRRefE21_8x_3</vt:lpstr>
      <vt:lpstr>'Div 2'!OSRRefE21_8x_3</vt:lpstr>
      <vt:lpstr>'Div 3'!OSRRefE21_8x_3</vt:lpstr>
      <vt:lpstr>'Div 4'!OSRRefE21_8x_3</vt:lpstr>
      <vt:lpstr>'Div 5'!OSRRefE21_8x_3</vt:lpstr>
      <vt:lpstr>'Div 6'!OSRRefE21_8x_3</vt:lpstr>
      <vt:lpstr>Summary!OSRRefE21_8x_3</vt:lpstr>
      <vt:lpstr>'201'!OSRRefE21_8x_4</vt:lpstr>
      <vt:lpstr>'202'!OSRRefE21_8x_4</vt:lpstr>
      <vt:lpstr>'203'!OSRRefE21_8x_4</vt:lpstr>
      <vt:lpstr>'204'!OSRRefE21_8x_4</vt:lpstr>
      <vt:lpstr>'300'!OSRRefE21_8x_4</vt:lpstr>
      <vt:lpstr>'300 &amp; 317'!OSRRefE21_8x_4</vt:lpstr>
      <vt:lpstr>'301'!OSRRefE21_8x_4</vt:lpstr>
      <vt:lpstr>'307'!OSRRefE21_8x_4</vt:lpstr>
      <vt:lpstr>'308'!OSRRefE21_8x_4</vt:lpstr>
      <vt:lpstr>'310'!OSRRefE21_8x_4</vt:lpstr>
      <vt:lpstr>'310 &amp; 491'!OSRRefE21_8x_4</vt:lpstr>
      <vt:lpstr>'311'!OSRRefE21_8x_4</vt:lpstr>
      <vt:lpstr>'315'!OSRRefE21_8x_4</vt:lpstr>
      <vt:lpstr>'316'!OSRRefE21_8x_4</vt:lpstr>
      <vt:lpstr>'317'!OSRRefE21_8x_4</vt:lpstr>
      <vt:lpstr>'321'!OSRRefE21_8x_4</vt:lpstr>
      <vt:lpstr>'325'!OSRRefE21_8x_4</vt:lpstr>
      <vt:lpstr>'326'!OSRRefE21_8x_4</vt:lpstr>
      <vt:lpstr>'330'!OSRRefE21_8x_4</vt:lpstr>
      <vt:lpstr>'331'!OSRRefE21_8x_4</vt:lpstr>
      <vt:lpstr>'332'!OSRRefE21_8x_4</vt:lpstr>
      <vt:lpstr>'405'!OSRRefE21_8x_4</vt:lpstr>
      <vt:lpstr>'411'!OSRRefE21_8x_4</vt:lpstr>
      <vt:lpstr>'415'!OSRRefE21_8x_4</vt:lpstr>
      <vt:lpstr>'418'!OSRRefE21_8x_4</vt:lpstr>
      <vt:lpstr>'433'!OSRRefE21_8x_4</vt:lpstr>
      <vt:lpstr>'444'!OSRRefE21_8x_4</vt:lpstr>
      <vt:lpstr>'450'!OSRRefE21_8x_4</vt:lpstr>
      <vt:lpstr>'491'!OSRRefE21_8x_4</vt:lpstr>
      <vt:lpstr>'492'!OSRRefE21_8x_4</vt:lpstr>
      <vt:lpstr>'501'!OSRRefE21_8x_4</vt:lpstr>
      <vt:lpstr>'Div 2'!OSRRefE21_8x_4</vt:lpstr>
      <vt:lpstr>'Div 3'!OSRRefE21_8x_4</vt:lpstr>
      <vt:lpstr>'Div 4'!OSRRefE21_8x_4</vt:lpstr>
      <vt:lpstr>'Div 5'!OSRRefE21_8x_4</vt:lpstr>
      <vt:lpstr>'Div 6'!OSRRefE21_8x_4</vt:lpstr>
      <vt:lpstr>Summary!OSRRefE21_8x_4</vt:lpstr>
      <vt:lpstr>'201'!OSRRefE21_8x_5</vt:lpstr>
      <vt:lpstr>'202'!OSRRefE21_8x_5</vt:lpstr>
      <vt:lpstr>'203'!OSRRefE21_8x_5</vt:lpstr>
      <vt:lpstr>'204'!OSRRefE21_8x_5</vt:lpstr>
      <vt:lpstr>'300'!OSRRefE21_8x_5</vt:lpstr>
      <vt:lpstr>'300 &amp; 317'!OSRRefE21_8x_5</vt:lpstr>
      <vt:lpstr>'301'!OSRRefE21_8x_5</vt:lpstr>
      <vt:lpstr>'307'!OSRRefE21_8x_5</vt:lpstr>
      <vt:lpstr>'308'!OSRRefE21_8x_5</vt:lpstr>
      <vt:lpstr>'310'!OSRRefE21_8x_5</vt:lpstr>
      <vt:lpstr>'310 &amp; 491'!OSRRefE21_8x_5</vt:lpstr>
      <vt:lpstr>'311'!OSRRefE21_8x_5</vt:lpstr>
      <vt:lpstr>'315'!OSRRefE21_8x_5</vt:lpstr>
      <vt:lpstr>'316'!OSRRefE21_8x_5</vt:lpstr>
      <vt:lpstr>'317'!OSRRefE21_8x_5</vt:lpstr>
      <vt:lpstr>'321'!OSRRefE21_8x_5</vt:lpstr>
      <vt:lpstr>'325'!OSRRefE21_8x_5</vt:lpstr>
      <vt:lpstr>'326'!OSRRefE21_8x_5</vt:lpstr>
      <vt:lpstr>'330'!OSRRefE21_8x_5</vt:lpstr>
      <vt:lpstr>'331'!OSRRefE21_8x_5</vt:lpstr>
      <vt:lpstr>'332'!OSRRefE21_8x_5</vt:lpstr>
      <vt:lpstr>'405'!OSRRefE21_8x_5</vt:lpstr>
      <vt:lpstr>'411'!OSRRefE21_8x_5</vt:lpstr>
      <vt:lpstr>'415'!OSRRefE21_8x_5</vt:lpstr>
      <vt:lpstr>'418'!OSRRefE21_8x_5</vt:lpstr>
      <vt:lpstr>'433'!OSRRefE21_8x_5</vt:lpstr>
      <vt:lpstr>'444'!OSRRefE21_8x_5</vt:lpstr>
      <vt:lpstr>'450'!OSRRefE21_8x_5</vt:lpstr>
      <vt:lpstr>'491'!OSRRefE21_8x_5</vt:lpstr>
      <vt:lpstr>'492'!OSRRefE21_8x_5</vt:lpstr>
      <vt:lpstr>'501'!OSRRefE21_8x_5</vt:lpstr>
      <vt:lpstr>'Div 2'!OSRRefE21_8x_5</vt:lpstr>
      <vt:lpstr>'Div 3'!OSRRefE21_8x_5</vt:lpstr>
      <vt:lpstr>'Div 4'!OSRRefE21_8x_5</vt:lpstr>
      <vt:lpstr>'Div 5'!OSRRefE21_8x_5</vt:lpstr>
      <vt:lpstr>'Div 6'!OSRRefE21_8x_5</vt:lpstr>
      <vt:lpstr>Summary!OSRRefE21_8x_5</vt:lpstr>
      <vt:lpstr>'201'!OSRRefE21_8x_6</vt:lpstr>
      <vt:lpstr>'202'!OSRRefE21_8x_6</vt:lpstr>
      <vt:lpstr>'203'!OSRRefE21_8x_6</vt:lpstr>
      <vt:lpstr>'204'!OSRRefE21_8x_6</vt:lpstr>
      <vt:lpstr>'300'!OSRRefE21_8x_6</vt:lpstr>
      <vt:lpstr>'300 &amp; 317'!OSRRefE21_8x_6</vt:lpstr>
      <vt:lpstr>'301'!OSRRefE21_8x_6</vt:lpstr>
      <vt:lpstr>'307'!OSRRefE21_8x_6</vt:lpstr>
      <vt:lpstr>'308'!OSRRefE21_8x_6</vt:lpstr>
      <vt:lpstr>'310'!OSRRefE21_8x_6</vt:lpstr>
      <vt:lpstr>'310 &amp; 491'!OSRRefE21_8x_6</vt:lpstr>
      <vt:lpstr>'311'!OSRRefE21_8x_6</vt:lpstr>
      <vt:lpstr>'315'!OSRRefE21_8x_6</vt:lpstr>
      <vt:lpstr>'316'!OSRRefE21_8x_6</vt:lpstr>
      <vt:lpstr>'317'!OSRRefE21_8x_6</vt:lpstr>
      <vt:lpstr>'321'!OSRRefE21_8x_6</vt:lpstr>
      <vt:lpstr>'325'!OSRRefE21_8x_6</vt:lpstr>
      <vt:lpstr>'326'!OSRRefE21_8x_6</vt:lpstr>
      <vt:lpstr>'330'!OSRRefE21_8x_6</vt:lpstr>
      <vt:lpstr>'331'!OSRRefE21_8x_6</vt:lpstr>
      <vt:lpstr>'332'!OSRRefE21_8x_6</vt:lpstr>
      <vt:lpstr>'405'!OSRRefE21_8x_6</vt:lpstr>
      <vt:lpstr>'411'!OSRRefE21_8x_6</vt:lpstr>
      <vt:lpstr>'415'!OSRRefE21_8x_6</vt:lpstr>
      <vt:lpstr>'418'!OSRRefE21_8x_6</vt:lpstr>
      <vt:lpstr>'433'!OSRRefE21_8x_6</vt:lpstr>
      <vt:lpstr>'444'!OSRRefE21_8x_6</vt:lpstr>
      <vt:lpstr>'450'!OSRRefE21_8x_6</vt:lpstr>
      <vt:lpstr>'491'!OSRRefE21_8x_6</vt:lpstr>
      <vt:lpstr>'492'!OSRRefE21_8x_6</vt:lpstr>
      <vt:lpstr>'501'!OSRRefE21_8x_6</vt:lpstr>
      <vt:lpstr>'Div 2'!OSRRefE21_8x_6</vt:lpstr>
      <vt:lpstr>'Div 3'!OSRRefE21_8x_6</vt:lpstr>
      <vt:lpstr>'Div 4'!OSRRefE21_8x_6</vt:lpstr>
      <vt:lpstr>'Div 5'!OSRRefE21_8x_6</vt:lpstr>
      <vt:lpstr>'Div 6'!OSRRefE21_8x_6</vt:lpstr>
      <vt:lpstr>Summary!OSRRefE21_8x_6</vt:lpstr>
      <vt:lpstr>'201'!OSRRefE21_8x_7</vt:lpstr>
      <vt:lpstr>'202'!OSRRefE21_8x_7</vt:lpstr>
      <vt:lpstr>'203'!OSRRefE21_8x_7</vt:lpstr>
      <vt:lpstr>'204'!OSRRefE21_8x_7</vt:lpstr>
      <vt:lpstr>'300'!OSRRefE21_8x_7</vt:lpstr>
      <vt:lpstr>'300 &amp; 317'!OSRRefE21_8x_7</vt:lpstr>
      <vt:lpstr>'301'!OSRRefE21_8x_7</vt:lpstr>
      <vt:lpstr>'307'!OSRRefE21_8x_7</vt:lpstr>
      <vt:lpstr>'308'!OSRRefE21_8x_7</vt:lpstr>
      <vt:lpstr>'310'!OSRRefE21_8x_7</vt:lpstr>
      <vt:lpstr>'310 &amp; 491'!OSRRefE21_8x_7</vt:lpstr>
      <vt:lpstr>'311'!OSRRefE21_8x_7</vt:lpstr>
      <vt:lpstr>'315'!OSRRefE21_8x_7</vt:lpstr>
      <vt:lpstr>'316'!OSRRefE21_8x_7</vt:lpstr>
      <vt:lpstr>'317'!OSRRefE21_8x_7</vt:lpstr>
      <vt:lpstr>'321'!OSRRefE21_8x_7</vt:lpstr>
      <vt:lpstr>'325'!OSRRefE21_8x_7</vt:lpstr>
      <vt:lpstr>'326'!OSRRefE21_8x_7</vt:lpstr>
      <vt:lpstr>'330'!OSRRefE21_8x_7</vt:lpstr>
      <vt:lpstr>'331'!OSRRefE21_8x_7</vt:lpstr>
      <vt:lpstr>'332'!OSRRefE21_8x_7</vt:lpstr>
      <vt:lpstr>'405'!OSRRefE21_8x_7</vt:lpstr>
      <vt:lpstr>'411'!OSRRefE21_8x_7</vt:lpstr>
      <vt:lpstr>'415'!OSRRefE21_8x_7</vt:lpstr>
      <vt:lpstr>'418'!OSRRefE21_8x_7</vt:lpstr>
      <vt:lpstr>'433'!OSRRefE21_8x_7</vt:lpstr>
      <vt:lpstr>'444'!OSRRefE21_8x_7</vt:lpstr>
      <vt:lpstr>'450'!OSRRefE21_8x_7</vt:lpstr>
      <vt:lpstr>'491'!OSRRefE21_8x_7</vt:lpstr>
      <vt:lpstr>'492'!OSRRefE21_8x_7</vt:lpstr>
      <vt:lpstr>'501'!OSRRefE21_8x_7</vt:lpstr>
      <vt:lpstr>'Div 2'!OSRRefE21_8x_7</vt:lpstr>
      <vt:lpstr>'Div 3'!OSRRefE21_8x_7</vt:lpstr>
      <vt:lpstr>'Div 4'!OSRRefE21_8x_7</vt:lpstr>
      <vt:lpstr>'Div 5'!OSRRefE21_8x_7</vt:lpstr>
      <vt:lpstr>'Div 6'!OSRRefE21_8x_7</vt:lpstr>
      <vt:lpstr>Summary!OSRRefE21_8x_7</vt:lpstr>
      <vt:lpstr>'201'!OSRRefE21_8x_8</vt:lpstr>
      <vt:lpstr>'202'!OSRRefE21_8x_8</vt:lpstr>
      <vt:lpstr>'203'!OSRRefE21_8x_8</vt:lpstr>
      <vt:lpstr>'204'!OSRRefE21_8x_8</vt:lpstr>
      <vt:lpstr>'300'!OSRRefE21_8x_8</vt:lpstr>
      <vt:lpstr>'300 &amp; 317'!OSRRefE21_8x_8</vt:lpstr>
      <vt:lpstr>'301'!OSRRefE21_8x_8</vt:lpstr>
      <vt:lpstr>'307'!OSRRefE21_8x_8</vt:lpstr>
      <vt:lpstr>'308'!OSRRefE21_8x_8</vt:lpstr>
      <vt:lpstr>'310'!OSRRefE21_8x_8</vt:lpstr>
      <vt:lpstr>'310 &amp; 491'!OSRRefE21_8x_8</vt:lpstr>
      <vt:lpstr>'311'!OSRRefE21_8x_8</vt:lpstr>
      <vt:lpstr>'315'!OSRRefE21_8x_8</vt:lpstr>
      <vt:lpstr>'316'!OSRRefE21_8x_8</vt:lpstr>
      <vt:lpstr>'317'!OSRRefE21_8x_8</vt:lpstr>
      <vt:lpstr>'321'!OSRRefE21_8x_8</vt:lpstr>
      <vt:lpstr>'325'!OSRRefE21_8x_8</vt:lpstr>
      <vt:lpstr>'326'!OSRRefE21_8x_8</vt:lpstr>
      <vt:lpstr>'330'!OSRRefE21_8x_8</vt:lpstr>
      <vt:lpstr>'331'!OSRRefE21_8x_8</vt:lpstr>
      <vt:lpstr>'332'!OSRRefE21_8x_8</vt:lpstr>
      <vt:lpstr>'405'!OSRRefE21_8x_8</vt:lpstr>
      <vt:lpstr>'411'!OSRRefE21_8x_8</vt:lpstr>
      <vt:lpstr>'415'!OSRRefE21_8x_8</vt:lpstr>
      <vt:lpstr>'418'!OSRRefE21_8x_8</vt:lpstr>
      <vt:lpstr>'433'!OSRRefE21_8x_8</vt:lpstr>
      <vt:lpstr>'444'!OSRRefE21_8x_8</vt:lpstr>
      <vt:lpstr>'450'!OSRRefE21_8x_8</vt:lpstr>
      <vt:lpstr>'491'!OSRRefE21_8x_8</vt:lpstr>
      <vt:lpstr>'492'!OSRRefE21_8x_8</vt:lpstr>
      <vt:lpstr>'501'!OSRRefE21_8x_8</vt:lpstr>
      <vt:lpstr>'Div 2'!OSRRefE21_8x_8</vt:lpstr>
      <vt:lpstr>'Div 3'!OSRRefE21_8x_8</vt:lpstr>
      <vt:lpstr>'Div 4'!OSRRefE21_8x_8</vt:lpstr>
      <vt:lpstr>'Div 5'!OSRRefE21_8x_8</vt:lpstr>
      <vt:lpstr>'Div 6'!OSRRefE21_8x_8</vt:lpstr>
      <vt:lpstr>Summary!OSRRefE21_8x_8</vt:lpstr>
      <vt:lpstr>'201'!OSRRefE21_8x_9</vt:lpstr>
      <vt:lpstr>'202'!OSRRefE21_8x_9</vt:lpstr>
      <vt:lpstr>'203'!OSRRefE21_8x_9</vt:lpstr>
      <vt:lpstr>'204'!OSRRefE21_8x_9</vt:lpstr>
      <vt:lpstr>'300'!OSRRefE21_8x_9</vt:lpstr>
      <vt:lpstr>'300 &amp; 317'!OSRRefE21_8x_9</vt:lpstr>
      <vt:lpstr>'301'!OSRRefE21_8x_9</vt:lpstr>
      <vt:lpstr>'307'!OSRRefE21_8x_9</vt:lpstr>
      <vt:lpstr>'308'!OSRRefE21_8x_9</vt:lpstr>
      <vt:lpstr>'310'!OSRRefE21_8x_9</vt:lpstr>
      <vt:lpstr>'310 &amp; 491'!OSRRefE21_8x_9</vt:lpstr>
      <vt:lpstr>'311'!OSRRefE21_8x_9</vt:lpstr>
      <vt:lpstr>'315'!OSRRefE21_8x_9</vt:lpstr>
      <vt:lpstr>'316'!OSRRefE21_8x_9</vt:lpstr>
      <vt:lpstr>'317'!OSRRefE21_8x_9</vt:lpstr>
      <vt:lpstr>'321'!OSRRefE21_8x_9</vt:lpstr>
      <vt:lpstr>'325'!OSRRefE21_8x_9</vt:lpstr>
      <vt:lpstr>'326'!OSRRefE21_8x_9</vt:lpstr>
      <vt:lpstr>'330'!OSRRefE21_8x_9</vt:lpstr>
      <vt:lpstr>'331'!OSRRefE21_8x_9</vt:lpstr>
      <vt:lpstr>'332'!OSRRefE21_8x_9</vt:lpstr>
      <vt:lpstr>'405'!OSRRefE21_8x_9</vt:lpstr>
      <vt:lpstr>'411'!OSRRefE21_8x_9</vt:lpstr>
      <vt:lpstr>'415'!OSRRefE21_8x_9</vt:lpstr>
      <vt:lpstr>'418'!OSRRefE21_8x_9</vt:lpstr>
      <vt:lpstr>'433'!OSRRefE21_8x_9</vt:lpstr>
      <vt:lpstr>'444'!OSRRefE21_8x_9</vt:lpstr>
      <vt:lpstr>'450'!OSRRefE21_8x_9</vt:lpstr>
      <vt:lpstr>'491'!OSRRefE21_8x_9</vt:lpstr>
      <vt:lpstr>'492'!OSRRefE21_8x_9</vt:lpstr>
      <vt:lpstr>'501'!OSRRefE21_8x_9</vt:lpstr>
      <vt:lpstr>'Div 2'!OSRRefE21_8x_9</vt:lpstr>
      <vt:lpstr>'Div 3'!OSRRefE21_8x_9</vt:lpstr>
      <vt:lpstr>'Div 4'!OSRRefE21_8x_9</vt:lpstr>
      <vt:lpstr>'Div 5'!OSRRefE21_8x_9</vt:lpstr>
      <vt:lpstr>'Div 6'!OSRRefE21_8x_9</vt:lpstr>
      <vt:lpstr>Summary!OSRRefE21_8x_9</vt:lpstr>
      <vt:lpstr>'201'!OSRRefE21_9_0x</vt:lpstr>
      <vt:lpstr>'202'!OSRRefE21_9_0x</vt:lpstr>
      <vt:lpstr>'203'!OSRRefE21_9_0x</vt:lpstr>
      <vt:lpstr>'300'!OSRRefE21_9_0x</vt:lpstr>
      <vt:lpstr>'300 &amp; 317'!OSRRefE21_9_0x</vt:lpstr>
      <vt:lpstr>'301'!OSRRefE21_9_0x</vt:lpstr>
      <vt:lpstr>'307'!OSRRefE21_9_0x</vt:lpstr>
      <vt:lpstr>'308'!OSRRefE21_9_0x</vt:lpstr>
      <vt:lpstr>'310'!OSRRefE21_9_0x</vt:lpstr>
      <vt:lpstr>'310 &amp; 491'!OSRRefE21_9_0x</vt:lpstr>
      <vt:lpstr>'311'!OSRRefE21_9_0x</vt:lpstr>
      <vt:lpstr>'315'!OSRRefE21_9_0x</vt:lpstr>
      <vt:lpstr>'316'!OSRRefE21_9_0x</vt:lpstr>
      <vt:lpstr>'317'!OSRRefE21_9_0x</vt:lpstr>
      <vt:lpstr>'321'!OSRRefE21_9_0x</vt:lpstr>
      <vt:lpstr>'325'!OSRRefE21_9_0x</vt:lpstr>
      <vt:lpstr>'326'!OSRRefE21_9_0x</vt:lpstr>
      <vt:lpstr>'330'!OSRRefE21_9_0x</vt:lpstr>
      <vt:lpstr>'331'!OSRRefE21_9_0x</vt:lpstr>
      <vt:lpstr>'332'!OSRRefE21_9_0x</vt:lpstr>
      <vt:lpstr>'405'!OSRRefE21_9_0x</vt:lpstr>
      <vt:lpstr>'411'!OSRRefE21_9_0x</vt:lpstr>
      <vt:lpstr>'415'!OSRRefE21_9_0x</vt:lpstr>
      <vt:lpstr>'418'!OSRRefE21_9_0x</vt:lpstr>
      <vt:lpstr>'433'!OSRRefE21_9_0x</vt:lpstr>
      <vt:lpstr>'444'!OSRRefE21_9_0x</vt:lpstr>
      <vt:lpstr>'450'!OSRRefE21_9_0x</vt:lpstr>
      <vt:lpstr>'491'!OSRRefE21_9_0x</vt:lpstr>
      <vt:lpstr>'492'!OSRRefE21_9_0x</vt:lpstr>
      <vt:lpstr>'501'!OSRRefE21_9_0x</vt:lpstr>
      <vt:lpstr>'Div 2'!OSRRefE21_9_0x</vt:lpstr>
      <vt:lpstr>'Div 3'!OSRRefE21_9_0x</vt:lpstr>
      <vt:lpstr>'Div 4'!OSRRefE21_9_0x</vt:lpstr>
      <vt:lpstr>'Div 5'!OSRRefE21_9_0x</vt:lpstr>
      <vt:lpstr>'Div 6'!OSRRefE21_9_0x</vt:lpstr>
      <vt:lpstr>Summary!OSRRefE21_9_0x</vt:lpstr>
      <vt:lpstr>'201'!OSRRefE21_9_1x</vt:lpstr>
      <vt:lpstr>'308'!OSRRefE21_9_1x</vt:lpstr>
      <vt:lpstr>'311'!OSRRefE21_9_1x</vt:lpstr>
      <vt:lpstr>'321'!OSRRefE21_9_1x</vt:lpstr>
      <vt:lpstr>'405'!OSRRefE21_9_1x</vt:lpstr>
      <vt:lpstr>'418'!OSRRefE21_9_1x</vt:lpstr>
      <vt:lpstr>'501'!OSRRefE21_9_1x</vt:lpstr>
      <vt:lpstr>'Div 4'!OSRRefE21_9_1x</vt:lpstr>
      <vt:lpstr>'Div 5'!OSRRefE21_9_1x</vt:lpstr>
      <vt:lpstr>'201'!OSRRefE21_9_2x</vt:lpstr>
      <vt:lpstr>'405'!OSRRefE21_9_2x</vt:lpstr>
      <vt:lpstr>'418'!OSRRefE21_9_2x</vt:lpstr>
      <vt:lpstr>'501'!OSRRefE21_9_2x</vt:lpstr>
      <vt:lpstr>'Div 5'!OSRRefE21_9_2x</vt:lpstr>
      <vt:lpstr>'201'!OSRRefE21_9x_0</vt:lpstr>
      <vt:lpstr>'202'!OSRRefE21_9x_0</vt:lpstr>
      <vt:lpstr>'203'!OSRRefE21_9x_0</vt:lpstr>
      <vt:lpstr>'300'!OSRRefE21_9x_0</vt:lpstr>
      <vt:lpstr>'300 &amp; 317'!OSRRefE21_9x_0</vt:lpstr>
      <vt:lpstr>'301'!OSRRefE21_9x_0</vt:lpstr>
      <vt:lpstr>'307'!OSRRefE21_9x_0</vt:lpstr>
      <vt:lpstr>'308'!OSRRefE21_9x_0</vt:lpstr>
      <vt:lpstr>'310'!OSRRefE21_9x_0</vt:lpstr>
      <vt:lpstr>'310 &amp; 491'!OSRRefE21_9x_0</vt:lpstr>
      <vt:lpstr>'311'!OSRRefE21_9x_0</vt:lpstr>
      <vt:lpstr>'315'!OSRRefE21_9x_0</vt:lpstr>
      <vt:lpstr>'316'!OSRRefE21_9x_0</vt:lpstr>
      <vt:lpstr>'317'!OSRRefE21_9x_0</vt:lpstr>
      <vt:lpstr>'321'!OSRRefE21_9x_0</vt:lpstr>
      <vt:lpstr>'325'!OSRRefE21_9x_0</vt:lpstr>
      <vt:lpstr>'326'!OSRRefE21_9x_0</vt:lpstr>
      <vt:lpstr>'330'!OSRRefE21_9x_0</vt:lpstr>
      <vt:lpstr>'331'!OSRRefE21_9x_0</vt:lpstr>
      <vt:lpstr>'332'!OSRRefE21_9x_0</vt:lpstr>
      <vt:lpstr>'405'!OSRRefE21_9x_0</vt:lpstr>
      <vt:lpstr>'411'!OSRRefE21_9x_0</vt:lpstr>
      <vt:lpstr>'415'!OSRRefE21_9x_0</vt:lpstr>
      <vt:lpstr>'418'!OSRRefE21_9x_0</vt:lpstr>
      <vt:lpstr>'433'!OSRRefE21_9x_0</vt:lpstr>
      <vt:lpstr>'444'!OSRRefE21_9x_0</vt:lpstr>
      <vt:lpstr>'450'!OSRRefE21_9x_0</vt:lpstr>
      <vt:lpstr>'491'!OSRRefE21_9x_0</vt:lpstr>
      <vt:lpstr>'492'!OSRRefE21_9x_0</vt:lpstr>
      <vt:lpstr>'501'!OSRRefE21_9x_0</vt:lpstr>
      <vt:lpstr>'Div 2'!OSRRefE21_9x_0</vt:lpstr>
      <vt:lpstr>'Div 3'!OSRRefE21_9x_0</vt:lpstr>
      <vt:lpstr>'Div 4'!OSRRefE21_9x_0</vt:lpstr>
      <vt:lpstr>'Div 5'!OSRRefE21_9x_0</vt:lpstr>
      <vt:lpstr>'Div 6'!OSRRefE21_9x_0</vt:lpstr>
      <vt:lpstr>Summary!OSRRefE21_9x_0</vt:lpstr>
      <vt:lpstr>'201'!OSRRefE21_9x_1</vt:lpstr>
      <vt:lpstr>'202'!OSRRefE21_9x_1</vt:lpstr>
      <vt:lpstr>'203'!OSRRefE21_9x_1</vt:lpstr>
      <vt:lpstr>'300'!OSRRefE21_9x_1</vt:lpstr>
      <vt:lpstr>'300 &amp; 317'!OSRRefE21_9x_1</vt:lpstr>
      <vt:lpstr>'301'!OSRRefE21_9x_1</vt:lpstr>
      <vt:lpstr>'307'!OSRRefE21_9x_1</vt:lpstr>
      <vt:lpstr>'308'!OSRRefE21_9x_1</vt:lpstr>
      <vt:lpstr>'310'!OSRRefE21_9x_1</vt:lpstr>
      <vt:lpstr>'310 &amp; 491'!OSRRefE21_9x_1</vt:lpstr>
      <vt:lpstr>'311'!OSRRefE21_9x_1</vt:lpstr>
      <vt:lpstr>'315'!OSRRefE21_9x_1</vt:lpstr>
      <vt:lpstr>'316'!OSRRefE21_9x_1</vt:lpstr>
      <vt:lpstr>'317'!OSRRefE21_9x_1</vt:lpstr>
      <vt:lpstr>'321'!OSRRefE21_9x_1</vt:lpstr>
      <vt:lpstr>'325'!OSRRefE21_9x_1</vt:lpstr>
      <vt:lpstr>'326'!OSRRefE21_9x_1</vt:lpstr>
      <vt:lpstr>'330'!OSRRefE21_9x_1</vt:lpstr>
      <vt:lpstr>'331'!OSRRefE21_9x_1</vt:lpstr>
      <vt:lpstr>'332'!OSRRefE21_9x_1</vt:lpstr>
      <vt:lpstr>'405'!OSRRefE21_9x_1</vt:lpstr>
      <vt:lpstr>'411'!OSRRefE21_9x_1</vt:lpstr>
      <vt:lpstr>'415'!OSRRefE21_9x_1</vt:lpstr>
      <vt:lpstr>'418'!OSRRefE21_9x_1</vt:lpstr>
      <vt:lpstr>'433'!OSRRefE21_9x_1</vt:lpstr>
      <vt:lpstr>'444'!OSRRefE21_9x_1</vt:lpstr>
      <vt:lpstr>'450'!OSRRefE21_9x_1</vt:lpstr>
      <vt:lpstr>'491'!OSRRefE21_9x_1</vt:lpstr>
      <vt:lpstr>'492'!OSRRefE21_9x_1</vt:lpstr>
      <vt:lpstr>'501'!OSRRefE21_9x_1</vt:lpstr>
      <vt:lpstr>'Div 2'!OSRRefE21_9x_1</vt:lpstr>
      <vt:lpstr>'Div 3'!OSRRefE21_9x_1</vt:lpstr>
      <vt:lpstr>'Div 4'!OSRRefE21_9x_1</vt:lpstr>
      <vt:lpstr>'Div 5'!OSRRefE21_9x_1</vt:lpstr>
      <vt:lpstr>'Div 6'!OSRRefE21_9x_1</vt:lpstr>
      <vt:lpstr>Summary!OSRRefE21_9x_1</vt:lpstr>
      <vt:lpstr>'201'!OSRRefE21_9x_10</vt:lpstr>
      <vt:lpstr>'202'!OSRRefE21_9x_10</vt:lpstr>
      <vt:lpstr>'203'!OSRRefE21_9x_10</vt:lpstr>
      <vt:lpstr>'300'!OSRRefE21_9x_10</vt:lpstr>
      <vt:lpstr>'300 &amp; 317'!OSRRefE21_9x_10</vt:lpstr>
      <vt:lpstr>'301'!OSRRefE21_9x_10</vt:lpstr>
      <vt:lpstr>'307'!OSRRefE21_9x_10</vt:lpstr>
      <vt:lpstr>'308'!OSRRefE21_9x_10</vt:lpstr>
      <vt:lpstr>'310'!OSRRefE21_9x_10</vt:lpstr>
      <vt:lpstr>'310 &amp; 491'!OSRRefE21_9x_10</vt:lpstr>
      <vt:lpstr>'311'!OSRRefE21_9x_10</vt:lpstr>
      <vt:lpstr>'315'!OSRRefE21_9x_10</vt:lpstr>
      <vt:lpstr>'316'!OSRRefE21_9x_10</vt:lpstr>
      <vt:lpstr>'317'!OSRRefE21_9x_10</vt:lpstr>
      <vt:lpstr>'321'!OSRRefE21_9x_10</vt:lpstr>
      <vt:lpstr>'325'!OSRRefE21_9x_10</vt:lpstr>
      <vt:lpstr>'326'!OSRRefE21_9x_10</vt:lpstr>
      <vt:lpstr>'330'!OSRRefE21_9x_10</vt:lpstr>
      <vt:lpstr>'331'!OSRRefE21_9x_10</vt:lpstr>
      <vt:lpstr>'332'!OSRRefE21_9x_10</vt:lpstr>
      <vt:lpstr>'405'!OSRRefE21_9x_10</vt:lpstr>
      <vt:lpstr>'411'!OSRRefE21_9x_10</vt:lpstr>
      <vt:lpstr>'415'!OSRRefE21_9x_10</vt:lpstr>
      <vt:lpstr>'418'!OSRRefE21_9x_10</vt:lpstr>
      <vt:lpstr>'433'!OSRRefE21_9x_10</vt:lpstr>
      <vt:lpstr>'444'!OSRRefE21_9x_10</vt:lpstr>
      <vt:lpstr>'450'!OSRRefE21_9x_10</vt:lpstr>
      <vt:lpstr>'491'!OSRRefE21_9x_10</vt:lpstr>
      <vt:lpstr>'492'!OSRRefE21_9x_10</vt:lpstr>
      <vt:lpstr>'501'!OSRRefE21_9x_10</vt:lpstr>
      <vt:lpstr>'Div 2'!OSRRefE21_9x_10</vt:lpstr>
      <vt:lpstr>'Div 3'!OSRRefE21_9x_10</vt:lpstr>
      <vt:lpstr>'Div 4'!OSRRefE21_9x_10</vt:lpstr>
      <vt:lpstr>'Div 5'!OSRRefE21_9x_10</vt:lpstr>
      <vt:lpstr>'Div 6'!OSRRefE21_9x_10</vt:lpstr>
      <vt:lpstr>Summary!OSRRefE21_9x_10</vt:lpstr>
      <vt:lpstr>'201'!OSRRefE21_9x_2</vt:lpstr>
      <vt:lpstr>'202'!OSRRefE21_9x_2</vt:lpstr>
      <vt:lpstr>'203'!OSRRefE21_9x_2</vt:lpstr>
      <vt:lpstr>'300'!OSRRefE21_9x_2</vt:lpstr>
      <vt:lpstr>'300 &amp; 317'!OSRRefE21_9x_2</vt:lpstr>
      <vt:lpstr>'301'!OSRRefE21_9x_2</vt:lpstr>
      <vt:lpstr>'307'!OSRRefE21_9x_2</vt:lpstr>
      <vt:lpstr>'308'!OSRRefE21_9x_2</vt:lpstr>
      <vt:lpstr>'310'!OSRRefE21_9x_2</vt:lpstr>
      <vt:lpstr>'310 &amp; 491'!OSRRefE21_9x_2</vt:lpstr>
      <vt:lpstr>'311'!OSRRefE21_9x_2</vt:lpstr>
      <vt:lpstr>'315'!OSRRefE21_9x_2</vt:lpstr>
      <vt:lpstr>'316'!OSRRefE21_9x_2</vt:lpstr>
      <vt:lpstr>'317'!OSRRefE21_9x_2</vt:lpstr>
      <vt:lpstr>'321'!OSRRefE21_9x_2</vt:lpstr>
      <vt:lpstr>'325'!OSRRefE21_9x_2</vt:lpstr>
      <vt:lpstr>'326'!OSRRefE21_9x_2</vt:lpstr>
      <vt:lpstr>'330'!OSRRefE21_9x_2</vt:lpstr>
      <vt:lpstr>'331'!OSRRefE21_9x_2</vt:lpstr>
      <vt:lpstr>'332'!OSRRefE21_9x_2</vt:lpstr>
      <vt:lpstr>'405'!OSRRefE21_9x_2</vt:lpstr>
      <vt:lpstr>'411'!OSRRefE21_9x_2</vt:lpstr>
      <vt:lpstr>'415'!OSRRefE21_9x_2</vt:lpstr>
      <vt:lpstr>'418'!OSRRefE21_9x_2</vt:lpstr>
      <vt:lpstr>'433'!OSRRefE21_9x_2</vt:lpstr>
      <vt:lpstr>'444'!OSRRefE21_9x_2</vt:lpstr>
      <vt:lpstr>'450'!OSRRefE21_9x_2</vt:lpstr>
      <vt:lpstr>'491'!OSRRefE21_9x_2</vt:lpstr>
      <vt:lpstr>'492'!OSRRefE21_9x_2</vt:lpstr>
      <vt:lpstr>'501'!OSRRefE21_9x_2</vt:lpstr>
      <vt:lpstr>'Div 2'!OSRRefE21_9x_2</vt:lpstr>
      <vt:lpstr>'Div 3'!OSRRefE21_9x_2</vt:lpstr>
      <vt:lpstr>'Div 4'!OSRRefE21_9x_2</vt:lpstr>
      <vt:lpstr>'Div 5'!OSRRefE21_9x_2</vt:lpstr>
      <vt:lpstr>'Div 6'!OSRRefE21_9x_2</vt:lpstr>
      <vt:lpstr>Summary!OSRRefE21_9x_2</vt:lpstr>
      <vt:lpstr>'201'!OSRRefE21_9x_3</vt:lpstr>
      <vt:lpstr>'202'!OSRRefE21_9x_3</vt:lpstr>
      <vt:lpstr>'203'!OSRRefE21_9x_3</vt:lpstr>
      <vt:lpstr>'300'!OSRRefE21_9x_3</vt:lpstr>
      <vt:lpstr>'300 &amp; 317'!OSRRefE21_9x_3</vt:lpstr>
      <vt:lpstr>'301'!OSRRefE21_9x_3</vt:lpstr>
      <vt:lpstr>'307'!OSRRefE21_9x_3</vt:lpstr>
      <vt:lpstr>'308'!OSRRefE21_9x_3</vt:lpstr>
      <vt:lpstr>'310'!OSRRefE21_9x_3</vt:lpstr>
      <vt:lpstr>'310 &amp; 491'!OSRRefE21_9x_3</vt:lpstr>
      <vt:lpstr>'311'!OSRRefE21_9x_3</vt:lpstr>
      <vt:lpstr>'315'!OSRRefE21_9x_3</vt:lpstr>
      <vt:lpstr>'316'!OSRRefE21_9x_3</vt:lpstr>
      <vt:lpstr>'317'!OSRRefE21_9x_3</vt:lpstr>
      <vt:lpstr>'321'!OSRRefE21_9x_3</vt:lpstr>
      <vt:lpstr>'325'!OSRRefE21_9x_3</vt:lpstr>
      <vt:lpstr>'326'!OSRRefE21_9x_3</vt:lpstr>
      <vt:lpstr>'330'!OSRRefE21_9x_3</vt:lpstr>
      <vt:lpstr>'331'!OSRRefE21_9x_3</vt:lpstr>
      <vt:lpstr>'332'!OSRRefE21_9x_3</vt:lpstr>
      <vt:lpstr>'405'!OSRRefE21_9x_3</vt:lpstr>
      <vt:lpstr>'411'!OSRRefE21_9x_3</vt:lpstr>
      <vt:lpstr>'415'!OSRRefE21_9x_3</vt:lpstr>
      <vt:lpstr>'418'!OSRRefE21_9x_3</vt:lpstr>
      <vt:lpstr>'433'!OSRRefE21_9x_3</vt:lpstr>
      <vt:lpstr>'444'!OSRRefE21_9x_3</vt:lpstr>
      <vt:lpstr>'450'!OSRRefE21_9x_3</vt:lpstr>
      <vt:lpstr>'491'!OSRRefE21_9x_3</vt:lpstr>
      <vt:lpstr>'492'!OSRRefE21_9x_3</vt:lpstr>
      <vt:lpstr>'501'!OSRRefE21_9x_3</vt:lpstr>
      <vt:lpstr>'Div 2'!OSRRefE21_9x_3</vt:lpstr>
      <vt:lpstr>'Div 3'!OSRRefE21_9x_3</vt:lpstr>
      <vt:lpstr>'Div 4'!OSRRefE21_9x_3</vt:lpstr>
      <vt:lpstr>'Div 5'!OSRRefE21_9x_3</vt:lpstr>
      <vt:lpstr>'Div 6'!OSRRefE21_9x_3</vt:lpstr>
      <vt:lpstr>Summary!OSRRefE21_9x_3</vt:lpstr>
      <vt:lpstr>'201'!OSRRefE21_9x_4</vt:lpstr>
      <vt:lpstr>'202'!OSRRefE21_9x_4</vt:lpstr>
      <vt:lpstr>'203'!OSRRefE21_9x_4</vt:lpstr>
      <vt:lpstr>'300'!OSRRefE21_9x_4</vt:lpstr>
      <vt:lpstr>'300 &amp; 317'!OSRRefE21_9x_4</vt:lpstr>
      <vt:lpstr>'301'!OSRRefE21_9x_4</vt:lpstr>
      <vt:lpstr>'307'!OSRRefE21_9x_4</vt:lpstr>
      <vt:lpstr>'308'!OSRRefE21_9x_4</vt:lpstr>
      <vt:lpstr>'310'!OSRRefE21_9x_4</vt:lpstr>
      <vt:lpstr>'310 &amp; 491'!OSRRefE21_9x_4</vt:lpstr>
      <vt:lpstr>'311'!OSRRefE21_9x_4</vt:lpstr>
      <vt:lpstr>'315'!OSRRefE21_9x_4</vt:lpstr>
      <vt:lpstr>'316'!OSRRefE21_9x_4</vt:lpstr>
      <vt:lpstr>'317'!OSRRefE21_9x_4</vt:lpstr>
      <vt:lpstr>'321'!OSRRefE21_9x_4</vt:lpstr>
      <vt:lpstr>'325'!OSRRefE21_9x_4</vt:lpstr>
      <vt:lpstr>'326'!OSRRefE21_9x_4</vt:lpstr>
      <vt:lpstr>'330'!OSRRefE21_9x_4</vt:lpstr>
      <vt:lpstr>'331'!OSRRefE21_9x_4</vt:lpstr>
      <vt:lpstr>'332'!OSRRefE21_9x_4</vt:lpstr>
      <vt:lpstr>'405'!OSRRefE21_9x_4</vt:lpstr>
      <vt:lpstr>'411'!OSRRefE21_9x_4</vt:lpstr>
      <vt:lpstr>'415'!OSRRefE21_9x_4</vt:lpstr>
      <vt:lpstr>'418'!OSRRefE21_9x_4</vt:lpstr>
      <vt:lpstr>'433'!OSRRefE21_9x_4</vt:lpstr>
      <vt:lpstr>'444'!OSRRefE21_9x_4</vt:lpstr>
      <vt:lpstr>'450'!OSRRefE21_9x_4</vt:lpstr>
      <vt:lpstr>'491'!OSRRefE21_9x_4</vt:lpstr>
      <vt:lpstr>'492'!OSRRefE21_9x_4</vt:lpstr>
      <vt:lpstr>'501'!OSRRefE21_9x_4</vt:lpstr>
      <vt:lpstr>'Div 2'!OSRRefE21_9x_4</vt:lpstr>
      <vt:lpstr>'Div 3'!OSRRefE21_9x_4</vt:lpstr>
      <vt:lpstr>'Div 4'!OSRRefE21_9x_4</vt:lpstr>
      <vt:lpstr>'Div 5'!OSRRefE21_9x_4</vt:lpstr>
      <vt:lpstr>'Div 6'!OSRRefE21_9x_4</vt:lpstr>
      <vt:lpstr>Summary!OSRRefE21_9x_4</vt:lpstr>
      <vt:lpstr>'201'!OSRRefE21_9x_5</vt:lpstr>
      <vt:lpstr>'202'!OSRRefE21_9x_5</vt:lpstr>
      <vt:lpstr>'203'!OSRRefE21_9x_5</vt:lpstr>
      <vt:lpstr>'300'!OSRRefE21_9x_5</vt:lpstr>
      <vt:lpstr>'300 &amp; 317'!OSRRefE21_9x_5</vt:lpstr>
      <vt:lpstr>'301'!OSRRefE21_9x_5</vt:lpstr>
      <vt:lpstr>'307'!OSRRefE21_9x_5</vt:lpstr>
      <vt:lpstr>'308'!OSRRefE21_9x_5</vt:lpstr>
      <vt:lpstr>'310'!OSRRefE21_9x_5</vt:lpstr>
      <vt:lpstr>'310 &amp; 491'!OSRRefE21_9x_5</vt:lpstr>
      <vt:lpstr>'311'!OSRRefE21_9x_5</vt:lpstr>
      <vt:lpstr>'315'!OSRRefE21_9x_5</vt:lpstr>
      <vt:lpstr>'316'!OSRRefE21_9x_5</vt:lpstr>
      <vt:lpstr>'317'!OSRRefE21_9x_5</vt:lpstr>
      <vt:lpstr>'321'!OSRRefE21_9x_5</vt:lpstr>
      <vt:lpstr>'325'!OSRRefE21_9x_5</vt:lpstr>
      <vt:lpstr>'326'!OSRRefE21_9x_5</vt:lpstr>
      <vt:lpstr>'330'!OSRRefE21_9x_5</vt:lpstr>
      <vt:lpstr>'331'!OSRRefE21_9x_5</vt:lpstr>
      <vt:lpstr>'332'!OSRRefE21_9x_5</vt:lpstr>
      <vt:lpstr>'405'!OSRRefE21_9x_5</vt:lpstr>
      <vt:lpstr>'411'!OSRRefE21_9x_5</vt:lpstr>
      <vt:lpstr>'415'!OSRRefE21_9x_5</vt:lpstr>
      <vt:lpstr>'418'!OSRRefE21_9x_5</vt:lpstr>
      <vt:lpstr>'433'!OSRRefE21_9x_5</vt:lpstr>
      <vt:lpstr>'444'!OSRRefE21_9x_5</vt:lpstr>
      <vt:lpstr>'450'!OSRRefE21_9x_5</vt:lpstr>
      <vt:lpstr>'491'!OSRRefE21_9x_5</vt:lpstr>
      <vt:lpstr>'492'!OSRRefE21_9x_5</vt:lpstr>
      <vt:lpstr>'501'!OSRRefE21_9x_5</vt:lpstr>
      <vt:lpstr>'Div 2'!OSRRefE21_9x_5</vt:lpstr>
      <vt:lpstr>'Div 3'!OSRRefE21_9x_5</vt:lpstr>
      <vt:lpstr>'Div 4'!OSRRefE21_9x_5</vt:lpstr>
      <vt:lpstr>'Div 5'!OSRRefE21_9x_5</vt:lpstr>
      <vt:lpstr>'Div 6'!OSRRefE21_9x_5</vt:lpstr>
      <vt:lpstr>Summary!OSRRefE21_9x_5</vt:lpstr>
      <vt:lpstr>'201'!OSRRefE21_9x_6</vt:lpstr>
      <vt:lpstr>'202'!OSRRefE21_9x_6</vt:lpstr>
      <vt:lpstr>'203'!OSRRefE21_9x_6</vt:lpstr>
      <vt:lpstr>'300'!OSRRefE21_9x_6</vt:lpstr>
      <vt:lpstr>'300 &amp; 317'!OSRRefE21_9x_6</vt:lpstr>
      <vt:lpstr>'301'!OSRRefE21_9x_6</vt:lpstr>
      <vt:lpstr>'307'!OSRRefE21_9x_6</vt:lpstr>
      <vt:lpstr>'308'!OSRRefE21_9x_6</vt:lpstr>
      <vt:lpstr>'310'!OSRRefE21_9x_6</vt:lpstr>
      <vt:lpstr>'310 &amp; 491'!OSRRefE21_9x_6</vt:lpstr>
      <vt:lpstr>'311'!OSRRefE21_9x_6</vt:lpstr>
      <vt:lpstr>'315'!OSRRefE21_9x_6</vt:lpstr>
      <vt:lpstr>'316'!OSRRefE21_9x_6</vt:lpstr>
      <vt:lpstr>'317'!OSRRefE21_9x_6</vt:lpstr>
      <vt:lpstr>'321'!OSRRefE21_9x_6</vt:lpstr>
      <vt:lpstr>'325'!OSRRefE21_9x_6</vt:lpstr>
      <vt:lpstr>'326'!OSRRefE21_9x_6</vt:lpstr>
      <vt:lpstr>'330'!OSRRefE21_9x_6</vt:lpstr>
      <vt:lpstr>'331'!OSRRefE21_9x_6</vt:lpstr>
      <vt:lpstr>'332'!OSRRefE21_9x_6</vt:lpstr>
      <vt:lpstr>'405'!OSRRefE21_9x_6</vt:lpstr>
      <vt:lpstr>'411'!OSRRefE21_9x_6</vt:lpstr>
      <vt:lpstr>'415'!OSRRefE21_9x_6</vt:lpstr>
      <vt:lpstr>'418'!OSRRefE21_9x_6</vt:lpstr>
      <vt:lpstr>'433'!OSRRefE21_9x_6</vt:lpstr>
      <vt:lpstr>'444'!OSRRefE21_9x_6</vt:lpstr>
      <vt:lpstr>'450'!OSRRefE21_9x_6</vt:lpstr>
      <vt:lpstr>'491'!OSRRefE21_9x_6</vt:lpstr>
      <vt:lpstr>'492'!OSRRefE21_9x_6</vt:lpstr>
      <vt:lpstr>'501'!OSRRefE21_9x_6</vt:lpstr>
      <vt:lpstr>'Div 2'!OSRRefE21_9x_6</vt:lpstr>
      <vt:lpstr>'Div 3'!OSRRefE21_9x_6</vt:lpstr>
      <vt:lpstr>'Div 4'!OSRRefE21_9x_6</vt:lpstr>
      <vt:lpstr>'Div 5'!OSRRefE21_9x_6</vt:lpstr>
      <vt:lpstr>'Div 6'!OSRRefE21_9x_6</vt:lpstr>
      <vt:lpstr>Summary!OSRRefE21_9x_6</vt:lpstr>
      <vt:lpstr>'201'!OSRRefE21_9x_7</vt:lpstr>
      <vt:lpstr>'202'!OSRRefE21_9x_7</vt:lpstr>
      <vt:lpstr>'203'!OSRRefE21_9x_7</vt:lpstr>
      <vt:lpstr>'300'!OSRRefE21_9x_7</vt:lpstr>
      <vt:lpstr>'300 &amp; 317'!OSRRefE21_9x_7</vt:lpstr>
      <vt:lpstr>'301'!OSRRefE21_9x_7</vt:lpstr>
      <vt:lpstr>'307'!OSRRefE21_9x_7</vt:lpstr>
      <vt:lpstr>'308'!OSRRefE21_9x_7</vt:lpstr>
      <vt:lpstr>'310'!OSRRefE21_9x_7</vt:lpstr>
      <vt:lpstr>'310 &amp; 491'!OSRRefE21_9x_7</vt:lpstr>
      <vt:lpstr>'311'!OSRRefE21_9x_7</vt:lpstr>
      <vt:lpstr>'315'!OSRRefE21_9x_7</vt:lpstr>
      <vt:lpstr>'316'!OSRRefE21_9x_7</vt:lpstr>
      <vt:lpstr>'317'!OSRRefE21_9x_7</vt:lpstr>
      <vt:lpstr>'321'!OSRRefE21_9x_7</vt:lpstr>
      <vt:lpstr>'325'!OSRRefE21_9x_7</vt:lpstr>
      <vt:lpstr>'326'!OSRRefE21_9x_7</vt:lpstr>
      <vt:lpstr>'330'!OSRRefE21_9x_7</vt:lpstr>
      <vt:lpstr>'331'!OSRRefE21_9x_7</vt:lpstr>
      <vt:lpstr>'332'!OSRRefE21_9x_7</vt:lpstr>
      <vt:lpstr>'405'!OSRRefE21_9x_7</vt:lpstr>
      <vt:lpstr>'411'!OSRRefE21_9x_7</vt:lpstr>
      <vt:lpstr>'415'!OSRRefE21_9x_7</vt:lpstr>
      <vt:lpstr>'418'!OSRRefE21_9x_7</vt:lpstr>
      <vt:lpstr>'433'!OSRRefE21_9x_7</vt:lpstr>
      <vt:lpstr>'444'!OSRRefE21_9x_7</vt:lpstr>
      <vt:lpstr>'450'!OSRRefE21_9x_7</vt:lpstr>
      <vt:lpstr>'491'!OSRRefE21_9x_7</vt:lpstr>
      <vt:lpstr>'492'!OSRRefE21_9x_7</vt:lpstr>
      <vt:lpstr>'501'!OSRRefE21_9x_7</vt:lpstr>
      <vt:lpstr>'Div 2'!OSRRefE21_9x_7</vt:lpstr>
      <vt:lpstr>'Div 3'!OSRRefE21_9x_7</vt:lpstr>
      <vt:lpstr>'Div 4'!OSRRefE21_9x_7</vt:lpstr>
      <vt:lpstr>'Div 5'!OSRRefE21_9x_7</vt:lpstr>
      <vt:lpstr>'Div 6'!OSRRefE21_9x_7</vt:lpstr>
      <vt:lpstr>Summary!OSRRefE21_9x_7</vt:lpstr>
      <vt:lpstr>'201'!OSRRefE21_9x_8</vt:lpstr>
      <vt:lpstr>'202'!OSRRefE21_9x_8</vt:lpstr>
      <vt:lpstr>'203'!OSRRefE21_9x_8</vt:lpstr>
      <vt:lpstr>'300'!OSRRefE21_9x_8</vt:lpstr>
      <vt:lpstr>'300 &amp; 317'!OSRRefE21_9x_8</vt:lpstr>
      <vt:lpstr>'301'!OSRRefE21_9x_8</vt:lpstr>
      <vt:lpstr>'307'!OSRRefE21_9x_8</vt:lpstr>
      <vt:lpstr>'308'!OSRRefE21_9x_8</vt:lpstr>
      <vt:lpstr>'310'!OSRRefE21_9x_8</vt:lpstr>
      <vt:lpstr>'310 &amp; 491'!OSRRefE21_9x_8</vt:lpstr>
      <vt:lpstr>'311'!OSRRefE21_9x_8</vt:lpstr>
      <vt:lpstr>'315'!OSRRefE21_9x_8</vt:lpstr>
      <vt:lpstr>'316'!OSRRefE21_9x_8</vt:lpstr>
      <vt:lpstr>'317'!OSRRefE21_9x_8</vt:lpstr>
      <vt:lpstr>'321'!OSRRefE21_9x_8</vt:lpstr>
      <vt:lpstr>'325'!OSRRefE21_9x_8</vt:lpstr>
      <vt:lpstr>'326'!OSRRefE21_9x_8</vt:lpstr>
      <vt:lpstr>'330'!OSRRefE21_9x_8</vt:lpstr>
      <vt:lpstr>'331'!OSRRefE21_9x_8</vt:lpstr>
      <vt:lpstr>'332'!OSRRefE21_9x_8</vt:lpstr>
      <vt:lpstr>'405'!OSRRefE21_9x_8</vt:lpstr>
      <vt:lpstr>'411'!OSRRefE21_9x_8</vt:lpstr>
      <vt:lpstr>'415'!OSRRefE21_9x_8</vt:lpstr>
      <vt:lpstr>'418'!OSRRefE21_9x_8</vt:lpstr>
      <vt:lpstr>'433'!OSRRefE21_9x_8</vt:lpstr>
      <vt:lpstr>'444'!OSRRefE21_9x_8</vt:lpstr>
      <vt:lpstr>'450'!OSRRefE21_9x_8</vt:lpstr>
      <vt:lpstr>'491'!OSRRefE21_9x_8</vt:lpstr>
      <vt:lpstr>'492'!OSRRefE21_9x_8</vt:lpstr>
      <vt:lpstr>'501'!OSRRefE21_9x_8</vt:lpstr>
      <vt:lpstr>'Div 2'!OSRRefE21_9x_8</vt:lpstr>
      <vt:lpstr>'Div 3'!OSRRefE21_9x_8</vt:lpstr>
      <vt:lpstr>'Div 4'!OSRRefE21_9x_8</vt:lpstr>
      <vt:lpstr>'Div 5'!OSRRefE21_9x_8</vt:lpstr>
      <vt:lpstr>'Div 6'!OSRRefE21_9x_8</vt:lpstr>
      <vt:lpstr>Summary!OSRRefE21_9x_8</vt:lpstr>
      <vt:lpstr>'201'!OSRRefE21_9x_9</vt:lpstr>
      <vt:lpstr>'202'!OSRRefE21_9x_9</vt:lpstr>
      <vt:lpstr>'203'!OSRRefE21_9x_9</vt:lpstr>
      <vt:lpstr>'300'!OSRRefE21_9x_9</vt:lpstr>
      <vt:lpstr>'300 &amp; 317'!OSRRefE21_9x_9</vt:lpstr>
      <vt:lpstr>'301'!OSRRefE21_9x_9</vt:lpstr>
      <vt:lpstr>'307'!OSRRefE21_9x_9</vt:lpstr>
      <vt:lpstr>'308'!OSRRefE21_9x_9</vt:lpstr>
      <vt:lpstr>'310'!OSRRefE21_9x_9</vt:lpstr>
      <vt:lpstr>'310 &amp; 491'!OSRRefE21_9x_9</vt:lpstr>
      <vt:lpstr>'311'!OSRRefE21_9x_9</vt:lpstr>
      <vt:lpstr>'315'!OSRRefE21_9x_9</vt:lpstr>
      <vt:lpstr>'316'!OSRRefE21_9x_9</vt:lpstr>
      <vt:lpstr>'317'!OSRRefE21_9x_9</vt:lpstr>
      <vt:lpstr>'321'!OSRRefE21_9x_9</vt:lpstr>
      <vt:lpstr>'325'!OSRRefE21_9x_9</vt:lpstr>
      <vt:lpstr>'326'!OSRRefE21_9x_9</vt:lpstr>
      <vt:lpstr>'330'!OSRRefE21_9x_9</vt:lpstr>
      <vt:lpstr>'331'!OSRRefE21_9x_9</vt:lpstr>
      <vt:lpstr>'332'!OSRRefE21_9x_9</vt:lpstr>
      <vt:lpstr>'405'!OSRRefE21_9x_9</vt:lpstr>
      <vt:lpstr>'411'!OSRRefE21_9x_9</vt:lpstr>
      <vt:lpstr>'415'!OSRRefE21_9x_9</vt:lpstr>
      <vt:lpstr>'418'!OSRRefE21_9x_9</vt:lpstr>
      <vt:lpstr>'433'!OSRRefE21_9x_9</vt:lpstr>
      <vt:lpstr>'444'!OSRRefE21_9x_9</vt:lpstr>
      <vt:lpstr>'450'!OSRRefE21_9x_9</vt:lpstr>
      <vt:lpstr>'491'!OSRRefE21_9x_9</vt:lpstr>
      <vt:lpstr>'492'!OSRRefE21_9x_9</vt:lpstr>
      <vt:lpstr>'501'!OSRRefE21_9x_9</vt:lpstr>
      <vt:lpstr>'Div 2'!OSRRefE21_9x_9</vt:lpstr>
      <vt:lpstr>'Div 3'!OSRRefE21_9x_9</vt:lpstr>
      <vt:lpstr>'Div 4'!OSRRefE21_9x_9</vt:lpstr>
      <vt:lpstr>'Div 5'!OSRRefE21_9x_9</vt:lpstr>
      <vt:lpstr>'Div 6'!OSRRefE21_9x_9</vt:lpstr>
      <vt:lpstr>Summary!OSRRefE21_9x_9</vt:lpstr>
      <vt:lpstr>'100'!OSRRefE23_0x</vt:lpstr>
      <vt:lpstr>'200'!OSRRefE23_0x</vt:lpstr>
      <vt:lpstr>'201'!OSRRefE23_0x</vt:lpstr>
      <vt:lpstr>'202'!OSRRefE23_0x</vt:lpstr>
      <vt:lpstr>'203'!OSRRefE23_0x</vt:lpstr>
      <vt:lpstr>'204'!OSRRefE23_0x</vt:lpstr>
      <vt:lpstr>'205'!OSRRefE23_0x</vt:lpstr>
      <vt:lpstr>'206'!OSRRefE23_0x</vt:lpstr>
      <vt:lpstr>'300'!OSRRefE23_0x</vt:lpstr>
      <vt:lpstr>'300 &amp; 317'!OSRRefE23_0x</vt:lpstr>
      <vt:lpstr>'301'!OSRRefE23_0x</vt:lpstr>
      <vt:lpstr>'307'!OSRRefE23_0x</vt:lpstr>
      <vt:lpstr>'308'!OSRRefE23_0x</vt:lpstr>
      <vt:lpstr>'309'!OSRRefE23_0x</vt:lpstr>
      <vt:lpstr>'310'!OSRRefE23_0x</vt:lpstr>
      <vt:lpstr>'310 &amp; 491'!OSRRefE23_0x</vt:lpstr>
      <vt:lpstr>'311'!OSRRefE23_0x</vt:lpstr>
      <vt:lpstr>'313'!OSRRefE23_0x</vt:lpstr>
      <vt:lpstr>'315'!OSRRefE23_0x</vt:lpstr>
      <vt:lpstr>'316'!OSRRefE23_0x</vt:lpstr>
      <vt:lpstr>'317'!OSRRefE23_0x</vt:lpstr>
      <vt:lpstr>'321'!OSRRefE23_0x</vt:lpstr>
      <vt:lpstr>'324'!OSRRefE23_0x</vt:lpstr>
      <vt:lpstr>'325'!OSRRefE23_0x</vt:lpstr>
      <vt:lpstr>'326'!OSRRefE23_0x</vt:lpstr>
      <vt:lpstr>'327'!OSRRefE23_0x</vt:lpstr>
      <vt:lpstr>'330'!OSRRefE23_0x</vt:lpstr>
      <vt:lpstr>'331'!OSRRefE23_0x</vt:lpstr>
      <vt:lpstr>'332'!OSRRefE23_0x</vt:lpstr>
      <vt:lpstr>'405'!OSRRefE23_0x</vt:lpstr>
      <vt:lpstr>'411'!OSRRefE23_0x</vt:lpstr>
      <vt:lpstr>'412'!OSRRefE23_0x</vt:lpstr>
      <vt:lpstr>'413'!OSRRefE23_0x</vt:lpstr>
      <vt:lpstr>'415'!OSRRefE23_0x</vt:lpstr>
      <vt:lpstr>'418'!OSRRefE23_0x</vt:lpstr>
      <vt:lpstr>'423'!OSRRefE23_0x</vt:lpstr>
      <vt:lpstr>'424'!OSRRefE23_0x</vt:lpstr>
      <vt:lpstr>'425'!OSRRefE23_0x</vt:lpstr>
      <vt:lpstr>'430'!OSRRefE23_0x</vt:lpstr>
      <vt:lpstr>'433'!OSRRefE23_0x</vt:lpstr>
      <vt:lpstr>'444'!OSRRefE23_0x</vt:lpstr>
      <vt:lpstr>'450'!OSRRefE23_0x</vt:lpstr>
      <vt:lpstr>'455'!OSRRefE23_0x</vt:lpstr>
      <vt:lpstr>'491'!OSRRefE23_0x</vt:lpstr>
      <vt:lpstr>'492'!OSRRefE23_0x</vt:lpstr>
      <vt:lpstr>'501'!OSRRefE23_0x</vt:lpstr>
      <vt:lpstr>'Div 1'!OSRRefE23_0x</vt:lpstr>
      <vt:lpstr>'Div 2'!OSRRefE23_0x</vt:lpstr>
      <vt:lpstr>'Div 3'!OSRRefE23_0x</vt:lpstr>
      <vt:lpstr>'Div 4'!OSRRefE23_0x</vt:lpstr>
      <vt:lpstr>'Div 5'!OSRRefE23_0x</vt:lpstr>
      <vt:lpstr>'Div 6'!OSRRefE23_0x</vt:lpstr>
      <vt:lpstr>Summary!OSRRefE23_0x</vt:lpstr>
      <vt:lpstr>'100'!OSRRefE28_0x</vt:lpstr>
      <vt:lpstr>'200'!OSRRefE28_0x</vt:lpstr>
      <vt:lpstr>'201'!OSRRefE28_0x</vt:lpstr>
      <vt:lpstr>'202'!OSRRefE28_0x</vt:lpstr>
      <vt:lpstr>'203'!OSRRefE28_0x</vt:lpstr>
      <vt:lpstr>'204'!OSRRefE28_0x</vt:lpstr>
      <vt:lpstr>'205'!OSRRefE28_0x</vt:lpstr>
      <vt:lpstr>'206'!OSRRefE28_0x</vt:lpstr>
      <vt:lpstr>'300'!OSRRefE28_0x</vt:lpstr>
      <vt:lpstr>'300 &amp; 317'!OSRRefE28_0x</vt:lpstr>
      <vt:lpstr>'301'!OSRRefE28_0x</vt:lpstr>
      <vt:lpstr>'307'!OSRRefE28_0x</vt:lpstr>
      <vt:lpstr>'308'!OSRRefE28_0x</vt:lpstr>
      <vt:lpstr>'309'!OSRRefE28_0x</vt:lpstr>
      <vt:lpstr>'310'!OSRRefE28_0x</vt:lpstr>
      <vt:lpstr>'310 &amp; 491'!OSRRefE28_0x</vt:lpstr>
      <vt:lpstr>'311'!OSRRefE28_0x</vt:lpstr>
      <vt:lpstr>'313'!OSRRefE28_0x</vt:lpstr>
      <vt:lpstr>'315'!OSRRefE28_0x</vt:lpstr>
      <vt:lpstr>'316'!OSRRefE28_0x</vt:lpstr>
      <vt:lpstr>'317'!OSRRefE28_0x</vt:lpstr>
      <vt:lpstr>'321'!OSRRefE28_0x</vt:lpstr>
      <vt:lpstr>'324'!OSRRefE28_0x</vt:lpstr>
      <vt:lpstr>'325'!OSRRefE28_0x</vt:lpstr>
      <vt:lpstr>'326'!OSRRefE28_0x</vt:lpstr>
      <vt:lpstr>'327'!OSRRefE28_0x</vt:lpstr>
      <vt:lpstr>'330'!OSRRefE28_0x</vt:lpstr>
      <vt:lpstr>'331'!OSRRefE28_0x</vt:lpstr>
      <vt:lpstr>'332'!OSRRefE28_0x</vt:lpstr>
      <vt:lpstr>'405'!OSRRefE28_0x</vt:lpstr>
      <vt:lpstr>'411'!OSRRefE28_0x</vt:lpstr>
      <vt:lpstr>'412'!OSRRefE28_0x</vt:lpstr>
      <vt:lpstr>'413'!OSRRefE28_0x</vt:lpstr>
      <vt:lpstr>'415'!OSRRefE28_0x</vt:lpstr>
      <vt:lpstr>'418'!OSRRefE28_0x</vt:lpstr>
      <vt:lpstr>'423'!OSRRefE28_0x</vt:lpstr>
      <vt:lpstr>'424'!OSRRefE28_0x</vt:lpstr>
      <vt:lpstr>'425'!OSRRefE28_0x</vt:lpstr>
      <vt:lpstr>'430'!OSRRefE28_0x</vt:lpstr>
      <vt:lpstr>'433'!OSRRefE28_0x</vt:lpstr>
      <vt:lpstr>'444'!OSRRefE28_0x</vt:lpstr>
      <vt:lpstr>'450'!OSRRefE28_0x</vt:lpstr>
      <vt:lpstr>'455'!OSRRefE28_0x</vt:lpstr>
      <vt:lpstr>'491'!OSRRefE28_0x</vt:lpstr>
      <vt:lpstr>'492'!OSRRefE28_0x</vt:lpstr>
      <vt:lpstr>'501'!OSRRefE28_0x</vt:lpstr>
      <vt:lpstr>'Div 3'!OSRRefE28_0x</vt:lpstr>
      <vt:lpstr>'Div 4'!OSRRefE28_0x</vt:lpstr>
      <vt:lpstr>'Div 5'!OSRRefE28_0x</vt:lpstr>
      <vt:lpstr>'Div 6'!OSRRefE28_0x</vt:lpstr>
      <vt:lpstr>Summary!OSRRefE28_0x</vt:lpstr>
      <vt:lpstr>'100'!OSRRefE33_0x</vt:lpstr>
      <vt:lpstr>'Div 1'!OSRRefE33_0x</vt:lpstr>
      <vt:lpstr>Summary!OSRRefE33_0x</vt:lpstr>
      <vt:lpstr>'100'!OSRRefE34_0x</vt:lpstr>
      <vt:lpstr>'Div 1'!OSRRefE34_0x</vt:lpstr>
      <vt:lpstr>Summary!OSRRefE34_0x</vt:lpstr>
      <vt:lpstr>'300'!OSRRefG11x</vt:lpstr>
      <vt:lpstr>'300 &amp; 317'!OSRRefG11x</vt:lpstr>
      <vt:lpstr>'307'!OSRRefG11x</vt:lpstr>
      <vt:lpstr>'308'!OSRRefG11x</vt:lpstr>
      <vt:lpstr>'310'!OSRRefG11x</vt:lpstr>
      <vt:lpstr>'310 &amp; 491'!OSRRefG11x</vt:lpstr>
      <vt:lpstr>'311'!OSRRefG11x</vt:lpstr>
      <vt:lpstr>'315'!OSRRefG11x</vt:lpstr>
      <vt:lpstr>'316'!OSRRefG11x</vt:lpstr>
      <vt:lpstr>'317'!OSRRefG11x</vt:lpstr>
      <vt:lpstr>'321'!OSRRefG11x</vt:lpstr>
      <vt:lpstr>'324'!OSRRefG11x</vt:lpstr>
      <vt:lpstr>'325'!OSRRefG11x</vt:lpstr>
      <vt:lpstr>'326'!OSRRefG11x</vt:lpstr>
      <vt:lpstr>'327'!OSRRefG11x</vt:lpstr>
      <vt:lpstr>'330'!OSRRefG11x</vt:lpstr>
      <vt:lpstr>'331'!OSRRefG11x</vt:lpstr>
      <vt:lpstr>'332'!OSRRefG11x</vt:lpstr>
      <vt:lpstr>'405'!OSRRefG11x</vt:lpstr>
      <vt:lpstr>'415'!OSRRefG11x</vt:lpstr>
      <vt:lpstr>'418'!OSRRefG11x</vt:lpstr>
      <vt:lpstr>'433'!OSRRefG11x</vt:lpstr>
      <vt:lpstr>'444'!OSRRefG11x</vt:lpstr>
      <vt:lpstr>'450'!OSRRefG11x</vt:lpstr>
      <vt:lpstr>'491'!OSRRefG11x</vt:lpstr>
      <vt:lpstr>'492'!OSRRefG11x</vt:lpstr>
      <vt:lpstr>'501'!OSRRefG11x</vt:lpstr>
      <vt:lpstr>'Div 3'!OSRRefG11x</vt:lpstr>
      <vt:lpstr>'Div 4'!OSRRefG11x</vt:lpstr>
      <vt:lpstr>'Div 5'!OSRRefG11x</vt:lpstr>
      <vt:lpstr>'Div 6'!OSRRefG11x</vt:lpstr>
      <vt:lpstr>Summary!OSRRefG11x</vt:lpstr>
      <vt:lpstr>'300'!OSRRefG14x</vt:lpstr>
      <vt:lpstr>'300 &amp; 317'!OSRRefG14x</vt:lpstr>
      <vt:lpstr>'307'!OSRRefG14x</vt:lpstr>
      <vt:lpstr>'308'!OSRRefG14x</vt:lpstr>
      <vt:lpstr>'310'!OSRRefG14x</vt:lpstr>
      <vt:lpstr>'310 &amp; 491'!OSRRefG14x</vt:lpstr>
      <vt:lpstr>'311'!OSRRefG14x</vt:lpstr>
      <vt:lpstr>'315'!OSRRefG14x</vt:lpstr>
      <vt:lpstr>'316'!OSRRefG14x</vt:lpstr>
      <vt:lpstr>'317'!OSRRefG14x</vt:lpstr>
      <vt:lpstr>'321'!OSRRefG14x</vt:lpstr>
      <vt:lpstr>'324'!OSRRefG14x</vt:lpstr>
      <vt:lpstr>'325'!OSRRefG14x</vt:lpstr>
      <vt:lpstr>'326'!OSRRefG14x</vt:lpstr>
      <vt:lpstr>'327'!OSRRefG14x</vt:lpstr>
      <vt:lpstr>'330'!OSRRefG14x</vt:lpstr>
      <vt:lpstr>'331'!OSRRefG14x</vt:lpstr>
      <vt:lpstr>'332'!OSRRefG14x</vt:lpstr>
      <vt:lpstr>'405'!OSRRefG14x</vt:lpstr>
      <vt:lpstr>'415'!OSRRefG14x</vt:lpstr>
      <vt:lpstr>'418'!OSRRefG14x</vt:lpstr>
      <vt:lpstr>'425'!OSRRefG14x</vt:lpstr>
      <vt:lpstr>'433'!OSRRefG14x</vt:lpstr>
      <vt:lpstr>'444'!OSRRefG14x</vt:lpstr>
      <vt:lpstr>'450'!OSRRefG14x</vt:lpstr>
      <vt:lpstr>'491'!OSRRefG14x</vt:lpstr>
      <vt:lpstr>'492'!OSRRefG14x</vt:lpstr>
      <vt:lpstr>'Div 3'!OSRRefG14x</vt:lpstr>
      <vt:lpstr>'Div 4'!OSRRefG14x</vt:lpstr>
      <vt:lpstr>'Div 6'!OSRRefG14x</vt:lpstr>
      <vt:lpstr>Summary!OSRRefG14x</vt:lpstr>
      <vt:lpstr>'200'!OSRRefG20x</vt:lpstr>
      <vt:lpstr>'201'!OSRRefG20x</vt:lpstr>
      <vt:lpstr>'202'!OSRRefG20x</vt:lpstr>
      <vt:lpstr>'203'!OSRRefG20x</vt:lpstr>
      <vt:lpstr>'204'!OSRRefG20x</vt:lpstr>
      <vt:lpstr>'205'!OSRRefG20x</vt:lpstr>
      <vt:lpstr>'206'!OSRRefG20x</vt:lpstr>
      <vt:lpstr>'300'!OSRRefG20x</vt:lpstr>
      <vt:lpstr>'300 &amp; 317'!OSRRefG20x</vt:lpstr>
      <vt:lpstr>'301'!OSRRefG20x</vt:lpstr>
      <vt:lpstr>'307'!OSRRefG20x</vt:lpstr>
      <vt:lpstr>'308'!OSRRefG20x</vt:lpstr>
      <vt:lpstr>'309'!OSRRefG20x</vt:lpstr>
      <vt:lpstr>'310'!OSRRefG20x</vt:lpstr>
      <vt:lpstr>'310 &amp; 491'!OSRRefG20x</vt:lpstr>
      <vt:lpstr>'311'!OSRRefG20x</vt:lpstr>
      <vt:lpstr>'313'!OSRRefG20x</vt:lpstr>
      <vt:lpstr>'315'!OSRRefG20x</vt:lpstr>
      <vt:lpstr>'316'!OSRRefG20x</vt:lpstr>
      <vt:lpstr>'317'!OSRRefG20x</vt:lpstr>
      <vt:lpstr>'321'!OSRRefG20x</vt:lpstr>
      <vt:lpstr>'325'!OSRRefG20x</vt:lpstr>
      <vt:lpstr>'326'!OSRRefG20x</vt:lpstr>
      <vt:lpstr>'327'!OSRRefG20x</vt:lpstr>
      <vt:lpstr>'330'!OSRRefG20x</vt:lpstr>
      <vt:lpstr>'331'!OSRRefG20x</vt:lpstr>
      <vt:lpstr>'332'!OSRRefG20x</vt:lpstr>
      <vt:lpstr>'405'!OSRRefG20x</vt:lpstr>
      <vt:lpstr>'411'!OSRRefG20x</vt:lpstr>
      <vt:lpstr>'412'!OSRRefG20x</vt:lpstr>
      <vt:lpstr>'413'!OSRRefG20x</vt:lpstr>
      <vt:lpstr>'415'!OSRRefG20x</vt:lpstr>
      <vt:lpstr>'418'!OSRRefG20x</vt:lpstr>
      <vt:lpstr>'423'!OSRRefG20x</vt:lpstr>
      <vt:lpstr>'424'!OSRRefG20x</vt:lpstr>
      <vt:lpstr>'425'!OSRRefG20x</vt:lpstr>
      <vt:lpstr>'430'!OSRRefG20x</vt:lpstr>
      <vt:lpstr>'433'!OSRRefG20x</vt:lpstr>
      <vt:lpstr>'444'!OSRRefG20x</vt:lpstr>
      <vt:lpstr>'450'!OSRRefG20x</vt:lpstr>
      <vt:lpstr>'491'!OSRRefG20x</vt:lpstr>
      <vt:lpstr>'492'!OSRRefG20x</vt:lpstr>
      <vt:lpstr>'501'!OSRRefG20x</vt:lpstr>
      <vt:lpstr>'Div 2'!OSRRefG20x</vt:lpstr>
      <vt:lpstr>'Div 3'!OSRRefG20x</vt:lpstr>
      <vt:lpstr>'Div 4'!OSRRefG20x</vt:lpstr>
      <vt:lpstr>'Div 5'!OSRRefG20x</vt:lpstr>
      <vt:lpstr>'Div 6'!OSRRefG20x</vt:lpstr>
      <vt:lpstr>Summary!OSRRefG20x</vt:lpstr>
      <vt:lpstr>'100'!Print_Area</vt:lpstr>
      <vt:lpstr>'200'!Print_Area</vt:lpstr>
      <vt:lpstr>'201'!Print_Area</vt:lpstr>
      <vt:lpstr>'202'!Print_Area</vt:lpstr>
      <vt:lpstr>'203'!Print_Area</vt:lpstr>
      <vt:lpstr>'204'!Print_Area</vt:lpstr>
      <vt:lpstr>'205'!Print_Area</vt:lpstr>
      <vt:lpstr>'206'!Print_Area</vt:lpstr>
      <vt:lpstr>'300'!Print_Area</vt:lpstr>
      <vt:lpstr>'300 &amp; 317'!Print_Area</vt:lpstr>
      <vt:lpstr>'301'!Print_Area</vt:lpstr>
      <vt:lpstr>'307'!Print_Area</vt:lpstr>
      <vt:lpstr>'308'!Print_Area</vt:lpstr>
      <vt:lpstr>'309'!Print_Area</vt:lpstr>
      <vt:lpstr>'310'!Print_Area</vt:lpstr>
      <vt:lpstr>'310 &amp; 491'!Print_Area</vt:lpstr>
      <vt:lpstr>'311'!Print_Area</vt:lpstr>
      <vt:lpstr>'313'!Print_Area</vt:lpstr>
      <vt:lpstr>'315'!Print_Area</vt:lpstr>
      <vt:lpstr>'316'!Print_Area</vt:lpstr>
      <vt:lpstr>'317'!Print_Area</vt:lpstr>
      <vt:lpstr>'321'!Print_Area</vt:lpstr>
      <vt:lpstr>'324'!Print_Area</vt:lpstr>
      <vt:lpstr>'325'!Print_Area</vt:lpstr>
      <vt:lpstr>'326'!Print_Area</vt:lpstr>
      <vt:lpstr>'327'!Print_Area</vt:lpstr>
      <vt:lpstr>'330'!Print_Area</vt:lpstr>
      <vt:lpstr>'331'!Print_Area</vt:lpstr>
      <vt:lpstr>'332'!Print_Area</vt:lpstr>
      <vt:lpstr>'405'!Print_Area</vt:lpstr>
      <vt:lpstr>'411'!Print_Area</vt:lpstr>
      <vt:lpstr>'412'!Print_Area</vt:lpstr>
      <vt:lpstr>'413'!Print_Area</vt:lpstr>
      <vt:lpstr>'415'!Print_Area</vt:lpstr>
      <vt:lpstr>'418'!Print_Area</vt:lpstr>
      <vt:lpstr>'423'!Print_Area</vt:lpstr>
      <vt:lpstr>'424'!Print_Area</vt:lpstr>
      <vt:lpstr>'425'!Print_Area</vt:lpstr>
      <vt:lpstr>'430'!Print_Area</vt:lpstr>
      <vt:lpstr>'433'!Print_Area</vt:lpstr>
      <vt:lpstr>'444'!Print_Area</vt:lpstr>
      <vt:lpstr>'450'!Print_Area</vt:lpstr>
      <vt:lpstr>'455'!Print_Area</vt:lpstr>
      <vt:lpstr>'491'!Print_Area</vt:lpstr>
      <vt:lpstr>'492'!Print_Area</vt:lpstr>
      <vt:lpstr>'501'!Print_Area</vt:lpstr>
      <vt:lpstr>Dept!Print_Area</vt:lpstr>
      <vt:lpstr>'Div 1'!Print_Area</vt:lpstr>
      <vt:lpstr>'Div 2'!Print_Area</vt:lpstr>
      <vt:lpstr>'Div 3'!Print_Area</vt:lpstr>
      <vt:lpstr>'Div 4'!Print_Area</vt:lpstr>
      <vt:lpstr>'Div 5'!Print_Area</vt:lpstr>
      <vt:lpstr>'Div 6'!Print_Area</vt:lpstr>
      <vt:lpstr>'OSR_300 &amp; 317_1C00ID4'!Print_Area</vt:lpstr>
      <vt:lpstr>OSR_300_IYZXI6!Print_Area</vt:lpstr>
      <vt:lpstr>OSR_308_UAWDAG!Print_Area</vt:lpstr>
      <vt:lpstr>'OSR_310 &amp; 49...7615ada9_1PJ8EDG'!Print_Area</vt:lpstr>
      <vt:lpstr>'OSR_310 &amp; 49...76bf5af7_1A2901X'!Print_Area</vt:lpstr>
      <vt:lpstr>'OSR_310 &amp; 491...c23f2d59_X1JXXU'!Print_Area</vt:lpstr>
      <vt:lpstr>'OSR_310 &amp; 491_1NGRCS9'!Print_Area</vt:lpstr>
      <vt:lpstr>OSR_310_1CMTOSB!Print_Area</vt:lpstr>
      <vt:lpstr>OSR_330_10VFP5Y!Print_Area</vt:lpstr>
      <vt:lpstr>OSR_331_10VKQAJ!Print_Area</vt:lpstr>
      <vt:lpstr>OSR_332_6NDVBW!Print_Area</vt:lpstr>
      <vt:lpstr>OSR_491_9Z9JH5!Print_Area</vt:lpstr>
      <vt:lpstr>OSR_492_943FP1!Print_Area</vt:lpstr>
      <vt:lpstr>'OSR_Current ...69b7dd8c_1IEQKFK'!Print_Area</vt:lpstr>
      <vt:lpstr>'OSR_Dept (2)_...dd5b15a0_2T6PUA'!Print_Area</vt:lpstr>
      <vt:lpstr>OSR_Dept_Y0WUKY!Print_Area</vt:lpstr>
      <vt:lpstr>'OSR_Div 1 (1...42fef80a_1JUNUIZ'!Print_Area</vt:lpstr>
      <vt:lpstr>'OSR_Div 1 (10...e834aaf2_4B2R3Z'!Print_Area</vt:lpstr>
      <vt:lpstr>'OSR_Div 1 (2...9b2bdc94_1Y8VZ4A'!Print_Area</vt:lpstr>
      <vt:lpstr>'OSR_Div 1 (3...74ea2e91_1YANJVT'!Print_Area</vt:lpstr>
      <vt:lpstr>'OSR_Div 1 (4)...cdd6f638_NQSRHK'!Print_Area</vt:lpstr>
      <vt:lpstr>'OSR_Div 1 (5)...14c61d9ac_RUIH7'!Print_Area</vt:lpstr>
      <vt:lpstr>'OSR_Div 1 (6)...754b1b2a_ZV1FUK'!Print_Area</vt:lpstr>
      <vt:lpstr>'OSR_Div 1 (7)...77c4adfc_YECVQC'!Print_Area</vt:lpstr>
      <vt:lpstr>'OSR_Div 1 (8...54681dd8_1N56J6G'!Print_Area</vt:lpstr>
      <vt:lpstr>'OSR_Div 1 (9)...81df0cf4_TBZUNU'!Print_Area</vt:lpstr>
      <vt:lpstr>'OSR_Div 1_7H47HR'!Print_Area</vt:lpstr>
      <vt:lpstr>'OSR_Div 2_1PQ800A'!Print_Area</vt:lpstr>
      <vt:lpstr>'OSR_Div 3_18723PH'!Print_Area</vt:lpstr>
      <vt:lpstr>'OSR_Div 4 (2)...a8a8204b_XPPX5M'!Print_Area</vt:lpstr>
      <vt:lpstr>'OSR_Div 4_1740TMT'!Print_Area</vt:lpstr>
      <vt:lpstr>'OSR_Div 5 (2...bac05800_1LZIM8H'!Print_Area</vt:lpstr>
      <vt:lpstr>'OSR_Div 5_16NAZO2'!Print_Area</vt:lpstr>
      <vt:lpstr>'OSR_Div 6_P37YY7'!Print_Area</vt:lpstr>
      <vt:lpstr>'OSR_Summary (...56e5d78f_5JEYZH'!Print_Area</vt:lpstr>
      <vt:lpstr>OSR_Summary_18VAVWG!Print_Area</vt:lpstr>
      <vt:lpstr>Summary!Print_Area</vt:lpstr>
      <vt:lpstr>'100'!Print_Titles</vt:lpstr>
      <vt:lpstr>'200'!Print_Titles</vt:lpstr>
      <vt:lpstr>'201'!Print_Titles</vt:lpstr>
      <vt:lpstr>'202'!Print_Titles</vt:lpstr>
      <vt:lpstr>'203'!Print_Titles</vt:lpstr>
      <vt:lpstr>'204'!Print_Titles</vt:lpstr>
      <vt:lpstr>'205'!Print_Titles</vt:lpstr>
      <vt:lpstr>'206'!Print_Titles</vt:lpstr>
      <vt:lpstr>'300'!Print_Titles</vt:lpstr>
      <vt:lpstr>'300 &amp; 317'!Print_Titles</vt:lpstr>
      <vt:lpstr>'301'!Print_Titles</vt:lpstr>
      <vt:lpstr>'307'!Print_Titles</vt:lpstr>
      <vt:lpstr>'308'!Print_Titles</vt:lpstr>
      <vt:lpstr>'309'!Print_Titles</vt:lpstr>
      <vt:lpstr>'310'!Print_Titles</vt:lpstr>
      <vt:lpstr>'310 &amp; 491'!Print_Titles</vt:lpstr>
      <vt:lpstr>'311'!Print_Titles</vt:lpstr>
      <vt:lpstr>'313'!Print_Titles</vt:lpstr>
      <vt:lpstr>'315'!Print_Titles</vt:lpstr>
      <vt:lpstr>'316'!Print_Titles</vt:lpstr>
      <vt:lpstr>'317'!Print_Titles</vt:lpstr>
      <vt:lpstr>'321'!Print_Titles</vt:lpstr>
      <vt:lpstr>'324'!Print_Titles</vt:lpstr>
      <vt:lpstr>'325'!Print_Titles</vt:lpstr>
      <vt:lpstr>'326'!Print_Titles</vt:lpstr>
      <vt:lpstr>'327'!Print_Titles</vt:lpstr>
      <vt:lpstr>'330'!Print_Titles</vt:lpstr>
      <vt:lpstr>'331'!Print_Titles</vt:lpstr>
      <vt:lpstr>'332'!Print_Titles</vt:lpstr>
      <vt:lpstr>'405'!Print_Titles</vt:lpstr>
      <vt:lpstr>'411'!Print_Titles</vt:lpstr>
      <vt:lpstr>'412'!Print_Titles</vt:lpstr>
      <vt:lpstr>'413'!Print_Titles</vt:lpstr>
      <vt:lpstr>'415'!Print_Titles</vt:lpstr>
      <vt:lpstr>'418'!Print_Titles</vt:lpstr>
      <vt:lpstr>'423'!Print_Titles</vt:lpstr>
      <vt:lpstr>'424'!Print_Titles</vt:lpstr>
      <vt:lpstr>'425'!Print_Titles</vt:lpstr>
      <vt:lpstr>'430'!Print_Titles</vt:lpstr>
      <vt:lpstr>'433'!Print_Titles</vt:lpstr>
      <vt:lpstr>'444'!Print_Titles</vt:lpstr>
      <vt:lpstr>'450'!Print_Titles</vt:lpstr>
      <vt:lpstr>'455'!Print_Titles</vt:lpstr>
      <vt:lpstr>'491'!Print_Titles</vt:lpstr>
      <vt:lpstr>'492'!Print_Titles</vt:lpstr>
      <vt:lpstr>'501'!Print_Titles</vt:lpstr>
      <vt:lpstr>Dept!Print_Titles</vt:lpstr>
      <vt:lpstr>'Div 1'!Print_Titles</vt:lpstr>
      <vt:lpstr>'Div 2'!Print_Titles</vt:lpstr>
      <vt:lpstr>'Div 3'!Print_Titles</vt:lpstr>
      <vt:lpstr>'Div 4'!Print_Titles</vt:lpstr>
      <vt:lpstr>'Div 5'!Print_Titles</vt:lpstr>
      <vt:lpstr>'Div 6'!Print_Titles</vt:lpstr>
      <vt:lpstr>'OSR_300 &amp; 317_1C00ID4'!Print_Titles</vt:lpstr>
      <vt:lpstr>OSR_300_IYZXI6!Print_Titles</vt:lpstr>
      <vt:lpstr>OSR_308_UAWDAG!Print_Titles</vt:lpstr>
      <vt:lpstr>'OSR_310 &amp; 49...7615ada9_1PJ8EDG'!Print_Titles</vt:lpstr>
      <vt:lpstr>'OSR_310 &amp; 49...76bf5af7_1A2901X'!Print_Titles</vt:lpstr>
      <vt:lpstr>'OSR_310 &amp; 491...c23f2d59_X1JXXU'!Print_Titles</vt:lpstr>
      <vt:lpstr>'OSR_310 &amp; 491_1NGRCS9'!Print_Titles</vt:lpstr>
      <vt:lpstr>OSR_310_1CMTOSB!Print_Titles</vt:lpstr>
      <vt:lpstr>OSR_330_10VFP5Y!Print_Titles</vt:lpstr>
      <vt:lpstr>OSR_331_10VKQAJ!Print_Titles</vt:lpstr>
      <vt:lpstr>OSR_332_6NDVBW!Print_Titles</vt:lpstr>
      <vt:lpstr>OSR_491_9Z9JH5!Print_Titles</vt:lpstr>
      <vt:lpstr>OSR_492_943FP1!Print_Titles</vt:lpstr>
      <vt:lpstr>'OSR_Current ...69b7dd8c_1IEQKFK'!Print_Titles</vt:lpstr>
      <vt:lpstr>'OSR_Dept (2)_...dd5b15a0_2T6PUA'!Print_Titles</vt:lpstr>
      <vt:lpstr>OSR_Dept_Y0WUKY!Print_Titles</vt:lpstr>
      <vt:lpstr>'OSR_Div 1 (1...42fef80a_1JUNUIZ'!Print_Titles</vt:lpstr>
      <vt:lpstr>'OSR_Div 1 (10...e834aaf2_4B2R3Z'!Print_Titles</vt:lpstr>
      <vt:lpstr>'OSR_Div 1 (2...9b2bdc94_1Y8VZ4A'!Print_Titles</vt:lpstr>
      <vt:lpstr>'OSR_Div 1 (3...74ea2e91_1YANJVT'!Print_Titles</vt:lpstr>
      <vt:lpstr>'OSR_Div 1 (4)...cdd6f638_NQSRHK'!Print_Titles</vt:lpstr>
      <vt:lpstr>'OSR_Div 1 (5)...14c61d9ac_RUIH7'!Print_Titles</vt:lpstr>
      <vt:lpstr>'OSR_Div 1 (6)...754b1b2a_ZV1FUK'!Print_Titles</vt:lpstr>
      <vt:lpstr>'OSR_Div 1 (7)...77c4adfc_YECVQC'!Print_Titles</vt:lpstr>
      <vt:lpstr>'OSR_Div 1 (8...54681dd8_1N56J6G'!Print_Titles</vt:lpstr>
      <vt:lpstr>'OSR_Div 1 (9)...81df0cf4_TBZUNU'!Print_Titles</vt:lpstr>
      <vt:lpstr>'OSR_Div 1_7H47HR'!Print_Titles</vt:lpstr>
      <vt:lpstr>'OSR_Div 2_1PQ800A'!Print_Titles</vt:lpstr>
      <vt:lpstr>'OSR_Div 3_18723PH'!Print_Titles</vt:lpstr>
      <vt:lpstr>'OSR_Div 4 (2)...a8a8204b_XPPX5M'!Print_Titles</vt:lpstr>
      <vt:lpstr>'OSR_Div 4_1740TMT'!Print_Titles</vt:lpstr>
      <vt:lpstr>'OSR_Div 5 (2...bac05800_1LZIM8H'!Print_Titles</vt:lpstr>
      <vt:lpstr>'OSR_Div 5_16NAZO2'!Print_Titles</vt:lpstr>
      <vt:lpstr>'OSR_Div 6_P37YY7'!Print_Titles</vt:lpstr>
      <vt:lpstr>'OSR_Summary (...56e5d78f_5JEYZH'!Print_Titles</vt:lpstr>
      <vt:lpstr>OSR_Summary_18VAVWG!Print_Titles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2021-09-23T16:20:37Z</dcterms:created>
  <dcterms:modified xsi:type="dcterms:W3CDTF">2021-09-23T16:25:31Z</dcterms:modified>
</cp:coreProperties>
</file>